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80" state="hidden" r:id="rId14"/>
    <sheet name="数据-汇总表" sheetId="6" r:id="rId15"/>
    <sheet name="数据-取费表" sheetId="1" r:id="rId16"/>
    <sheet name="估价对象房地状况" sheetId="20" r:id="rId17"/>
    <sheet name="系统读取表" sheetId="74" r:id="rId18"/>
    <sheet name="结果表-公寓" sheetId="9" r:id="rId19"/>
    <sheet name="成本法" sheetId="68" state="hidden" r:id="rId20"/>
    <sheet name="成本法 (元)" sheetId="69" state="hidden" r:id="rId21"/>
    <sheet name="假设开发法" sheetId="12" state="hidden" r:id="rId22"/>
    <sheet name="比较法-公寓" sheetId="21" r:id="rId23"/>
    <sheet name="收益法 (元)" sheetId="67" r:id="rId24"/>
    <sheet name="收益法（汇总）" sheetId="70" state="hidden" r:id="rId25"/>
    <sheet name="酒店收入计算" sheetId="66" state="hidden" r:id="rId26"/>
    <sheet name="收益法-公寓" sheetId="15" state="hidden" r:id="rId27"/>
    <sheet name="典型户型修正-公寓" sheetId="31" r:id="rId28"/>
    <sheet name="结果表-商业" sheetId="79" r:id="rId29"/>
    <sheet name="比较法-商业" sheetId="33" r:id="rId30"/>
    <sheet name="比较法-办公" sheetId="34" state="hidden" r:id="rId31"/>
    <sheet name="比较法-工业" sheetId="37" state="hidden" r:id="rId32"/>
    <sheet name="收益法-商业" sheetId="77"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车库" sheetId="78"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2" hidden="1">'比较法-公寓'!$A$1:$L$49</definedName>
    <definedName name="_xlnm._FilterDatabase" localSheetId="29"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2">'收益法-车库'!$A$1:$AK$69</definedName>
    <definedName name="_xlnm.Print_Area" localSheetId="26">'收益法-公寓'!$A$1:$AK$69</definedName>
    <definedName name="_xlnm.Print_Area" localSheetId="32">'收益法-商业'!$A$1:$AK$69</definedName>
    <definedName name="_xlnm.Print_Area" localSheetId="14">'数据-汇总表'!$A$1:$I$32</definedName>
    <definedName name="_xlnm.Print_Area" localSheetId="11">'数据-基础表'!$A$1:$AT$14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'典型户型修正-公寓'!$5:$5</definedName>
    <definedName name="一修多修正项3">'典型户型修正-公寓'!$7:$7</definedName>
    <definedName name="一修多修正项4">'典型户型修正-公寓'!$9:$9</definedName>
    <definedName name="一修多修正项5">'典型户型修正-公寓'!$11:$11</definedName>
    <definedName name="一修多修正项6">'典型户型修正-公寓'!$13:$13</definedName>
    <definedName name="一修多修正项7">'典型户型修正-公寓'!$15:$15</definedName>
    <definedName name="一修多修正项8">'典型户型修正-公寓'!$17:$17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24519"/>
</workbook>
</file>

<file path=xl/calcChain.xml><?xml version="1.0" encoding="utf-8"?>
<calcChain xmlns="http://schemas.openxmlformats.org/spreadsheetml/2006/main">
  <c r="U6" i="1"/>
  <c r="L52" i="77" l="1"/>
  <c r="J52"/>
  <c r="B25" i="31"/>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24"/>
  <c r="F21" i="6"/>
  <c r="B167" i="80" l="1"/>
  <c r="J165" s="1"/>
  <c r="I36" i="33"/>
  <c r="I33"/>
  <c r="E33"/>
  <c r="G47"/>
  <c r="E47"/>
  <c r="C5" i="21" l="1"/>
  <c r="G47"/>
  <c r="N7" i="1"/>
  <c r="N8"/>
  <c r="Y8" s="1"/>
  <c r="N9"/>
  <c r="N10"/>
  <c r="N11"/>
  <c r="N12"/>
  <c r="N13"/>
  <c r="N14"/>
  <c r="N6"/>
  <c r="B169" i="80"/>
  <c r="AN13" i="3" s="1"/>
  <c r="B170" i="80"/>
  <c r="AT13" i="3" s="1"/>
  <c r="B168" i="80"/>
  <c r="I13" i="3"/>
  <c r="F19" i="6" s="1"/>
  <c r="B166" i="80"/>
  <c r="B165"/>
  <c r="J166" s="1"/>
  <c r="K13" i="3" s="1"/>
  <c r="AL13" l="1"/>
  <c r="J167" i="80"/>
  <c r="J168"/>
  <c r="A120" i="79"/>
  <c r="E111"/>
  <c r="H112" s="1"/>
  <c r="E109"/>
  <c r="A124" s="1"/>
  <c r="E107"/>
  <c r="A122" s="1"/>
  <c r="H106"/>
  <c r="H105"/>
  <c r="H104"/>
  <c r="D101"/>
  <c r="C101"/>
  <c r="C91"/>
  <c r="E90"/>
  <c r="D89"/>
  <c r="C89"/>
  <c r="C87" s="1"/>
  <c r="H77"/>
  <c r="D77"/>
  <c r="C76"/>
  <c r="F59"/>
  <c r="E59"/>
  <c r="D59"/>
  <c r="F56"/>
  <c r="O55"/>
  <c r="N55"/>
  <c r="M55"/>
  <c r="K55"/>
  <c r="J55"/>
  <c r="I55"/>
  <c r="F55"/>
  <c r="O53" s="1"/>
  <c r="O54"/>
  <c r="N54"/>
  <c r="N53"/>
  <c r="K49"/>
  <c r="F48"/>
  <c r="O52" s="1"/>
  <c r="E48"/>
  <c r="N52" s="1"/>
  <c r="D48"/>
  <c r="M52" s="1"/>
  <c r="F33"/>
  <c r="D27"/>
  <c r="C25"/>
  <c r="C24"/>
  <c r="D17"/>
  <c r="C17"/>
  <c r="L4"/>
  <c r="K4"/>
  <c r="H1"/>
  <c r="I37" i="21"/>
  <c r="E37"/>
  <c r="Q72" i="78"/>
  <c r="Q59"/>
  <c r="K59"/>
  <c r="P61" s="1"/>
  <c r="F59"/>
  <c r="Q58"/>
  <c r="Q51"/>
  <c r="J50"/>
  <c r="M47"/>
  <c r="D46"/>
  <c r="F33"/>
  <c r="F61" s="1"/>
  <c r="F31"/>
  <c r="F23"/>
  <c r="D24" s="1"/>
  <c r="D23"/>
  <c r="D22"/>
  <c r="F21"/>
  <c r="F20"/>
  <c r="M19"/>
  <c r="F18"/>
  <c r="M17"/>
  <c r="F17"/>
  <c r="F15"/>
  <c r="Q72" i="77"/>
  <c r="Q59"/>
  <c r="K59"/>
  <c r="P61" s="1"/>
  <c r="F59"/>
  <c r="Q58"/>
  <c r="Q51"/>
  <c r="J50"/>
  <c r="M47"/>
  <c r="D46"/>
  <c r="F33"/>
  <c r="F61" s="1"/>
  <c r="F31"/>
  <c r="F23"/>
  <c r="D24" s="1"/>
  <c r="F21"/>
  <c r="F20"/>
  <c r="M19"/>
  <c r="F18"/>
  <c r="M17"/>
  <c r="F17"/>
  <c r="F15"/>
  <c r="Y7" i="1"/>
  <c r="Y6"/>
  <c r="C36" i="33" s="1"/>
  <c r="P74" i="77" l="1"/>
  <c r="A126" i="79"/>
  <c r="P74" i="78"/>
  <c r="H103" i="79"/>
  <c r="D120" s="1"/>
  <c r="H111"/>
  <c r="D126" s="1"/>
  <c r="D127" s="1"/>
  <c r="C18"/>
  <c r="D18" s="1"/>
  <c r="D22" i="77"/>
  <c r="D23"/>
  <c r="C92" i="79"/>
  <c r="C94"/>
  <c r="K120"/>
  <c r="D121"/>
  <c r="H109"/>
  <c r="D124" l="1"/>
  <c r="D125" s="1"/>
  <c r="H110"/>
  <c r="I5" i="71" l="1"/>
  <c r="I4" s="1"/>
  <c r="N4" s="1"/>
  <c r="L5"/>
  <c r="K5"/>
  <c r="J5"/>
  <c r="N5" l="1"/>
  <c r="P5"/>
  <c r="K4"/>
  <c r="P4" s="1"/>
  <c r="O5"/>
  <c r="J4"/>
  <c r="O4" s="1"/>
  <c r="Q5"/>
  <c r="L4"/>
  <c r="Q4" s="1"/>
  <c r="A2" i="53"/>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6" i="71" l="1"/>
  <c r="P6"/>
  <c r="O6"/>
  <c r="N6"/>
  <c r="D5" i="43" l="1"/>
  <c r="A15" i="51" l="1"/>
  <c r="B7" i="76"/>
  <c r="E10"/>
  <c r="B9"/>
  <c r="E11"/>
  <c r="E9"/>
  <c r="B8"/>
  <c r="E13"/>
  <c r="B11"/>
  <c r="E12"/>
  <c r="E8"/>
  <c r="B12"/>
  <c r="B10"/>
  <c r="B13"/>
  <c r="E7"/>
  <c r="C76" i="9" l="1"/>
  <c r="I107" i="40" l="1"/>
  <c r="K6" i="4" l="1"/>
  <c r="M56" i="79" l="1"/>
  <c r="J56"/>
  <c r="J57" s="1"/>
  <c r="J59" s="1"/>
  <c r="J61" s="1"/>
  <c r="N56"/>
  <c r="K56"/>
  <c r="B22" i="31"/>
  <c r="N56" i="9" l="1"/>
  <c r="M56"/>
  <c r="K56"/>
  <c r="E17" i="74" l="1"/>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s="1"/>
  <c r="AG20"/>
  <c r="AH20"/>
  <c r="S2" i="31" l="1"/>
  <c r="M2"/>
  <c r="N2"/>
  <c r="O2"/>
  <c r="P2"/>
  <c r="Q2"/>
  <c r="R2"/>
  <c r="C1" i="73" l="1"/>
  <c r="L1" s="1"/>
  <c r="F7"/>
  <c r="J1" l="1"/>
  <c r="B74" i="72"/>
  <c r="F6" i="73"/>
  <c r="F5"/>
  <c r="D3"/>
  <c r="F3"/>
  <c r="F4"/>
  <c r="I1" l="1"/>
  <c r="B39" i="1" s="1"/>
  <c r="D6" i="73"/>
  <c r="D7"/>
  <c r="D4"/>
  <c r="D5"/>
  <c r="F11" i="78" l="1"/>
  <c r="M11"/>
  <c r="M11" i="77"/>
  <c r="F11"/>
  <c r="E20" i="43"/>
  <c r="Y12"/>
  <c r="Y10"/>
  <c r="AJ9"/>
  <c r="AJ12" s="1"/>
  <c r="AI9"/>
  <c r="AI12" s="1"/>
  <c r="AH9"/>
  <c r="AH12" s="1"/>
  <c r="AG9"/>
  <c r="AG12" s="1"/>
  <c r="AF9"/>
  <c r="AF12" s="1"/>
  <c r="AE9"/>
  <c r="AE12" s="1"/>
  <c r="AD9"/>
  <c r="AD12" s="1"/>
  <c r="AC9"/>
  <c r="AC12" s="1"/>
  <c r="AB9"/>
  <c r="AB12" s="1"/>
  <c r="AA9"/>
  <c r="AA12" s="1"/>
  <c r="Z9"/>
  <c r="Z12" s="1"/>
  <c r="C53" i="78" l="1"/>
  <c r="C53" i="77"/>
  <c r="AA10" i="43"/>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B5" s="1"/>
  <c r="B4"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F5" s="1"/>
  <c r="F4" s="1"/>
  <c r="AB3"/>
  <c r="AB5"/>
  <c r="AB6"/>
  <c r="AB7"/>
  <c r="AB8"/>
  <c r="E8"/>
  <c r="E7" s="1"/>
  <c r="E6" s="1"/>
  <c r="E5" s="1"/>
  <c r="E4"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7"/>
  <c r="V8"/>
  <c r="P45"/>
  <c r="P46"/>
  <c r="O46"/>
  <c r="D46"/>
  <c r="O45"/>
  <c r="T12"/>
  <c r="D12"/>
  <c r="T16"/>
  <c r="D16"/>
  <c r="T20"/>
  <c r="D20"/>
  <c r="T24"/>
  <c r="D24"/>
  <c r="T32"/>
  <c r="D32"/>
  <c r="T36"/>
  <c r="D36"/>
  <c r="T40"/>
  <c r="D40"/>
  <c r="T44"/>
  <c r="D44"/>
  <c r="D6" l="1"/>
  <c r="C5"/>
  <c r="O27" i="6"/>
  <c r="N27"/>
  <c r="P20"/>
  <c r="P21"/>
  <c r="P22"/>
  <c r="P23"/>
  <c r="P24"/>
  <c r="P25"/>
  <c r="P26"/>
  <c r="P19"/>
  <c r="AP8" i="1"/>
  <c r="AP9"/>
  <c r="AP10"/>
  <c r="AP11"/>
  <c r="AP12"/>
  <c r="AP13"/>
  <c r="L21" i="6"/>
  <c r="L22"/>
  <c r="L23"/>
  <c r="L24"/>
  <c r="L25"/>
  <c r="L26"/>
  <c r="D5" i="71" l="1"/>
  <c r="C4"/>
  <c r="D4" s="1"/>
  <c r="P27" i="6"/>
  <c r="A7" i="70"/>
  <c r="A8"/>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D83"/>
  <c r="F21" s="1"/>
  <c r="AA21" s="1"/>
  <c r="D81"/>
  <c r="H19" s="1"/>
  <c r="G20" i="20"/>
  <c r="B86" i="43" s="1"/>
  <c r="C22" i="20"/>
  <c r="AO13" i="1"/>
  <c r="AO10"/>
  <c r="AO9"/>
  <c r="AO12"/>
  <c r="AO11"/>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6" i="1" s="1"/>
  <c r="F9"/>
  <c r="F10"/>
  <c r="F11"/>
  <c r="F12"/>
  <c r="F13"/>
  <c r="D6"/>
  <c r="D9"/>
  <c r="D10"/>
  <c r="G10" s="1"/>
  <c r="D11"/>
  <c r="G11" s="1"/>
  <c r="D12"/>
  <c r="D13"/>
  <c r="D7"/>
  <c r="D8"/>
  <c r="A7"/>
  <c r="A8"/>
  <c r="A9"/>
  <c r="A10"/>
  <c r="A11"/>
  <c r="A12"/>
  <c r="A13"/>
  <c r="B13" s="1"/>
  <c r="E13" s="1"/>
  <c r="A6"/>
  <c r="B11"/>
  <c r="E11" s="1"/>
  <c r="G79" i="36"/>
  <c r="G85" i="35"/>
  <c r="G97" i="37"/>
  <c r="G110" i="34"/>
  <c r="G111" i="21"/>
  <c r="G109" i="33"/>
  <c r="D23" i="31"/>
  <c r="L2"/>
  <c r="K2"/>
  <c r="J2"/>
  <c r="I2"/>
  <c r="H2"/>
  <c r="G2"/>
  <c r="F2"/>
  <c r="E2"/>
  <c r="D2"/>
  <c r="C2"/>
  <c r="D46" i="15"/>
  <c r="BT112" i="3"/>
  <c r="BS112"/>
  <c r="BR112"/>
  <c r="BQ112"/>
  <c r="BP112"/>
  <c r="BO112"/>
  <c r="BN112"/>
  <c r="BM112"/>
  <c r="BK112"/>
  <c r="BJ112"/>
  <c r="BI112"/>
  <c r="BH112"/>
  <c r="BG112"/>
  <c r="BF112"/>
  <c r="BE112"/>
  <c r="BD112"/>
  <c r="BC112"/>
  <c r="BB112"/>
  <c r="AX112"/>
  <c r="AW112"/>
  <c r="AV112"/>
  <c r="AC112"/>
  <c r="H112"/>
  <c r="G112" s="1"/>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BA104" s="1"/>
  <c r="AX104"/>
  <c r="AW104"/>
  <c r="AV104"/>
  <c r="AC104"/>
  <c r="H104"/>
  <c r="BT103"/>
  <c r="BS103"/>
  <c r="BR103"/>
  <c r="BQ103"/>
  <c r="BP103"/>
  <c r="BO103"/>
  <c r="BN103"/>
  <c r="BM103"/>
  <c r="BL103" s="1"/>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BA101" s="1"/>
  <c r="AX101"/>
  <c r="AW101"/>
  <c r="AV101"/>
  <c r="AC101"/>
  <c r="H101"/>
  <c r="G101" s="1"/>
  <c r="BT100"/>
  <c r="BS100"/>
  <c r="BR100"/>
  <c r="BQ100"/>
  <c r="BP100"/>
  <c r="BO100"/>
  <c r="BN100"/>
  <c r="BM100"/>
  <c r="BK100"/>
  <c r="BJ100"/>
  <c r="BI100"/>
  <c r="BH100"/>
  <c r="BG100"/>
  <c r="BF100"/>
  <c r="BE100"/>
  <c r="BD100"/>
  <c r="BC100"/>
  <c r="BB100"/>
  <c r="AX100"/>
  <c r="AW100"/>
  <c r="AV100"/>
  <c r="AC100"/>
  <c r="H100"/>
  <c r="G100" s="1"/>
  <c r="BT99"/>
  <c r="BS99"/>
  <c r="BR99"/>
  <c r="BQ99"/>
  <c r="BP99"/>
  <c r="BO99"/>
  <c r="BN99"/>
  <c r="BM99"/>
  <c r="BL99" s="1"/>
  <c r="BK99"/>
  <c r="BJ99"/>
  <c r="BI99"/>
  <c r="BH99"/>
  <c r="BG99"/>
  <c r="BF99"/>
  <c r="BE99"/>
  <c r="BD99"/>
  <c r="BC99"/>
  <c r="BB99"/>
  <c r="AX99"/>
  <c r="AW99"/>
  <c r="AV99"/>
  <c r="AC99"/>
  <c r="H99"/>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BT94"/>
  <c r="BS94"/>
  <c r="BR94"/>
  <c r="BQ94"/>
  <c r="BP94"/>
  <c r="BO94"/>
  <c r="BN94"/>
  <c r="BM94"/>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BT92"/>
  <c r="BS92"/>
  <c r="BR92"/>
  <c r="BQ92"/>
  <c r="BP92"/>
  <c r="BO92"/>
  <c r="BN92"/>
  <c r="BM92"/>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s="1"/>
  <c r="AX91"/>
  <c r="AW91"/>
  <c r="AV91"/>
  <c r="AC91"/>
  <c r="H91"/>
  <c r="BT90"/>
  <c r="BS90"/>
  <c r="BR90"/>
  <c r="BQ90"/>
  <c r="BP90"/>
  <c r="BO90"/>
  <c r="BN90"/>
  <c r="BM90"/>
  <c r="BL90" s="1"/>
  <c r="BK90"/>
  <c r="BJ90"/>
  <c r="BI90"/>
  <c r="BH90"/>
  <c r="BG90"/>
  <c r="BF90"/>
  <c r="BE90"/>
  <c r="BD90"/>
  <c r="BC90"/>
  <c r="BB90"/>
  <c r="AX90"/>
  <c r="AW90"/>
  <c r="AV90"/>
  <c r="AC90"/>
  <c r="H90"/>
  <c r="G90" s="1"/>
  <c r="BT89"/>
  <c r="BS89"/>
  <c r="BR89"/>
  <c r="BQ89"/>
  <c r="BP89"/>
  <c r="BO89"/>
  <c r="BN89"/>
  <c r="BM89"/>
  <c r="BK89"/>
  <c r="BJ89"/>
  <c r="BI89"/>
  <c r="BH89"/>
  <c r="BG89"/>
  <c r="BF89"/>
  <c r="BE89"/>
  <c r="BD89"/>
  <c r="BC89"/>
  <c r="BB89"/>
  <c r="AX89"/>
  <c r="AW89"/>
  <c r="AV89"/>
  <c r="AC89"/>
  <c r="H89"/>
  <c r="G89" s="1"/>
  <c r="BT88"/>
  <c r="BS88"/>
  <c r="BR88"/>
  <c r="BQ88"/>
  <c r="BP88"/>
  <c r="BO88"/>
  <c r="BN88"/>
  <c r="BM88"/>
  <c r="BK88"/>
  <c r="BJ88"/>
  <c r="BI88"/>
  <c r="BH88"/>
  <c r="BG88"/>
  <c r="BF88"/>
  <c r="BE88"/>
  <c r="BD88"/>
  <c r="BC88"/>
  <c r="BB88"/>
  <c r="BA88" s="1"/>
  <c r="AX88"/>
  <c r="AW88"/>
  <c r="AV88"/>
  <c r="AC88"/>
  <c r="H88"/>
  <c r="BT87"/>
  <c r="BS87"/>
  <c r="BR87"/>
  <c r="BQ87"/>
  <c r="BP87"/>
  <c r="BO87"/>
  <c r="BN87"/>
  <c r="BM87"/>
  <c r="BL87" s="1"/>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AX85"/>
  <c r="AW85"/>
  <c r="AV85"/>
  <c r="AC85"/>
  <c r="H85"/>
  <c r="G85" s="1"/>
  <c r="BT84"/>
  <c r="BS84"/>
  <c r="BR84"/>
  <c r="BQ84"/>
  <c r="BP84"/>
  <c r="BO84"/>
  <c r="BN84"/>
  <c r="BM84"/>
  <c r="BK84"/>
  <c r="BJ84"/>
  <c r="BI84"/>
  <c r="BH84"/>
  <c r="BG84"/>
  <c r="BF84"/>
  <c r="BE84"/>
  <c r="BD84"/>
  <c r="BC84"/>
  <c r="BB84"/>
  <c r="BA84" s="1"/>
  <c r="AX84"/>
  <c r="AW84"/>
  <c r="AV84"/>
  <c r="AC84"/>
  <c r="H84"/>
  <c r="BT83"/>
  <c r="BS83"/>
  <c r="BR83"/>
  <c r="BQ83"/>
  <c r="BP83"/>
  <c r="BO83"/>
  <c r="BN83"/>
  <c r="BM83"/>
  <c r="BL83" s="1"/>
  <c r="BK83"/>
  <c r="BJ83"/>
  <c r="BI83"/>
  <c r="BH83"/>
  <c r="BG83"/>
  <c r="BF83"/>
  <c r="BE83"/>
  <c r="BD83"/>
  <c r="BC83"/>
  <c r="BB83"/>
  <c r="AX83"/>
  <c r="AW83"/>
  <c r="AV83"/>
  <c r="AC83"/>
  <c r="H83"/>
  <c r="BT82"/>
  <c r="BS82"/>
  <c r="BR82"/>
  <c r="BQ82"/>
  <c r="BP82"/>
  <c r="BO82"/>
  <c r="BN82"/>
  <c r="BM82"/>
  <c r="BL82" s="1"/>
  <c r="BK82"/>
  <c r="BJ82"/>
  <c r="BI82"/>
  <c r="BH82"/>
  <c r="BG82"/>
  <c r="BF82"/>
  <c r="BE82"/>
  <c r="BD82"/>
  <c r="BC82"/>
  <c r="BB82"/>
  <c r="AX82"/>
  <c r="AW82"/>
  <c r="AV82"/>
  <c r="AC82"/>
  <c r="H82"/>
  <c r="BT81"/>
  <c r="BS81"/>
  <c r="BR81"/>
  <c r="BQ81"/>
  <c r="BP81"/>
  <c r="BO81"/>
  <c r="BN81"/>
  <c r="BM81"/>
  <c r="BL81" s="1"/>
  <c r="BK81"/>
  <c r="BJ81"/>
  <c r="BI81"/>
  <c r="BH81"/>
  <c r="BG81"/>
  <c r="BF81"/>
  <c r="BE81"/>
  <c r="BD81"/>
  <c r="BC81"/>
  <c r="BB81"/>
  <c r="AX81"/>
  <c r="AW81"/>
  <c r="AV81"/>
  <c r="AC81"/>
  <c r="H81"/>
  <c r="G81" s="1"/>
  <c r="BT80"/>
  <c r="BS80"/>
  <c r="BR80"/>
  <c r="BQ80"/>
  <c r="BP80"/>
  <c r="BO80"/>
  <c r="BN80"/>
  <c r="BM80"/>
  <c r="BK80"/>
  <c r="BJ80"/>
  <c r="BI80"/>
  <c r="BH80"/>
  <c r="BG80"/>
  <c r="BF80"/>
  <c r="BE80"/>
  <c r="BD80"/>
  <c r="BC80"/>
  <c r="BB80"/>
  <c r="BA80" s="1"/>
  <c r="AX80"/>
  <c r="AW80"/>
  <c r="AV80"/>
  <c r="AC80"/>
  <c r="H80"/>
  <c r="BT79"/>
  <c r="BS79"/>
  <c r="BR79"/>
  <c r="BQ79"/>
  <c r="BP79"/>
  <c r="BO79"/>
  <c r="BN79"/>
  <c r="BM79"/>
  <c r="BL79" s="1"/>
  <c r="BK79"/>
  <c r="BJ79"/>
  <c r="BI79"/>
  <c r="BH79"/>
  <c r="BG79"/>
  <c r="BF79"/>
  <c r="BE79"/>
  <c r="BD79"/>
  <c r="BC79"/>
  <c r="BB79"/>
  <c r="AX79"/>
  <c r="AW79"/>
  <c r="AV79"/>
  <c r="AC79"/>
  <c r="H79"/>
  <c r="BT78"/>
  <c r="BS78"/>
  <c r="BR78"/>
  <c r="BQ78"/>
  <c r="BP78"/>
  <c r="BO78"/>
  <c r="BN78"/>
  <c r="BM78"/>
  <c r="BL78" s="1"/>
  <c r="BK78"/>
  <c r="BJ78"/>
  <c r="BI78"/>
  <c r="BH78"/>
  <c r="BG78"/>
  <c r="BF78"/>
  <c r="BE78"/>
  <c r="BD78"/>
  <c r="BC78"/>
  <c r="BB78"/>
  <c r="AX78"/>
  <c r="AW78"/>
  <c r="AV78"/>
  <c r="AC78"/>
  <c r="H78"/>
  <c r="G78" s="1"/>
  <c r="BT77"/>
  <c r="BS77"/>
  <c r="BR77"/>
  <c r="BQ77"/>
  <c r="BP77"/>
  <c r="BO77"/>
  <c r="BN77"/>
  <c r="BM77"/>
  <c r="BK77"/>
  <c r="BJ77"/>
  <c r="BI77"/>
  <c r="BH77"/>
  <c r="BG77"/>
  <c r="BF77"/>
  <c r="BE77"/>
  <c r="BD77"/>
  <c r="BC77"/>
  <c r="BB77"/>
  <c r="BA77" s="1"/>
  <c r="AX77"/>
  <c r="AW77"/>
  <c r="AV77"/>
  <c r="AC77"/>
  <c r="H77"/>
  <c r="G77" s="1"/>
  <c r="BT76"/>
  <c r="BS76"/>
  <c r="BR76"/>
  <c r="BQ76"/>
  <c r="BP76"/>
  <c r="BO76"/>
  <c r="BN76"/>
  <c r="BM76"/>
  <c r="BK76"/>
  <c r="BJ76"/>
  <c r="BI76"/>
  <c r="BH76"/>
  <c r="BG76"/>
  <c r="BF76"/>
  <c r="BE76"/>
  <c r="BD76"/>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BT64"/>
  <c r="BS64"/>
  <c r="BR64"/>
  <c r="BQ64"/>
  <c r="BP64"/>
  <c r="BO64"/>
  <c r="BN64"/>
  <c r="BM64"/>
  <c r="BK64"/>
  <c r="BJ64"/>
  <c r="BI64"/>
  <c r="BH64"/>
  <c r="BG64"/>
  <c r="BF64"/>
  <c r="BE64"/>
  <c r="BD64"/>
  <c r="BC64"/>
  <c r="BB64"/>
  <c r="AX64"/>
  <c r="AW64"/>
  <c r="AV64"/>
  <c r="AC64"/>
  <c r="H64"/>
  <c r="G64" s="1"/>
  <c r="BT63"/>
  <c r="BS63"/>
  <c r="BR63"/>
  <c r="BQ63"/>
  <c r="BP63"/>
  <c r="BO63"/>
  <c r="BN63"/>
  <c r="BM63"/>
  <c r="BL63" s="1"/>
  <c r="BK63"/>
  <c r="BJ63"/>
  <c r="BI63"/>
  <c r="BH63"/>
  <c r="BG63"/>
  <c r="BF63"/>
  <c r="BE63"/>
  <c r="BD63"/>
  <c r="BC63"/>
  <c r="BB63"/>
  <c r="BA63" s="1"/>
  <c r="AX63"/>
  <c r="AW63"/>
  <c r="AV63"/>
  <c r="AC63"/>
  <c r="H63"/>
  <c r="BT62"/>
  <c r="BS62"/>
  <c r="BR62"/>
  <c r="BQ62"/>
  <c r="BP62"/>
  <c r="BO62"/>
  <c r="BN62"/>
  <c r="BM62"/>
  <c r="BK62"/>
  <c r="BJ62"/>
  <c r="BI62"/>
  <c r="BH62"/>
  <c r="BG62"/>
  <c r="BF62"/>
  <c r="BE62"/>
  <c r="BD62"/>
  <c r="BC62"/>
  <c r="BB62"/>
  <c r="BA62"/>
  <c r="AX62"/>
  <c r="AW62"/>
  <c r="AV62"/>
  <c r="AC62"/>
  <c r="H62"/>
  <c r="BT61"/>
  <c r="BS61"/>
  <c r="BR61"/>
  <c r="BQ61"/>
  <c r="BP61"/>
  <c r="BO61"/>
  <c r="BN61"/>
  <c r="BM61"/>
  <c r="BL61"/>
  <c r="BK61"/>
  <c r="BJ61"/>
  <c r="BI61"/>
  <c r="BH61"/>
  <c r="BG61"/>
  <c r="BF61"/>
  <c r="BE61"/>
  <c r="BD61"/>
  <c r="BC61"/>
  <c r="BB61"/>
  <c r="BA61" s="1"/>
  <c r="AX61"/>
  <c r="AW61"/>
  <c r="AV61"/>
  <c r="AC61"/>
  <c r="H6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s="1"/>
  <c r="AX59"/>
  <c r="AW59"/>
  <c r="AV59"/>
  <c r="AC59"/>
  <c r="H59"/>
  <c r="BT58"/>
  <c r="BS58"/>
  <c r="BR58"/>
  <c r="BQ58"/>
  <c r="BP58"/>
  <c r="BO58"/>
  <c r="BN58"/>
  <c r="BM58"/>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s="1"/>
  <c r="AZ57" s="1"/>
  <c r="AX57"/>
  <c r="AW57"/>
  <c r="AV57"/>
  <c r="AC57"/>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AX54"/>
  <c r="AW54"/>
  <c r="AV54"/>
  <c r="AC54"/>
  <c r="H54"/>
  <c r="G54" s="1"/>
  <c r="BT53"/>
  <c r="BS53"/>
  <c r="BR53"/>
  <c r="BQ53"/>
  <c r="BP53"/>
  <c r="BO53"/>
  <c r="BN53"/>
  <c r="BM53"/>
  <c r="BL53" s="1"/>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AX50"/>
  <c r="AW50"/>
  <c r="AV50"/>
  <c r="AC50"/>
  <c r="H50"/>
  <c r="G50" s="1"/>
  <c r="BT49"/>
  <c r="BS49"/>
  <c r="BR49"/>
  <c r="BQ49"/>
  <c r="BP49"/>
  <c r="BO49"/>
  <c r="BN49"/>
  <c r="BM49"/>
  <c r="BK49"/>
  <c r="BJ49"/>
  <c r="BI49"/>
  <c r="BH49"/>
  <c r="BG49"/>
  <c r="BF49"/>
  <c r="BE49"/>
  <c r="BD49"/>
  <c r="BC49"/>
  <c r="BB49"/>
  <c r="BA49" s="1"/>
  <c r="AX49"/>
  <c r="AW49"/>
  <c r="AV49"/>
  <c r="AC49"/>
  <c r="H49"/>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AX47"/>
  <c r="AW47"/>
  <c r="AV47"/>
  <c r="AC47"/>
  <c r="H47"/>
  <c r="G47" s="1"/>
  <c r="BT46"/>
  <c r="BS46"/>
  <c r="BR46"/>
  <c r="BQ46"/>
  <c r="BP46"/>
  <c r="BO46"/>
  <c r="BN46"/>
  <c r="BM46"/>
  <c r="BK46"/>
  <c r="BJ46"/>
  <c r="BI46"/>
  <c r="BH46"/>
  <c r="BG46"/>
  <c r="BF46"/>
  <c r="BE46"/>
  <c r="BD46"/>
  <c r="BC46"/>
  <c r="BB46"/>
  <c r="BA46" s="1"/>
  <c r="AX46"/>
  <c r="AW46"/>
  <c r="AV46"/>
  <c r="AC46"/>
  <c r="H46"/>
  <c r="BT45"/>
  <c r="BS45"/>
  <c r="BR45"/>
  <c r="BQ45"/>
  <c r="BP45"/>
  <c r="BO45"/>
  <c r="BN45"/>
  <c r="BM45"/>
  <c r="BL45" s="1"/>
  <c r="BK45"/>
  <c r="BJ45"/>
  <c r="BI45"/>
  <c r="BH45"/>
  <c r="BG45"/>
  <c r="BF45"/>
  <c r="BE45"/>
  <c r="BD45"/>
  <c r="BC45"/>
  <c r="BB45"/>
  <c r="BA45" s="1"/>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s="1"/>
  <c r="AX41"/>
  <c r="AW41"/>
  <c r="AV41"/>
  <c r="AC41"/>
  <c r="H41"/>
  <c r="BT40"/>
  <c r="BS40"/>
  <c r="BR40"/>
  <c r="BQ40"/>
  <c r="BP40"/>
  <c r="BO40"/>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AX38"/>
  <c r="AW38"/>
  <c r="AV38"/>
  <c r="AC38"/>
  <c r="H38"/>
  <c r="G38" s="1"/>
  <c r="BT37"/>
  <c r="BS37"/>
  <c r="BR37"/>
  <c r="BQ37"/>
  <c r="BP37"/>
  <c r="BO37"/>
  <c r="BN37"/>
  <c r="BM37"/>
  <c r="BL37" s="1"/>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H36"/>
  <c r="G36" s="1"/>
  <c r="BT35"/>
  <c r="BS35"/>
  <c r="BR35"/>
  <c r="BQ35"/>
  <c r="BP35"/>
  <c r="BO35"/>
  <c r="BN35"/>
  <c r="BM35"/>
  <c r="BK35"/>
  <c r="BJ35"/>
  <c r="BI35"/>
  <c r="BH35"/>
  <c r="BG35"/>
  <c r="BF35"/>
  <c r="BE35"/>
  <c r="BD35"/>
  <c r="BC35"/>
  <c r="BB35"/>
  <c r="AX35"/>
  <c r="AW35"/>
  <c r="AV35"/>
  <c r="AC35"/>
  <c r="H35"/>
  <c r="G35" s="1"/>
  <c r="BT34"/>
  <c r="BS34"/>
  <c r="BR34"/>
  <c r="BQ34"/>
  <c r="BP34"/>
  <c r="BO34"/>
  <c r="BN34"/>
  <c r="BM34"/>
  <c r="BL34" s="1"/>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s="1"/>
  <c r="AX33"/>
  <c r="AW33"/>
  <c r="AV33"/>
  <c r="AC33"/>
  <c r="H33"/>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X29"/>
  <c r="AW29"/>
  <c r="AV29"/>
  <c r="AC29"/>
  <c r="H29"/>
  <c r="BT28"/>
  <c r="BS28"/>
  <c r="BR28"/>
  <c r="BQ28"/>
  <c r="BP28"/>
  <c r="BO28"/>
  <c r="BN28"/>
  <c r="BM28"/>
  <c r="BL28"/>
  <c r="BK28"/>
  <c r="BJ28"/>
  <c r="BI28"/>
  <c r="BH28"/>
  <c r="BG28"/>
  <c r="BF28"/>
  <c r="BE28"/>
  <c r="BD28"/>
  <c r="BC28"/>
  <c r="BB28"/>
  <c r="BA28" s="1"/>
  <c r="AX28"/>
  <c r="AW28"/>
  <c r="AV28"/>
  <c r="AC28"/>
  <c r="H28"/>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s="1"/>
  <c r="AX26"/>
  <c r="AW26"/>
  <c r="AV26"/>
  <c r="AC26"/>
  <c r="H26"/>
  <c r="BT25"/>
  <c r="BS25"/>
  <c r="BR25"/>
  <c r="BQ25"/>
  <c r="BP25"/>
  <c r="BO25"/>
  <c r="BN25"/>
  <c r="BM25"/>
  <c r="BK25"/>
  <c r="BJ25"/>
  <c r="BI25"/>
  <c r="BH25"/>
  <c r="BG25"/>
  <c r="BF25"/>
  <c r="BE25"/>
  <c r="BD25"/>
  <c r="BC25"/>
  <c r="BB25"/>
  <c r="AX25"/>
  <c r="AW25"/>
  <c r="AV25"/>
  <c r="AC25"/>
  <c r="H25"/>
  <c r="G25" s="1"/>
  <c r="BT24"/>
  <c r="BS24"/>
  <c r="BR24"/>
  <c r="BQ24"/>
  <c r="BP24"/>
  <c r="BO24"/>
  <c r="BN24"/>
  <c r="BM24"/>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s="1"/>
  <c r="AX20"/>
  <c r="AW20"/>
  <c r="AV20"/>
  <c r="AC20"/>
  <c r="H20"/>
  <c r="BT19"/>
  <c r="BS19"/>
  <c r="BR19"/>
  <c r="BQ19"/>
  <c r="BP19"/>
  <c r="BO19"/>
  <c r="BN19"/>
  <c r="BM19"/>
  <c r="BK19"/>
  <c r="BJ19"/>
  <c r="BI19"/>
  <c r="BH19"/>
  <c r="BG19"/>
  <c r="BF19"/>
  <c r="BE19"/>
  <c r="BD19"/>
  <c r="BC19"/>
  <c r="BB19"/>
  <c r="BA19"/>
  <c r="AX19"/>
  <c r="AW19"/>
  <c r="AV19"/>
  <c r="AC19"/>
  <c r="H19"/>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s="1"/>
  <c r="AZ207" s="1"/>
  <c r="AX207"/>
  <c r="AW207"/>
  <c r="AV207"/>
  <c r="AC207"/>
  <c r="H207"/>
  <c r="BT206"/>
  <c r="BS206"/>
  <c r="BR206"/>
  <c r="BQ206"/>
  <c r="BP206"/>
  <c r="BO206"/>
  <c r="BN206"/>
  <c r="BM206"/>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AX194"/>
  <c r="AW194"/>
  <c r="AV194"/>
  <c r="AC194"/>
  <c r="H194"/>
  <c r="G194" s="1"/>
  <c r="BT193"/>
  <c r="BS193"/>
  <c r="BR193"/>
  <c r="BQ193"/>
  <c r="BP193"/>
  <c r="BO193"/>
  <c r="BN193"/>
  <c r="BM193"/>
  <c r="BK193"/>
  <c r="BJ193"/>
  <c r="BI193"/>
  <c r="BH193"/>
  <c r="BG193"/>
  <c r="BF193"/>
  <c r="BE193"/>
  <c r="BD193"/>
  <c r="BC193"/>
  <c r="BB193"/>
  <c r="BA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s="1"/>
  <c r="AX186"/>
  <c r="AW186"/>
  <c r="AV186"/>
  <c r="AC186"/>
  <c r="H186"/>
  <c r="BT185"/>
  <c r="BS185"/>
  <c r="BR185"/>
  <c r="BQ185"/>
  <c r="BP185"/>
  <c r="BO185"/>
  <c r="BN185"/>
  <c r="BM185"/>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K177"/>
  <c r="BJ177"/>
  <c r="BI177"/>
  <c r="BH177"/>
  <c r="BG177"/>
  <c r="BF177"/>
  <c r="BE177"/>
  <c r="BD177"/>
  <c r="BC177"/>
  <c r="BB177"/>
  <c r="BA177" s="1"/>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s="1"/>
  <c r="AX170"/>
  <c r="AW170"/>
  <c r="AV170"/>
  <c r="AC170"/>
  <c r="H170"/>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BA161" s="1"/>
  <c r="AX161"/>
  <c r="AW161"/>
  <c r="AV161"/>
  <c r="AC161"/>
  <c r="H16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s="1"/>
  <c r="AX154"/>
  <c r="AW154"/>
  <c r="AV154"/>
  <c r="AC154"/>
  <c r="H154"/>
  <c r="BT153"/>
  <c r="BS153"/>
  <c r="BR153"/>
  <c r="BQ153"/>
  <c r="BP153"/>
  <c r="BO153"/>
  <c r="BN153"/>
  <c r="BM153"/>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L151" s="1"/>
  <c r="BK151"/>
  <c r="BJ151"/>
  <c r="BI151"/>
  <c r="BH151"/>
  <c r="BG151"/>
  <c r="BF151"/>
  <c r="BE151"/>
  <c r="BD151"/>
  <c r="BC151"/>
  <c r="BB151"/>
  <c r="AX151"/>
  <c r="AW151"/>
  <c r="AV151"/>
  <c r="AC151"/>
  <c r="H151"/>
  <c r="BT150"/>
  <c r="BS150"/>
  <c r="BR150"/>
  <c r="BQ150"/>
  <c r="BP150"/>
  <c r="BO150"/>
  <c r="BN150"/>
  <c r="BM150"/>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L147" s="1"/>
  <c r="BK147"/>
  <c r="BJ147"/>
  <c r="BI147"/>
  <c r="BH147"/>
  <c r="BG147"/>
  <c r="BF147"/>
  <c r="BE147"/>
  <c r="BD147"/>
  <c r="BC147"/>
  <c r="BB147"/>
  <c r="AX147"/>
  <c r="AW147"/>
  <c r="AV147"/>
  <c r="AC147"/>
  <c r="H147"/>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AX297"/>
  <c r="AW297"/>
  <c r="AV297"/>
  <c r="AC297"/>
  <c r="H297"/>
  <c r="G297" s="1"/>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BT287"/>
  <c r="BS287"/>
  <c r="BR287"/>
  <c r="BQ287"/>
  <c r="BP287"/>
  <c r="BO287"/>
  <c r="BN287"/>
  <c r="BM287"/>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s="1"/>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s="1"/>
  <c r="AX284"/>
  <c r="AW284"/>
  <c r="AV284"/>
  <c r="AC284"/>
  <c r="H284"/>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AX281"/>
  <c r="AW281"/>
  <c r="AV281"/>
  <c r="AC281"/>
  <c r="H281"/>
  <c r="G281" s="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G279" s="1"/>
  <c r="BT278"/>
  <c r="BS278"/>
  <c r="BR278"/>
  <c r="BQ278"/>
  <c r="BP278"/>
  <c r="BO278"/>
  <c r="BN278"/>
  <c r="BM278"/>
  <c r="BL278" s="1"/>
  <c r="BK278"/>
  <c r="BJ278"/>
  <c r="BI278"/>
  <c r="BH278"/>
  <c r="BG278"/>
  <c r="BF278"/>
  <c r="BE278"/>
  <c r="BD278"/>
  <c r="BC278"/>
  <c r="BB278"/>
  <c r="AX278"/>
  <c r="AW278"/>
  <c r="AV278"/>
  <c r="AC278"/>
  <c r="H278"/>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s="1"/>
  <c r="AX271"/>
  <c r="AW271"/>
  <c r="AV271"/>
  <c r="AC271"/>
  <c r="H271"/>
  <c r="BT270"/>
  <c r="BS270"/>
  <c r="BR270"/>
  <c r="BQ270"/>
  <c r="BP270"/>
  <c r="BO270"/>
  <c r="BN270"/>
  <c r="BM270"/>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s="1"/>
  <c r="AX269"/>
  <c r="AW269"/>
  <c r="AV269"/>
  <c r="AC269"/>
  <c r="H269"/>
  <c r="BT268"/>
  <c r="BS268"/>
  <c r="BR268"/>
  <c r="BQ268"/>
  <c r="BP268"/>
  <c r="BO268"/>
  <c r="BN268"/>
  <c r="BM268"/>
  <c r="BL268"/>
  <c r="BK268"/>
  <c r="BJ268"/>
  <c r="BI268"/>
  <c r="BH268"/>
  <c r="BG268"/>
  <c r="BF268"/>
  <c r="BE268"/>
  <c r="BD268"/>
  <c r="BC268"/>
  <c r="BB268"/>
  <c r="BA268" s="1"/>
  <c r="AX268"/>
  <c r="AW268"/>
  <c r="AV268"/>
  <c r="AC268"/>
  <c r="H268"/>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s="1"/>
  <c r="AX266"/>
  <c r="AW266"/>
  <c r="AV266"/>
  <c r="AC266"/>
  <c r="H266"/>
  <c r="BT265"/>
  <c r="BS265"/>
  <c r="BR265"/>
  <c r="BQ265"/>
  <c r="BP265"/>
  <c r="BO265"/>
  <c r="BN265"/>
  <c r="BM265"/>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s="1"/>
  <c r="AZ262" s="1"/>
  <c r="AX262"/>
  <c r="AW262"/>
  <c r="AV262"/>
  <c r="AC262"/>
  <c r="H262"/>
  <c r="BT261"/>
  <c r="BS261"/>
  <c r="BR261"/>
  <c r="BQ261"/>
  <c r="BP261"/>
  <c r="BO261"/>
  <c r="BN261"/>
  <c r="BM261"/>
  <c r="BK261"/>
  <c r="BJ261"/>
  <c r="BI261"/>
  <c r="BH261"/>
  <c r="BG261"/>
  <c r="BF261"/>
  <c r="BE261"/>
  <c r="BD261"/>
  <c r="BC261"/>
  <c r="BB261"/>
  <c r="AX261"/>
  <c r="AW261"/>
  <c r="AV261"/>
  <c r="AC261"/>
  <c r="H261"/>
  <c r="G261" s="1"/>
  <c r="BT260"/>
  <c r="BS260"/>
  <c r="BR260"/>
  <c r="BQ260"/>
  <c r="BP260"/>
  <c r="BO260"/>
  <c r="BN260"/>
  <c r="BM260"/>
  <c r="BL260" s="1"/>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s="1"/>
  <c r="AZ258" s="1"/>
  <c r="AX258"/>
  <c r="AW258"/>
  <c r="AV258"/>
  <c r="AC258"/>
  <c r="H258"/>
  <c r="BT257"/>
  <c r="BS257"/>
  <c r="BR257"/>
  <c r="BQ257"/>
  <c r="BP257"/>
  <c r="BO257"/>
  <c r="BN257"/>
  <c r="BM257"/>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BA332" s="1"/>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AX490"/>
  <c r="AW490"/>
  <c r="AV490"/>
  <c r="AC490"/>
  <c r="H490"/>
  <c r="G490" s="1"/>
  <c r="BT489"/>
  <c r="BS489"/>
  <c r="BR489"/>
  <c r="BQ489"/>
  <c r="BP489"/>
  <c r="BO489"/>
  <c r="BN489"/>
  <c r="BM489"/>
  <c r="BL489" s="1"/>
  <c r="BK489"/>
  <c r="BJ489"/>
  <c r="BI489"/>
  <c r="BH489"/>
  <c r="BG489"/>
  <c r="BF489"/>
  <c r="BE489"/>
  <c r="BD489"/>
  <c r="BC489"/>
  <c r="BB489"/>
  <c r="AX489"/>
  <c r="AW489"/>
  <c r="AV489"/>
  <c r="AC489"/>
  <c r="H489"/>
  <c r="BT488"/>
  <c r="BS488"/>
  <c r="BR488"/>
  <c r="BQ488"/>
  <c r="BP488"/>
  <c r="BO488"/>
  <c r="BN488"/>
  <c r="BM488"/>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AX486"/>
  <c r="AW486"/>
  <c r="AV486"/>
  <c r="AC486"/>
  <c r="H486"/>
  <c r="G486" s="1"/>
  <c r="BT485"/>
  <c r="BS485"/>
  <c r="BR485"/>
  <c r="BQ485"/>
  <c r="BP485"/>
  <c r="BO485"/>
  <c r="BN485"/>
  <c r="BM485"/>
  <c r="BL485" s="1"/>
  <c r="BK485"/>
  <c r="BJ485"/>
  <c r="BI485"/>
  <c r="BH485"/>
  <c r="BG485"/>
  <c r="BF485"/>
  <c r="BE485"/>
  <c r="BD485"/>
  <c r="BC485"/>
  <c r="BB485"/>
  <c r="AX485"/>
  <c r="AW485"/>
  <c r="AV485"/>
  <c r="AC485"/>
  <c r="H485"/>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L483" s="1"/>
  <c r="BK483"/>
  <c r="BJ483"/>
  <c r="BI483"/>
  <c r="BH483"/>
  <c r="BG483"/>
  <c r="BF483"/>
  <c r="BE483"/>
  <c r="BD483"/>
  <c r="BC483"/>
  <c r="BB483"/>
  <c r="AX483"/>
  <c r="AW483"/>
  <c r="AV483"/>
  <c r="AC483"/>
  <c r="H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K480"/>
  <c r="BJ480"/>
  <c r="BI480"/>
  <c r="BH480"/>
  <c r="BG480"/>
  <c r="BF480"/>
  <c r="BE480"/>
  <c r="BD480"/>
  <c r="BC480"/>
  <c r="BB480"/>
  <c r="BA480" s="1"/>
  <c r="AX480"/>
  <c r="AW480"/>
  <c r="AV480"/>
  <c r="AC480"/>
  <c r="H480"/>
  <c r="BT479"/>
  <c r="BS479"/>
  <c r="BR479"/>
  <c r="BQ479"/>
  <c r="BP479"/>
  <c r="BO479"/>
  <c r="BN479"/>
  <c r="BM479"/>
  <c r="BL479" s="1"/>
  <c r="BK479"/>
  <c r="BJ479"/>
  <c r="BI479"/>
  <c r="BH479"/>
  <c r="BG479"/>
  <c r="BF479"/>
  <c r="BE479"/>
  <c r="BD479"/>
  <c r="BC479"/>
  <c r="BB479"/>
  <c r="AX479"/>
  <c r="AW479"/>
  <c r="AV479"/>
  <c r="AC479"/>
  <c r="H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K476"/>
  <c r="BJ476"/>
  <c r="BI476"/>
  <c r="BH476"/>
  <c r="BG476"/>
  <c r="BF476"/>
  <c r="BE476"/>
  <c r="BD476"/>
  <c r="BC476"/>
  <c r="BB476"/>
  <c r="BA476" s="1"/>
  <c r="AX476"/>
  <c r="AW476"/>
  <c r="AV476"/>
  <c r="AC476"/>
  <c r="H476"/>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L472" s="1"/>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185" i="31"/>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S256" s="1"/>
  <c r="R257"/>
  <c r="S257" s="1"/>
  <c r="R258"/>
  <c r="R259"/>
  <c r="S259" s="1"/>
  <c r="R260"/>
  <c r="S260" s="1"/>
  <c r="R261"/>
  <c r="S261" s="1"/>
  <c r="R262"/>
  <c r="R263"/>
  <c r="S263" s="1"/>
  <c r="R264"/>
  <c r="S264" s="1"/>
  <c r="R265"/>
  <c r="S265" s="1"/>
  <c r="R266"/>
  <c r="R267"/>
  <c r="S267" s="1"/>
  <c r="R268"/>
  <c r="S268" s="1"/>
  <c r="R269"/>
  <c r="S269" s="1"/>
  <c r="R270"/>
  <c r="R271"/>
  <c r="S271" s="1"/>
  <c r="R272"/>
  <c r="S272" s="1"/>
  <c r="R273"/>
  <c r="S273" s="1"/>
  <c r="R274"/>
  <c r="R275"/>
  <c r="S275" s="1"/>
  <c r="R276"/>
  <c r="S276" s="1"/>
  <c r="R277"/>
  <c r="S277" s="1"/>
  <c r="R278"/>
  <c r="R279"/>
  <c r="S279" s="1"/>
  <c r="R280"/>
  <c r="S280" s="1"/>
  <c r="R281"/>
  <c r="S281" s="1"/>
  <c r="R282"/>
  <c r="R283"/>
  <c r="S283" s="1"/>
  <c r="R284"/>
  <c r="S284" s="1"/>
  <c r="R285"/>
  <c r="S285" s="1"/>
  <c r="R286"/>
  <c r="R287"/>
  <c r="S287" s="1"/>
  <c r="R288"/>
  <c r="S288" s="1"/>
  <c r="R289"/>
  <c r="S289" s="1"/>
  <c r="R290"/>
  <c r="R291"/>
  <c r="S291" s="1"/>
  <c r="R292"/>
  <c r="S292" s="1"/>
  <c r="R293"/>
  <c r="S293" s="1"/>
  <c r="R294"/>
  <c r="R295"/>
  <c r="S295" s="1"/>
  <c r="R296"/>
  <c r="S296" s="1"/>
  <c r="R297"/>
  <c r="S297" s="1"/>
  <c r="R298"/>
  <c r="R299"/>
  <c r="S299" s="1"/>
  <c r="R300"/>
  <c r="S300" s="1"/>
  <c r="R301"/>
  <c r="S301" s="1"/>
  <c r="R302"/>
  <c r="R303"/>
  <c r="S303" s="1"/>
  <c r="R304"/>
  <c r="S304" s="1"/>
  <c r="R305"/>
  <c r="S305" s="1"/>
  <c r="R306"/>
  <c r="R307"/>
  <c r="S307" s="1"/>
  <c r="R308"/>
  <c r="S308" s="1"/>
  <c r="R309"/>
  <c r="S309" s="1"/>
  <c r="R310"/>
  <c r="R311"/>
  <c r="S311" s="1"/>
  <c r="R312"/>
  <c r="S312" s="1"/>
  <c r="R313"/>
  <c r="S313" s="1"/>
  <c r="R314"/>
  <c r="R315"/>
  <c r="S315" s="1"/>
  <c r="R316"/>
  <c r="S316" s="1"/>
  <c r="R317"/>
  <c r="S317" s="1"/>
  <c r="R318"/>
  <c r="R319"/>
  <c r="S319" s="1"/>
  <c r="R320"/>
  <c r="S320" s="1"/>
  <c r="R321"/>
  <c r="S321" s="1"/>
  <c r="R322"/>
  <c r="S322" s="1"/>
  <c r="R323"/>
  <c r="S323" s="1"/>
  <c r="R324"/>
  <c r="R325"/>
  <c r="S325" s="1"/>
  <c r="R326"/>
  <c r="S326" s="1"/>
  <c r="R327"/>
  <c r="S327" s="1"/>
  <c r="R328"/>
  <c r="R329"/>
  <c r="S329" s="1"/>
  <c r="R330"/>
  <c r="S330" s="1"/>
  <c r="R331"/>
  <c r="S331" s="1"/>
  <c r="R332"/>
  <c r="R333"/>
  <c r="S333" s="1"/>
  <c r="R334"/>
  <c r="S334" s="1"/>
  <c r="R335"/>
  <c r="S335" s="1"/>
  <c r="R336"/>
  <c r="R337"/>
  <c r="S337" s="1"/>
  <c r="R338"/>
  <c r="S338" s="1"/>
  <c r="R339"/>
  <c r="S339" s="1"/>
  <c r="R340"/>
  <c r="R341"/>
  <c r="S341" s="1"/>
  <c r="R342"/>
  <c r="S342" s="1"/>
  <c r="R343"/>
  <c r="S343" s="1"/>
  <c r="R344"/>
  <c r="R345"/>
  <c r="S345" s="1"/>
  <c r="R346"/>
  <c r="S346" s="1"/>
  <c r="R347"/>
  <c r="S347" s="1"/>
  <c r="R348"/>
  <c r="R349"/>
  <c r="S349" s="1"/>
  <c r="R350"/>
  <c r="S350" s="1"/>
  <c r="R351"/>
  <c r="S351" s="1"/>
  <c r="R352"/>
  <c r="R353"/>
  <c r="S353" s="1"/>
  <c r="R354"/>
  <c r="S354" s="1"/>
  <c r="R355"/>
  <c r="S355" s="1"/>
  <c r="R356"/>
  <c r="R357"/>
  <c r="S357" s="1"/>
  <c r="R358"/>
  <c r="S358" s="1"/>
  <c r="R359"/>
  <c r="S359" s="1"/>
  <c r="R360"/>
  <c r="R361"/>
  <c r="S361" s="1"/>
  <c r="R362"/>
  <c r="S362" s="1"/>
  <c r="R363"/>
  <c r="S363" s="1"/>
  <c r="R364"/>
  <c r="R365"/>
  <c r="S365" s="1"/>
  <c r="R366"/>
  <c r="S366" s="1"/>
  <c r="R367"/>
  <c r="S367" s="1"/>
  <c r="R368"/>
  <c r="R369"/>
  <c r="S369" s="1"/>
  <c r="R370"/>
  <c r="S370" s="1"/>
  <c r="R371"/>
  <c r="S371" s="1"/>
  <c r="R372"/>
  <c r="R373"/>
  <c r="S373" s="1"/>
  <c r="R374"/>
  <c r="S374" s="1"/>
  <c r="R375"/>
  <c r="S375" s="1"/>
  <c r="R376"/>
  <c r="R377"/>
  <c r="S377" s="1"/>
  <c r="R378"/>
  <c r="S378" s="1"/>
  <c r="R379"/>
  <c r="S379" s="1"/>
  <c r="R380"/>
  <c r="R381"/>
  <c r="S381" s="1"/>
  <c r="R382"/>
  <c r="S382" s="1"/>
  <c r="R383"/>
  <c r="S383" s="1"/>
  <c r="R384"/>
  <c r="R385"/>
  <c r="S385" s="1"/>
  <c r="R386"/>
  <c r="S386" s="1"/>
  <c r="R387"/>
  <c r="S387" s="1"/>
  <c r="R388"/>
  <c r="R389"/>
  <c r="S389" s="1"/>
  <c r="R390"/>
  <c r="S390" s="1"/>
  <c r="R391"/>
  <c r="S391" s="1"/>
  <c r="R392"/>
  <c r="R393"/>
  <c r="S393" s="1"/>
  <c r="R394"/>
  <c r="S394" s="1"/>
  <c r="R395"/>
  <c r="S395" s="1"/>
  <c r="R396"/>
  <c r="R397"/>
  <c r="S397" s="1"/>
  <c r="R398"/>
  <c r="S398" s="1"/>
  <c r="R399"/>
  <c r="S399" s="1"/>
  <c r="R400"/>
  <c r="R401"/>
  <c r="S401" s="1"/>
  <c r="R402"/>
  <c r="S402" s="1"/>
  <c r="R403"/>
  <c r="S403" s="1"/>
  <c r="R404"/>
  <c r="R405"/>
  <c r="S405" s="1"/>
  <c r="R406"/>
  <c r="S406" s="1"/>
  <c r="R407"/>
  <c r="S407" s="1"/>
  <c r="R408"/>
  <c r="R409"/>
  <c r="S409" s="1"/>
  <c r="R410"/>
  <c r="S410" s="1"/>
  <c r="R411"/>
  <c r="S411" s="1"/>
  <c r="R412"/>
  <c r="R413"/>
  <c r="S413" s="1"/>
  <c r="R414"/>
  <c r="S414" s="1"/>
  <c r="R415"/>
  <c r="S415" s="1"/>
  <c r="R416"/>
  <c r="R417"/>
  <c r="S417" s="1"/>
  <c r="R418"/>
  <c r="S418" s="1"/>
  <c r="R419"/>
  <c r="S419" s="1"/>
  <c r="R420"/>
  <c r="R421"/>
  <c r="S421" s="1"/>
  <c r="R422"/>
  <c r="S422" s="1"/>
  <c r="R423"/>
  <c r="S423" s="1"/>
  <c r="R424"/>
  <c r="R425"/>
  <c r="R426"/>
  <c r="S426" s="1"/>
  <c r="R427"/>
  <c r="R428"/>
  <c r="S428" s="1"/>
  <c r="R429"/>
  <c r="R430"/>
  <c r="R431"/>
  <c r="R432"/>
  <c r="R433"/>
  <c r="R434"/>
  <c r="R435"/>
  <c r="R436"/>
  <c r="R437"/>
  <c r="R438"/>
  <c r="R439"/>
  <c r="R440"/>
  <c r="R441"/>
  <c r="R442"/>
  <c r="S442" s="1"/>
  <c r="R443"/>
  <c r="R444"/>
  <c r="S444" s="1"/>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S500" s="1"/>
  <c r="R501"/>
  <c r="R502"/>
  <c r="R503"/>
  <c r="R504"/>
  <c r="S504" s="1"/>
  <c r="R505"/>
  <c r="R506"/>
  <c r="R507"/>
  <c r="R508"/>
  <c r="S508" s="1"/>
  <c r="R509"/>
  <c r="R510"/>
  <c r="S510" s="1"/>
  <c r="R511"/>
  <c r="R512"/>
  <c r="S512" s="1"/>
  <c r="R513"/>
  <c r="R514"/>
  <c r="S514" s="1"/>
  <c r="R515"/>
  <c r="R516"/>
  <c r="S516" s="1"/>
  <c r="R517"/>
  <c r="R518"/>
  <c r="S518" s="1"/>
  <c r="R519"/>
  <c r="R520"/>
  <c r="S520" s="1"/>
  <c r="R521"/>
  <c r="R522"/>
  <c r="S522" s="1"/>
  <c r="R523"/>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I15" i="4"/>
  <c r="H15"/>
  <c r="G15"/>
  <c r="F8" i="1" s="1"/>
  <c r="E15" i="4"/>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1"/>
  <c r="K8" i="1"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J55"/>
  <c r="B31" i="1"/>
  <c r="B52"/>
  <c r="T4"/>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0"/>
  <c r="S416"/>
  <c r="S412"/>
  <c r="S408"/>
  <c r="S404"/>
  <c r="S400"/>
  <c r="S396"/>
  <c r="S392"/>
  <c r="S388"/>
  <c r="S384"/>
  <c r="S380"/>
  <c r="S376"/>
  <c r="S372"/>
  <c r="S368"/>
  <c r="S364"/>
  <c r="S360"/>
  <c r="S356"/>
  <c r="S352"/>
  <c r="S348"/>
  <c r="S344"/>
  <c r="S340"/>
  <c r="S336"/>
  <c r="S332"/>
  <c r="S328"/>
  <c r="S324"/>
  <c r="S424"/>
  <c r="S318"/>
  <c r="S314"/>
  <c r="S310"/>
  <c r="S306"/>
  <c r="S302"/>
  <c r="S298"/>
  <c r="S294"/>
  <c r="S290"/>
  <c r="S286"/>
  <c r="S282"/>
  <c r="S278"/>
  <c r="S274"/>
  <c r="S270"/>
  <c r="S266"/>
  <c r="S262"/>
  <c r="S258"/>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497"/>
  <c r="S496"/>
  <c r="S495"/>
  <c r="S494"/>
  <c r="S493"/>
  <c r="S492"/>
  <c r="S491"/>
  <c r="S490"/>
  <c r="S489"/>
  <c r="S488"/>
  <c r="S487"/>
  <c r="S486"/>
  <c r="S485"/>
  <c r="S484"/>
  <c r="S483"/>
  <c r="S482"/>
  <c r="S481"/>
  <c r="S480"/>
  <c r="S479"/>
  <c r="S478"/>
  <c r="S477"/>
  <c r="S476"/>
  <c r="S475"/>
  <c r="S474"/>
  <c r="S473"/>
  <c r="S472"/>
  <c r="S471"/>
  <c r="S470"/>
  <c r="S469"/>
  <c r="S468"/>
  <c r="S443"/>
  <c r="S441"/>
  <c r="S440"/>
  <c r="S439"/>
  <c r="S438"/>
  <c r="S437"/>
  <c r="S436"/>
  <c r="S435"/>
  <c r="S434"/>
  <c r="S433"/>
  <c r="S432"/>
  <c r="S431"/>
  <c r="S430"/>
  <c r="S506"/>
  <c r="S502"/>
  <c r="S498"/>
  <c r="S467"/>
  <c r="S466"/>
  <c r="S465"/>
  <c r="S464"/>
  <c r="S463"/>
  <c r="S462"/>
  <c r="S461"/>
  <c r="S460"/>
  <c r="S459"/>
  <c r="S458"/>
  <c r="S457"/>
  <c r="S456"/>
  <c r="S455"/>
  <c r="S454"/>
  <c r="S453"/>
  <c r="S452"/>
  <c r="S451"/>
  <c r="S450"/>
  <c r="S445"/>
  <c r="S446"/>
  <c r="S447"/>
  <c r="S448"/>
  <c r="S449"/>
  <c r="S507"/>
  <c r="S509"/>
  <c r="S511"/>
  <c r="S513"/>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G493" s="1"/>
  <c r="AC493"/>
  <c r="BB493"/>
  <c r="BC493"/>
  <c r="BD493"/>
  <c r="BE493"/>
  <c r="BF493"/>
  <c r="BF5" s="1"/>
  <c r="BG493"/>
  <c r="BH493"/>
  <c r="BI493"/>
  <c r="BJ493"/>
  <c r="BJ5" s="1"/>
  <c r="BK493"/>
  <c r="BM493"/>
  <c r="BL493" s="1"/>
  <c r="AZ493" s="1"/>
  <c r="BN493"/>
  <c r="BO493"/>
  <c r="BO5" s="1"/>
  <c r="BP493"/>
  <c r="BR493"/>
  <c r="BS493"/>
  <c r="BT493"/>
  <c r="H494"/>
  <c r="AC494"/>
  <c r="G494" s="1"/>
  <c r="BB494"/>
  <c r="BC494"/>
  <c r="BC5" s="1"/>
  <c r="BD494"/>
  <c r="BE494"/>
  <c r="BF494"/>
  <c r="BG494"/>
  <c r="BG5" s="1"/>
  <c r="BH494"/>
  <c r="BI494"/>
  <c r="BJ494"/>
  <c r="BK494"/>
  <c r="BK5" s="1"/>
  <c r="BM494"/>
  <c r="BN494"/>
  <c r="BL494" s="1"/>
  <c r="AZ494" s="1"/>
  <c r="BO494"/>
  <c r="BP494"/>
  <c r="BQ494"/>
  <c r="BR494"/>
  <c r="BS494"/>
  <c r="BT494"/>
  <c r="H495"/>
  <c r="AC495"/>
  <c r="BB495"/>
  <c r="BC495"/>
  <c r="BA495" s="1"/>
  <c r="BD495"/>
  <c r="BE495"/>
  <c r="BF495"/>
  <c r="BG495"/>
  <c r="BH495"/>
  <c r="BI495"/>
  <c r="BJ495"/>
  <c r="BK495"/>
  <c r="BM495"/>
  <c r="BN495"/>
  <c r="BO495"/>
  <c r="BP495"/>
  <c r="BR495"/>
  <c r="BS495"/>
  <c r="BS5" s="1"/>
  <c r="BT495"/>
  <c r="H496"/>
  <c r="G496" s="1"/>
  <c r="AC496"/>
  <c r="BB496"/>
  <c r="BA496" s="1"/>
  <c r="AZ496" s="1"/>
  <c r="BC496"/>
  <c r="BD496"/>
  <c r="BE496"/>
  <c r="BF496"/>
  <c r="BG496"/>
  <c r="BH496"/>
  <c r="BI496"/>
  <c r="BJ496"/>
  <c r="BK496"/>
  <c r="BM496"/>
  <c r="BN496"/>
  <c r="BO496"/>
  <c r="BP496"/>
  <c r="BQ496"/>
  <c r="BR496"/>
  <c r="BS496"/>
  <c r="BT496"/>
  <c r="H497"/>
  <c r="G497" s="1"/>
  <c r="AC497"/>
  <c r="BB497"/>
  <c r="BC497"/>
  <c r="BD497"/>
  <c r="BE497"/>
  <c r="BF497"/>
  <c r="BG497"/>
  <c r="BH497"/>
  <c r="BI497"/>
  <c r="BJ497"/>
  <c r="BK497"/>
  <c r="BM497"/>
  <c r="BN497"/>
  <c r="BO497"/>
  <c r="BP497"/>
  <c r="BR497"/>
  <c r="BS497"/>
  <c r="BT497"/>
  <c r="H498"/>
  <c r="AC498"/>
  <c r="BB498"/>
  <c r="BC498"/>
  <c r="BA498" s="1"/>
  <c r="AZ498" s="1"/>
  <c r="BD498"/>
  <c r="BE498"/>
  <c r="BF498"/>
  <c r="BG498"/>
  <c r="BH498"/>
  <c r="BI498"/>
  <c r="BJ498"/>
  <c r="BK498"/>
  <c r="BM498"/>
  <c r="BN498"/>
  <c r="BO498"/>
  <c r="BP498"/>
  <c r="BQ498"/>
  <c r="BR498"/>
  <c r="BS498"/>
  <c r="BT498"/>
  <c r="H499"/>
  <c r="AC499"/>
  <c r="BB499"/>
  <c r="BC499"/>
  <c r="BA499" s="1"/>
  <c r="AZ499" s="1"/>
  <c r="BD499"/>
  <c r="BE499"/>
  <c r="BF499"/>
  <c r="BG499"/>
  <c r="BH499"/>
  <c r="BI499"/>
  <c r="BJ499"/>
  <c r="BK499"/>
  <c r="BM499"/>
  <c r="BN499"/>
  <c r="BO499"/>
  <c r="BP499"/>
  <c r="BR499"/>
  <c r="BS499"/>
  <c r="BT499"/>
  <c r="H500"/>
  <c r="AC500"/>
  <c r="BB500"/>
  <c r="BC500"/>
  <c r="BD500"/>
  <c r="BE500"/>
  <c r="BF500"/>
  <c r="BG500"/>
  <c r="BH500"/>
  <c r="BI500"/>
  <c r="BJ500"/>
  <c r="BK500"/>
  <c r="BM500"/>
  <c r="BL500" s="1"/>
  <c r="BN500"/>
  <c r="BO500"/>
  <c r="BP500"/>
  <c r="BQ500"/>
  <c r="BR500"/>
  <c r="BS500"/>
  <c r="BT500"/>
  <c r="H501"/>
  <c r="G501" s="1"/>
  <c r="AC501"/>
  <c r="BB501"/>
  <c r="BC501"/>
  <c r="BD501"/>
  <c r="BE501"/>
  <c r="BF501"/>
  <c r="BG501"/>
  <c r="BH501"/>
  <c r="BI501"/>
  <c r="BJ501"/>
  <c r="BK501"/>
  <c r="BM501"/>
  <c r="BN501"/>
  <c r="BO501"/>
  <c r="BP501"/>
  <c r="BR501"/>
  <c r="BS501"/>
  <c r="BT501"/>
  <c r="H502"/>
  <c r="AC502"/>
  <c r="BB502"/>
  <c r="BC502"/>
  <c r="BA502" s="1"/>
  <c r="BD502"/>
  <c r="BE502"/>
  <c r="BF502"/>
  <c r="BG502"/>
  <c r="BH502"/>
  <c r="BI502"/>
  <c r="BJ502"/>
  <c r="BK502"/>
  <c r="BM502"/>
  <c r="BN502"/>
  <c r="BL502" s="1"/>
  <c r="BO502"/>
  <c r="BP502"/>
  <c r="BQ502"/>
  <c r="BR502"/>
  <c r="BS502"/>
  <c r="BT502"/>
  <c r="H503"/>
  <c r="AC503"/>
  <c r="BB503"/>
  <c r="BC503"/>
  <c r="BA503" s="1"/>
  <c r="BD503"/>
  <c r="BE503"/>
  <c r="BF503"/>
  <c r="BG503"/>
  <c r="BH503"/>
  <c r="BI503"/>
  <c r="BJ503"/>
  <c r="BK503"/>
  <c r="BM503"/>
  <c r="BN503"/>
  <c r="BO503"/>
  <c r="BP503"/>
  <c r="BR503"/>
  <c r="BS503"/>
  <c r="BT503"/>
  <c r="H504"/>
  <c r="G504" s="1"/>
  <c r="AC504"/>
  <c r="BB504"/>
  <c r="BA504" s="1"/>
  <c r="AZ504" s="1"/>
  <c r="BC504"/>
  <c r="BD504"/>
  <c r="BE504"/>
  <c r="BF504"/>
  <c r="BG504"/>
  <c r="BH504"/>
  <c r="BI504"/>
  <c r="BJ504"/>
  <c r="BK504"/>
  <c r="BM504"/>
  <c r="BN504"/>
  <c r="BO504"/>
  <c r="BP504"/>
  <c r="BQ504"/>
  <c r="BR504"/>
  <c r="BS504"/>
  <c r="BT504"/>
  <c r="H505"/>
  <c r="G505" s="1"/>
  <c r="AC505"/>
  <c r="BB505"/>
  <c r="BC505"/>
  <c r="BD505"/>
  <c r="BE505"/>
  <c r="BF505"/>
  <c r="BG505"/>
  <c r="BH505"/>
  <c r="BI505"/>
  <c r="BJ505"/>
  <c r="BK505"/>
  <c r="BM505"/>
  <c r="BL505" s="1"/>
  <c r="AZ505" s="1"/>
  <c r="BN505"/>
  <c r="BO505"/>
  <c r="BP505"/>
  <c r="BR505"/>
  <c r="BS505"/>
  <c r="BT505"/>
  <c r="H506"/>
  <c r="AC506"/>
  <c r="G506" s="1"/>
  <c r="BB506"/>
  <c r="BC506"/>
  <c r="BD506"/>
  <c r="BE506"/>
  <c r="BF506"/>
  <c r="BG506"/>
  <c r="BH506"/>
  <c r="BI506"/>
  <c r="BJ506"/>
  <c r="BK506"/>
  <c r="BM506"/>
  <c r="BN506"/>
  <c r="BO506"/>
  <c r="BP506"/>
  <c r="BQ506"/>
  <c r="BR506"/>
  <c r="BS506"/>
  <c r="BT506"/>
  <c r="H507"/>
  <c r="AC507"/>
  <c r="BB507"/>
  <c r="BC507"/>
  <c r="BA507" s="1"/>
  <c r="BD507"/>
  <c r="BE507"/>
  <c r="BF507"/>
  <c r="BG507"/>
  <c r="BH507"/>
  <c r="BI507"/>
  <c r="BJ507"/>
  <c r="BK507"/>
  <c r="BM507"/>
  <c r="BN507"/>
  <c r="BO507"/>
  <c r="BP507"/>
  <c r="BR507"/>
  <c r="BS507"/>
  <c r="BT507"/>
  <c r="H508"/>
  <c r="AC508"/>
  <c r="BB508"/>
  <c r="BA508" s="1"/>
  <c r="AZ508" s="1"/>
  <c r="BC508"/>
  <c r="BD508"/>
  <c r="BE508"/>
  <c r="BF508"/>
  <c r="BG508"/>
  <c r="BH508"/>
  <c r="BI508"/>
  <c r="BJ508"/>
  <c r="BK508"/>
  <c r="BM508"/>
  <c r="BN508"/>
  <c r="BO508"/>
  <c r="BP508"/>
  <c r="BQ508"/>
  <c r="BR508"/>
  <c r="BS508"/>
  <c r="BT508"/>
  <c r="H509"/>
  <c r="BB509"/>
  <c r="BC509"/>
  <c r="BD509"/>
  <c r="BE509"/>
  <c r="BF509"/>
  <c r="BG509"/>
  <c r="BH509"/>
  <c r="BI509"/>
  <c r="BJ509"/>
  <c r="BK509"/>
  <c r="BM509"/>
  <c r="BN509"/>
  <c r="BL509" s="1"/>
  <c r="BO509"/>
  <c r="BP509"/>
  <c r="BR509"/>
  <c r="BS509"/>
  <c r="BT509"/>
  <c r="H510"/>
  <c r="G510" s="1"/>
  <c r="AC510"/>
  <c r="BB510"/>
  <c r="BA510" s="1"/>
  <c r="BC510"/>
  <c r="BD510"/>
  <c r="BE510"/>
  <c r="BF510"/>
  <c r="BG510"/>
  <c r="BH510"/>
  <c r="BI510"/>
  <c r="BJ510"/>
  <c r="BK510"/>
  <c r="BM510"/>
  <c r="BL510" s="1"/>
  <c r="BN510"/>
  <c r="BO510"/>
  <c r="BP510"/>
  <c r="BQ510"/>
  <c r="BR510"/>
  <c r="BS510"/>
  <c r="BT510"/>
  <c r="H511"/>
  <c r="AC511"/>
  <c r="BB511"/>
  <c r="BC511"/>
  <c r="BD511"/>
  <c r="BE511"/>
  <c r="BF511"/>
  <c r="BG511"/>
  <c r="BH511"/>
  <c r="BI511"/>
  <c r="BJ511"/>
  <c r="BK511"/>
  <c r="BM511"/>
  <c r="BL511" s="1"/>
  <c r="AZ511" s="1"/>
  <c r="BN511"/>
  <c r="BO511"/>
  <c r="BP511"/>
  <c r="BR511"/>
  <c r="BS511"/>
  <c r="BT511"/>
  <c r="H512"/>
  <c r="AC512"/>
  <c r="BB512"/>
  <c r="BC512"/>
  <c r="BA512" s="1"/>
  <c r="BD512"/>
  <c r="BE512"/>
  <c r="BF512"/>
  <c r="BG512"/>
  <c r="BH512"/>
  <c r="BI512"/>
  <c r="BJ512"/>
  <c r="BK512"/>
  <c r="BM512"/>
  <c r="BN512"/>
  <c r="BL512" s="1"/>
  <c r="BO512"/>
  <c r="BP512"/>
  <c r="BQ512"/>
  <c r="BR512"/>
  <c r="BS512"/>
  <c r="BT512"/>
  <c r="H513"/>
  <c r="AC513"/>
  <c r="G513" s="1"/>
  <c r="BB513"/>
  <c r="BC513"/>
  <c r="BA513" s="1"/>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G516" s="1"/>
  <c r="BB516"/>
  <c r="BC516"/>
  <c r="BA516" s="1"/>
  <c r="BD516"/>
  <c r="BE516"/>
  <c r="BF516"/>
  <c r="BG516"/>
  <c r="BH516"/>
  <c r="BI516"/>
  <c r="BJ516"/>
  <c r="BK516"/>
  <c r="BM516"/>
  <c r="BN516"/>
  <c r="BO516"/>
  <c r="BP516"/>
  <c r="BQ516"/>
  <c r="BR516"/>
  <c r="BS516"/>
  <c r="BT516"/>
  <c r="H517"/>
  <c r="AC517"/>
  <c r="G517" s="1"/>
  <c r="BB517"/>
  <c r="BC517"/>
  <c r="BA517" s="1"/>
  <c r="BD517"/>
  <c r="BE517"/>
  <c r="BF517"/>
  <c r="BG517"/>
  <c r="BH517"/>
  <c r="BI517"/>
  <c r="BJ517"/>
  <c r="BK517"/>
  <c r="BM517"/>
  <c r="BN517"/>
  <c r="BO517"/>
  <c r="BP517"/>
  <c r="BR517"/>
  <c r="BS517"/>
  <c r="BT517"/>
  <c r="H518"/>
  <c r="G518" s="1"/>
  <c r="AC518"/>
  <c r="BB518"/>
  <c r="BC518"/>
  <c r="BD518"/>
  <c r="BE518"/>
  <c r="BF518"/>
  <c r="BG518"/>
  <c r="BH518"/>
  <c r="BI518"/>
  <c r="BJ518"/>
  <c r="BK518"/>
  <c r="BM518"/>
  <c r="BL518" s="1"/>
  <c r="BN518"/>
  <c r="BO518"/>
  <c r="BP518"/>
  <c r="BQ518"/>
  <c r="BR518"/>
  <c r="BS518"/>
  <c r="BT518"/>
  <c r="H519"/>
  <c r="AC519"/>
  <c r="BB519"/>
  <c r="BC519"/>
  <c r="BD519"/>
  <c r="BE519"/>
  <c r="BF519"/>
  <c r="BG519"/>
  <c r="BH519"/>
  <c r="BI519"/>
  <c r="BJ519"/>
  <c r="BK519"/>
  <c r="BM519"/>
  <c r="BN519"/>
  <c r="BO519"/>
  <c r="BP519"/>
  <c r="BR519"/>
  <c r="BS519"/>
  <c r="BT519"/>
  <c r="H520"/>
  <c r="AC520"/>
  <c r="G520" s="1"/>
  <c r="BB520"/>
  <c r="BC520"/>
  <c r="BA520" s="1"/>
  <c r="BD520"/>
  <c r="BE520"/>
  <c r="BF520"/>
  <c r="BG520"/>
  <c r="BH520"/>
  <c r="BI520"/>
  <c r="BJ520"/>
  <c r="BK520"/>
  <c r="BM520"/>
  <c r="BN520"/>
  <c r="BL520" s="1"/>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L522" s="1"/>
  <c r="BO522"/>
  <c r="BP522"/>
  <c r="BQ522"/>
  <c r="BR522"/>
  <c r="BS522"/>
  <c r="BT522"/>
  <c r="H523"/>
  <c r="AC523"/>
  <c r="BB523"/>
  <c r="BC523"/>
  <c r="BA523" s="1"/>
  <c r="BD523"/>
  <c r="BE523"/>
  <c r="BF523"/>
  <c r="BG523"/>
  <c r="BH523"/>
  <c r="BI523"/>
  <c r="BJ523"/>
  <c r="BK523"/>
  <c r="BM523"/>
  <c r="BN523"/>
  <c r="BO523"/>
  <c r="BP523"/>
  <c r="BR523"/>
  <c r="BS523"/>
  <c r="BT523"/>
  <c r="H524"/>
  <c r="G524" s="1"/>
  <c r="AC524"/>
  <c r="BB524"/>
  <c r="BA524" s="1"/>
  <c r="BC524"/>
  <c r="BD524"/>
  <c r="BE524"/>
  <c r="BF524"/>
  <c r="BG524"/>
  <c r="BH524"/>
  <c r="BI524"/>
  <c r="BJ524"/>
  <c r="BK524"/>
  <c r="BM524"/>
  <c r="BN524"/>
  <c r="BO524"/>
  <c r="BP524"/>
  <c r="BQ524"/>
  <c r="BR524"/>
  <c r="BS524"/>
  <c r="BT524"/>
  <c r="H525"/>
  <c r="G525" s="1"/>
  <c r="AC525"/>
  <c r="BB525"/>
  <c r="BC525"/>
  <c r="BD525"/>
  <c r="BE525"/>
  <c r="BF525"/>
  <c r="BG525"/>
  <c r="BH525"/>
  <c r="BI525"/>
  <c r="BJ525"/>
  <c r="BK525"/>
  <c r="BM525"/>
  <c r="BN525"/>
  <c r="BO525"/>
  <c r="BP525"/>
  <c r="BR525"/>
  <c r="BS525"/>
  <c r="BT525"/>
  <c r="H526"/>
  <c r="AC526"/>
  <c r="BB526"/>
  <c r="BC526"/>
  <c r="BA526" s="1"/>
  <c r="AZ526" s="1"/>
  <c r="BD526"/>
  <c r="BE526"/>
  <c r="BF526"/>
  <c r="BG526"/>
  <c r="BH526"/>
  <c r="BI526"/>
  <c r="BJ526"/>
  <c r="BK526"/>
  <c r="BM526"/>
  <c r="BN526"/>
  <c r="BO526"/>
  <c r="BP526"/>
  <c r="BQ526"/>
  <c r="BR526"/>
  <c r="BS526"/>
  <c r="BT526"/>
  <c r="H527"/>
  <c r="AC527"/>
  <c r="G527" s="1"/>
  <c r="BB527"/>
  <c r="BC527"/>
  <c r="BA527" s="1"/>
  <c r="BD527"/>
  <c r="BE527"/>
  <c r="BF527"/>
  <c r="BG527"/>
  <c r="BH527"/>
  <c r="BI527"/>
  <c r="BJ527"/>
  <c r="BK527"/>
  <c r="BM527"/>
  <c r="BN527"/>
  <c r="BO527"/>
  <c r="BP527"/>
  <c r="BR527"/>
  <c r="BS527"/>
  <c r="BT527"/>
  <c r="H528"/>
  <c r="AC528"/>
  <c r="BB528"/>
  <c r="BA528" s="1"/>
  <c r="AZ528" s="1"/>
  <c r="BC528"/>
  <c r="BD528"/>
  <c r="BE528"/>
  <c r="BF528"/>
  <c r="BG528"/>
  <c r="BH528"/>
  <c r="BI528"/>
  <c r="BJ528"/>
  <c r="BK528"/>
  <c r="BM528"/>
  <c r="BN528"/>
  <c r="BO528"/>
  <c r="BP528"/>
  <c r="BQ528"/>
  <c r="BR528"/>
  <c r="BS528"/>
  <c r="BT528"/>
  <c r="H529"/>
  <c r="G529" s="1"/>
  <c r="AC529"/>
  <c r="BB529"/>
  <c r="BC529"/>
  <c r="BD529"/>
  <c r="BE529"/>
  <c r="BF529"/>
  <c r="BG529"/>
  <c r="BH529"/>
  <c r="BI529"/>
  <c r="BJ529"/>
  <c r="BK529"/>
  <c r="BM529"/>
  <c r="BN529"/>
  <c r="BO529"/>
  <c r="BP529"/>
  <c r="BR529"/>
  <c r="BS529"/>
  <c r="BT529"/>
  <c r="H530"/>
  <c r="AC530"/>
  <c r="G530" s="1"/>
  <c r="BB530"/>
  <c r="BC530"/>
  <c r="BD530"/>
  <c r="BE530"/>
  <c r="BF530"/>
  <c r="BG530"/>
  <c r="BH530"/>
  <c r="BI530"/>
  <c r="BJ530"/>
  <c r="BK530"/>
  <c r="BM530"/>
  <c r="BN530"/>
  <c r="BL530" s="1"/>
  <c r="BO530"/>
  <c r="BP530"/>
  <c r="BQ530"/>
  <c r="BR530"/>
  <c r="BS530"/>
  <c r="BT530"/>
  <c r="H531"/>
  <c r="AC531"/>
  <c r="G531" s="1"/>
  <c r="BB531"/>
  <c r="BC531"/>
  <c r="BA531" s="1"/>
  <c r="BD531"/>
  <c r="BE531"/>
  <c r="BF531"/>
  <c r="BG531"/>
  <c r="BH531"/>
  <c r="BI531"/>
  <c r="BJ531"/>
  <c r="BK531"/>
  <c r="BM531"/>
  <c r="BN531"/>
  <c r="BO531"/>
  <c r="BP531"/>
  <c r="BR531"/>
  <c r="BS531"/>
  <c r="BT531"/>
  <c r="H532"/>
  <c r="AC532"/>
  <c r="BB532"/>
  <c r="BA532" s="1"/>
  <c r="BC532"/>
  <c r="BD532"/>
  <c r="BE532"/>
  <c r="BF532"/>
  <c r="BG532"/>
  <c r="BH532"/>
  <c r="BI532"/>
  <c r="BJ532"/>
  <c r="BK532"/>
  <c r="BM532"/>
  <c r="BN532"/>
  <c r="BO532"/>
  <c r="BP532"/>
  <c r="BQ532"/>
  <c r="BR532"/>
  <c r="BS532"/>
  <c r="BT532"/>
  <c r="H533"/>
  <c r="G533" s="1"/>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G535" s="1"/>
  <c r="BB535"/>
  <c r="BC535"/>
  <c r="BA535" s="1"/>
  <c r="BD535"/>
  <c r="BE535"/>
  <c r="BF535"/>
  <c r="BG535"/>
  <c r="BH535"/>
  <c r="BI535"/>
  <c r="BJ535"/>
  <c r="BK535"/>
  <c r="BM535"/>
  <c r="BN535"/>
  <c r="BO535"/>
  <c r="BP535"/>
  <c r="BR535"/>
  <c r="BS535"/>
  <c r="BT535"/>
  <c r="H536"/>
  <c r="AC536"/>
  <c r="BB536"/>
  <c r="BA536" s="1"/>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L538" s="1"/>
  <c r="BO538"/>
  <c r="BP538"/>
  <c r="BQ538"/>
  <c r="BR538"/>
  <c r="BS538"/>
  <c r="BT538"/>
  <c r="H539"/>
  <c r="AC539"/>
  <c r="G539" s="1"/>
  <c r="BB539"/>
  <c r="BC539"/>
  <c r="BA539" s="1"/>
  <c r="BD539"/>
  <c r="BE539"/>
  <c r="BF539"/>
  <c r="BG539"/>
  <c r="BH539"/>
  <c r="BI539"/>
  <c r="BJ539"/>
  <c r="BK539"/>
  <c r="BM539"/>
  <c r="BN539"/>
  <c r="BO539"/>
  <c r="BP539"/>
  <c r="BR539"/>
  <c r="BS539"/>
  <c r="BT539"/>
  <c r="H540"/>
  <c r="G540" s="1"/>
  <c r="AC540"/>
  <c r="BB540"/>
  <c r="BA540" s="1"/>
  <c r="BC540"/>
  <c r="BD540"/>
  <c r="BE540"/>
  <c r="BF540"/>
  <c r="BG540"/>
  <c r="BH540"/>
  <c r="BI540"/>
  <c r="BJ540"/>
  <c r="BK540"/>
  <c r="BM540"/>
  <c r="BL540" s="1"/>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A558" s="1"/>
  <c r="BC558"/>
  <c r="BD558"/>
  <c r="BE558"/>
  <c r="BF558"/>
  <c r="BG558"/>
  <c r="BH558"/>
  <c r="BI558"/>
  <c r="BJ558"/>
  <c r="BK558"/>
  <c r="BM558"/>
  <c r="BL558" s="1"/>
  <c r="BN558"/>
  <c r="BO558"/>
  <c r="BP558"/>
  <c r="BQ558"/>
  <c r="BR558"/>
  <c r="BS558"/>
  <c r="BT558"/>
  <c r="H559"/>
  <c r="G559" s="1"/>
  <c r="AC559"/>
  <c r="BB559"/>
  <c r="BA559" s="1"/>
  <c r="BC559"/>
  <c r="BD559"/>
  <c r="BE559"/>
  <c r="BF559"/>
  <c r="BG559"/>
  <c r="BH559"/>
  <c r="BI559"/>
  <c r="BJ559"/>
  <c r="BK559"/>
  <c r="BM559"/>
  <c r="BN559"/>
  <c r="BO559"/>
  <c r="BP559"/>
  <c r="BR559"/>
  <c r="BS559"/>
  <c r="BT559"/>
  <c r="H560"/>
  <c r="AC560"/>
  <c r="BB560"/>
  <c r="BC560"/>
  <c r="BD560"/>
  <c r="BE560"/>
  <c r="BF560"/>
  <c r="BG560"/>
  <c r="BH560"/>
  <c r="BI560"/>
  <c r="BJ560"/>
  <c r="BK560"/>
  <c r="BM560"/>
  <c r="BN560"/>
  <c r="BL560" s="1"/>
  <c r="BO560"/>
  <c r="BP560"/>
  <c r="BQ560"/>
  <c r="BR560"/>
  <c r="BS560"/>
  <c r="BT560"/>
  <c r="H561"/>
  <c r="AC561"/>
  <c r="BB561"/>
  <c r="BC561"/>
  <c r="BD561"/>
  <c r="BE561"/>
  <c r="BF561"/>
  <c r="BG561"/>
  <c r="BH561"/>
  <c r="BI561"/>
  <c r="BJ561"/>
  <c r="BK561"/>
  <c r="BM561"/>
  <c r="BN561"/>
  <c r="BL561" s="1"/>
  <c r="AZ561" s="1"/>
  <c r="BO561"/>
  <c r="BP561"/>
  <c r="BR561"/>
  <c r="BS561"/>
  <c r="BT561"/>
  <c r="H562"/>
  <c r="AC562"/>
  <c r="BB562"/>
  <c r="BA562" s="1"/>
  <c r="BC562"/>
  <c r="BD562"/>
  <c r="BE562"/>
  <c r="BF562"/>
  <c r="BG562"/>
  <c r="BH562"/>
  <c r="BI562"/>
  <c r="BJ562"/>
  <c r="BK562"/>
  <c r="BM562"/>
  <c r="BL562" s="1"/>
  <c r="BN562"/>
  <c r="BO562"/>
  <c r="BP562"/>
  <c r="BQ562"/>
  <c r="BR562"/>
  <c r="BS562"/>
  <c r="BT562"/>
  <c r="H563"/>
  <c r="G563" s="1"/>
  <c r="AC563"/>
  <c r="BB563"/>
  <c r="BA563" s="1"/>
  <c r="BC563"/>
  <c r="BD563"/>
  <c r="BE563"/>
  <c r="BF563"/>
  <c r="BG563"/>
  <c r="BH563"/>
  <c r="BI563"/>
  <c r="BJ563"/>
  <c r="BK563"/>
  <c r="BM563"/>
  <c r="BL563" s="1"/>
  <c r="BN563"/>
  <c r="BO563"/>
  <c r="BP563"/>
  <c r="BR563"/>
  <c r="BS563"/>
  <c r="BT563"/>
  <c r="H564"/>
  <c r="AC564"/>
  <c r="G564" s="1"/>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A566" s="1"/>
  <c r="AZ566" s="1"/>
  <c r="BC566"/>
  <c r="BD566"/>
  <c r="BE566"/>
  <c r="BF566"/>
  <c r="BG566"/>
  <c r="BH566"/>
  <c r="BI566"/>
  <c r="BJ566"/>
  <c r="BK566"/>
  <c r="BM566"/>
  <c r="BN566"/>
  <c r="BO566"/>
  <c r="BP566"/>
  <c r="BQ566"/>
  <c r="BR566"/>
  <c r="BS566"/>
  <c r="BT566"/>
  <c r="H567"/>
  <c r="G567" s="1"/>
  <c r="AC567"/>
  <c r="BB567"/>
  <c r="BA567" s="1"/>
  <c r="BC567"/>
  <c r="BD567"/>
  <c r="BE567"/>
  <c r="BF567"/>
  <c r="BG567"/>
  <c r="BH567"/>
  <c r="BI567"/>
  <c r="BJ567"/>
  <c r="BK567"/>
  <c r="BM567"/>
  <c r="BN567"/>
  <c r="BO567"/>
  <c r="BP567"/>
  <c r="BR567"/>
  <c r="BS567"/>
  <c r="BT567"/>
  <c r="H568"/>
  <c r="AC568"/>
  <c r="BB568"/>
  <c r="BC568"/>
  <c r="BD568"/>
  <c r="BE568"/>
  <c r="BF568"/>
  <c r="BG568"/>
  <c r="BH568"/>
  <c r="BI568"/>
  <c r="BJ568"/>
  <c r="BK568"/>
  <c r="BM568"/>
  <c r="BN568"/>
  <c r="BL568" s="1"/>
  <c r="BO568"/>
  <c r="BP568"/>
  <c r="BQ568"/>
  <c r="BR568"/>
  <c r="BS568"/>
  <c r="BT568"/>
  <c r="H569"/>
  <c r="AC569"/>
  <c r="BB569"/>
  <c r="BC569"/>
  <c r="BD569"/>
  <c r="BE569"/>
  <c r="BF569"/>
  <c r="BG569"/>
  <c r="BH569"/>
  <c r="BI569"/>
  <c r="BJ569"/>
  <c r="BK569"/>
  <c r="BM569"/>
  <c r="BN569"/>
  <c r="BO569"/>
  <c r="BP569"/>
  <c r="BR569"/>
  <c r="BS569"/>
  <c r="BT569"/>
  <c r="H570"/>
  <c r="G570" s="1"/>
  <c r="AC570"/>
  <c r="BB570"/>
  <c r="BC570"/>
  <c r="BA570" s="1"/>
  <c r="BD570"/>
  <c r="BE570"/>
  <c r="BF570"/>
  <c r="BG570"/>
  <c r="BH570"/>
  <c r="BI570"/>
  <c r="BJ570"/>
  <c r="BK570"/>
  <c r="BM570"/>
  <c r="BN570"/>
  <c r="BL570" s="1"/>
  <c r="BO570"/>
  <c r="BP570"/>
  <c r="BQ570"/>
  <c r="BR570"/>
  <c r="BS570"/>
  <c r="BT570"/>
  <c r="H571"/>
  <c r="AC571"/>
  <c r="G571" s="1"/>
  <c r="BB571"/>
  <c r="BC571"/>
  <c r="BA571" s="1"/>
  <c r="BD571"/>
  <c r="BE571"/>
  <c r="BF571"/>
  <c r="BG571"/>
  <c r="BH571"/>
  <c r="BI571"/>
  <c r="BJ571"/>
  <c r="BK571"/>
  <c r="BM571"/>
  <c r="BN571"/>
  <c r="BO571"/>
  <c r="BP571"/>
  <c r="BR571"/>
  <c r="BS571"/>
  <c r="BT571"/>
  <c r="H572"/>
  <c r="G572" s="1"/>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A574" s="1"/>
  <c r="AZ574" s="1"/>
  <c r="BD574"/>
  <c r="BE574"/>
  <c r="BF574"/>
  <c r="BG574"/>
  <c r="BH574"/>
  <c r="BI574"/>
  <c r="BJ574"/>
  <c r="BK574"/>
  <c r="BM574"/>
  <c r="BN574"/>
  <c r="BO574"/>
  <c r="BP574"/>
  <c r="BQ574"/>
  <c r="BR574"/>
  <c r="BS574"/>
  <c r="BT574"/>
  <c r="H575"/>
  <c r="AC575"/>
  <c r="G575" s="1"/>
  <c r="BB575"/>
  <c r="BC575"/>
  <c r="BA575" s="1"/>
  <c r="BD575"/>
  <c r="BE575"/>
  <c r="BF575"/>
  <c r="BG575"/>
  <c r="BH575"/>
  <c r="BI575"/>
  <c r="BJ575"/>
  <c r="BK575"/>
  <c r="BM575"/>
  <c r="BN575"/>
  <c r="BO575"/>
  <c r="BP575"/>
  <c r="BR575"/>
  <c r="BS575"/>
  <c r="BT575"/>
  <c r="H576"/>
  <c r="AC576"/>
  <c r="BB576"/>
  <c r="BC576"/>
  <c r="BD576"/>
  <c r="BE576"/>
  <c r="BF576"/>
  <c r="BG576"/>
  <c r="BH576"/>
  <c r="BI576"/>
  <c r="BJ576"/>
  <c r="BK576"/>
  <c r="BM576"/>
  <c r="BL576" s="1"/>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A578" s="1"/>
  <c r="BD578"/>
  <c r="BE578"/>
  <c r="BF578"/>
  <c r="BG578"/>
  <c r="BH578"/>
  <c r="BI578"/>
  <c r="BJ578"/>
  <c r="BK578"/>
  <c r="BM578"/>
  <c r="BN578"/>
  <c r="BL578" s="1"/>
  <c r="BO578"/>
  <c r="BP578"/>
  <c r="BQ578"/>
  <c r="BR578"/>
  <c r="BS578"/>
  <c r="BT578"/>
  <c r="H579"/>
  <c r="AC579"/>
  <c r="G579" s="1"/>
  <c r="BB579"/>
  <c r="BC579"/>
  <c r="BA579" s="1"/>
  <c r="BD579"/>
  <c r="BE579"/>
  <c r="BF579"/>
  <c r="BG579"/>
  <c r="BH579"/>
  <c r="BI579"/>
  <c r="BJ579"/>
  <c r="BK579"/>
  <c r="BM579"/>
  <c r="BN579"/>
  <c r="BL579" s="1"/>
  <c r="AZ579" s="1"/>
  <c r="BO579"/>
  <c r="BP579"/>
  <c r="BR579"/>
  <c r="BS579"/>
  <c r="BT579"/>
  <c r="H580"/>
  <c r="G580" s="1"/>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L581" s="1"/>
  <c r="BN581"/>
  <c r="BO581"/>
  <c r="BP581"/>
  <c r="BR581"/>
  <c r="BS581"/>
  <c r="BT581"/>
  <c r="H582"/>
  <c r="AC582"/>
  <c r="BB582"/>
  <c r="BC582"/>
  <c r="BA582" s="1"/>
  <c r="BD582"/>
  <c r="BE582"/>
  <c r="BF582"/>
  <c r="BG582"/>
  <c r="BH582"/>
  <c r="BI582"/>
  <c r="BJ582"/>
  <c r="BK582"/>
  <c r="BM582"/>
  <c r="BN582"/>
  <c r="BO582"/>
  <c r="BP582"/>
  <c r="BQ582"/>
  <c r="BR582"/>
  <c r="BS582"/>
  <c r="BT582"/>
  <c r="H583"/>
  <c r="AC583"/>
  <c r="G583" s="1"/>
  <c r="BB583"/>
  <c r="BC583"/>
  <c r="BA583" s="1"/>
  <c r="BD583"/>
  <c r="BE583"/>
  <c r="BF583"/>
  <c r="BG583"/>
  <c r="BH583"/>
  <c r="BI583"/>
  <c r="BJ583"/>
  <c r="BK583"/>
  <c r="BM583"/>
  <c r="BN583"/>
  <c r="BO583"/>
  <c r="BP583"/>
  <c r="BR583"/>
  <c r="BS583"/>
  <c r="BT583"/>
  <c r="H584"/>
  <c r="AC584"/>
  <c r="BB584"/>
  <c r="BC584"/>
  <c r="BD584"/>
  <c r="BE584"/>
  <c r="BF584"/>
  <c r="BG584"/>
  <c r="BH584"/>
  <c r="BI584"/>
  <c r="BJ584"/>
  <c r="BK584"/>
  <c r="BM584"/>
  <c r="BL584" s="1"/>
  <c r="BN584"/>
  <c r="BO584"/>
  <c r="BP584"/>
  <c r="BQ584"/>
  <c r="BR584"/>
  <c r="BS584"/>
  <c r="BT584"/>
  <c r="H7" i="12"/>
  <c r="I7"/>
  <c r="J7"/>
  <c r="K7"/>
  <c r="H111" i="21"/>
  <c r="B110" i="39"/>
  <c r="B112"/>
  <c r="H36" s="1"/>
  <c r="AB36" s="1"/>
  <c r="J30" i="36"/>
  <c r="H30"/>
  <c r="U30" s="1"/>
  <c r="F30"/>
  <c r="AA30" s="1"/>
  <c r="C26" i="35"/>
  <c r="C79" s="1"/>
  <c r="J31"/>
  <c r="W31" s="1"/>
  <c r="H31"/>
  <c r="AB31" s="1"/>
  <c r="F31"/>
  <c r="D87"/>
  <c r="E87" s="1"/>
  <c r="F87" s="1"/>
  <c r="G87" s="1"/>
  <c r="H87" s="1"/>
  <c r="I87" s="1"/>
  <c r="J87" s="1"/>
  <c r="K87" s="1"/>
  <c r="L87" s="1"/>
  <c r="M87" s="1"/>
  <c r="H34" i="37"/>
  <c r="D101"/>
  <c r="E101" s="1"/>
  <c r="F101" s="1"/>
  <c r="G101" s="1"/>
  <c r="H101" s="1"/>
  <c r="I101" s="1"/>
  <c r="J101" s="1"/>
  <c r="K101" s="1"/>
  <c r="L101" s="1"/>
  <c r="M101" s="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W41" s="1"/>
  <c r="D113"/>
  <c r="F37" s="1"/>
  <c r="D111"/>
  <c r="E111" s="1"/>
  <c r="F111" s="1"/>
  <c r="S515" i="31"/>
  <c r="S517"/>
  <c r="S519"/>
  <c r="S521"/>
  <c r="S523"/>
  <c r="F41" i="21"/>
  <c r="S41" s="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W12" s="1"/>
  <c r="B55"/>
  <c r="F54"/>
  <c r="G54" s="1"/>
  <c r="H54" s="1"/>
  <c r="I54" s="1"/>
  <c r="C5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U23" s="1"/>
  <c r="B57"/>
  <c r="B61"/>
  <c r="B59"/>
  <c r="H12" s="1"/>
  <c r="B131" i="34"/>
  <c r="B129"/>
  <c r="B127"/>
  <c r="B99"/>
  <c r="B97"/>
  <c r="B95"/>
  <c r="B93"/>
  <c r="B75"/>
  <c r="B73"/>
  <c r="B71"/>
  <c r="J12" s="1"/>
  <c r="B130" i="33"/>
  <c r="B128"/>
  <c r="J45" s="1"/>
  <c r="B126"/>
  <c r="B98"/>
  <c r="B96"/>
  <c r="H30" s="1"/>
  <c r="AB30" s="1"/>
  <c r="B94"/>
  <c r="B74"/>
  <c r="B72"/>
  <c r="J13" s="1"/>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J8"/>
  <c r="AC8" s="1"/>
  <c r="H8"/>
  <c r="U8" s="1"/>
  <c r="F8"/>
  <c r="D121" i="33"/>
  <c r="E121" s="1"/>
  <c r="F109"/>
  <c r="E109"/>
  <c r="D109"/>
  <c r="C109"/>
  <c r="D91"/>
  <c r="E91" s="1"/>
  <c r="F27" s="1"/>
  <c r="AA27"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F28" s="1"/>
  <c r="AA28" s="1"/>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F54"/>
  <c r="P49"/>
  <c r="P48"/>
  <c r="V47"/>
  <c r="T47"/>
  <c r="R47"/>
  <c r="P47"/>
  <c r="Q46"/>
  <c r="Z46" s="1"/>
  <c r="Q45"/>
  <c r="Z45" s="1"/>
  <c r="Q44"/>
  <c r="Z44" s="1"/>
  <c r="Q43"/>
  <c r="Z43" s="1"/>
  <c r="Q42"/>
  <c r="Z42" s="1"/>
  <c r="AC41"/>
  <c r="Q41"/>
  <c r="Z41"/>
  <c r="Q40"/>
  <c r="Z40" s="1"/>
  <c r="J40"/>
  <c r="AC40" s="1"/>
  <c r="H40"/>
  <c r="AB40" s="1"/>
  <c r="AA40"/>
  <c r="Q39"/>
  <c r="Z39" s="1"/>
  <c r="J39"/>
  <c r="AC39" s="1"/>
  <c r="Q38"/>
  <c r="Z38" s="1"/>
  <c r="J38"/>
  <c r="AC38" s="1"/>
  <c r="H38"/>
  <c r="AB38" s="1"/>
  <c r="F38"/>
  <c r="AA38" s="1"/>
  <c r="Q37"/>
  <c r="Z37" s="1"/>
  <c r="Q36"/>
  <c r="Z36" s="1"/>
  <c r="Q35"/>
  <c r="Z35" s="1"/>
  <c r="H35"/>
  <c r="AB35" s="1"/>
  <c r="Q34"/>
  <c r="Z34" s="1"/>
  <c r="Q33"/>
  <c r="Z33" s="1"/>
  <c r="Q32"/>
  <c r="Z32"/>
  <c r="Q31"/>
  <c r="Z31" s="1"/>
  <c r="Q30"/>
  <c r="Z30" s="1"/>
  <c r="Q29"/>
  <c r="Z29" s="1"/>
  <c r="Q28"/>
  <c r="Z28" s="1"/>
  <c r="Q27"/>
  <c r="Z27"/>
  <c r="Q26"/>
  <c r="Z26"/>
  <c r="Q25"/>
  <c r="Z25"/>
  <c r="Q23"/>
  <c r="Z23"/>
  <c r="Q19"/>
  <c r="Z19" s="1"/>
  <c r="Q17"/>
  <c r="Z17" s="1"/>
  <c r="Q15"/>
  <c r="Z15" s="1"/>
  <c r="F15"/>
  <c r="AA15" s="1"/>
  <c r="Q14"/>
  <c r="Z14" s="1"/>
  <c r="Q13"/>
  <c r="Z13" s="1"/>
  <c r="Q12"/>
  <c r="Z12" s="1"/>
  <c r="H12"/>
  <c r="U12" s="1"/>
  <c r="Q11"/>
  <c r="Z11" s="1"/>
  <c r="Q10"/>
  <c r="Z10" s="1"/>
  <c r="Q9"/>
  <c r="Z9" s="1"/>
  <c r="J9"/>
  <c r="AC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D111"/>
  <c r="E111"/>
  <c r="F111"/>
  <c r="C111"/>
  <c r="D79"/>
  <c r="E79" s="1"/>
  <c r="F79" s="1"/>
  <c r="G79" s="1"/>
  <c r="D85"/>
  <c r="F19"/>
  <c r="AA19" s="1"/>
  <c r="E81"/>
  <c r="F81" s="1"/>
  <c r="G81" s="1"/>
  <c r="D77"/>
  <c r="E77" s="1"/>
  <c r="B130"/>
  <c r="H46" s="1"/>
  <c r="U46" s="1"/>
  <c r="B128"/>
  <c r="J45" s="1"/>
  <c r="W45" s="1"/>
  <c r="B126"/>
  <c r="H44" s="1"/>
  <c r="U44" s="1"/>
  <c r="B98"/>
  <c r="H31" s="1"/>
  <c r="B96"/>
  <c r="H30" s="1"/>
  <c r="B94"/>
  <c r="J29" s="1"/>
  <c r="AC29" s="1"/>
  <c r="B92"/>
  <c r="F28" s="1"/>
  <c r="AA28" s="1"/>
  <c r="B90"/>
  <c r="J27" s="1"/>
  <c r="W27" s="1"/>
  <c r="B74"/>
  <c r="F14" s="1"/>
  <c r="S14" s="1"/>
  <c r="B72"/>
  <c r="H13" s="1"/>
  <c r="B7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A585" s="1"/>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A587" s="1"/>
  <c r="BD587"/>
  <c r="BE587"/>
  <c r="BF587"/>
  <c r="BG587"/>
  <c r="BH587"/>
  <c r="BI587"/>
  <c r="BJ587"/>
  <c r="BK587"/>
  <c r="BM587"/>
  <c r="BN587"/>
  <c r="BL587" s="1"/>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H26"/>
  <c r="AB26" s="1"/>
  <c r="AB19"/>
  <c r="J19"/>
  <c r="W19" s="1"/>
  <c r="J26"/>
  <c r="W26" s="1"/>
  <c r="F26"/>
  <c r="S26" s="1"/>
  <c r="AB41"/>
  <c r="J45" i="39"/>
  <c r="W45" s="1"/>
  <c r="J44"/>
  <c r="AC44" s="1"/>
  <c r="J35"/>
  <c r="AC35" s="1"/>
  <c r="F35"/>
  <c r="AA35" s="1"/>
  <c r="J36"/>
  <c r="AC36" s="1"/>
  <c r="W40"/>
  <c r="W25" i="37"/>
  <c r="U30"/>
  <c r="E103"/>
  <c r="F103" s="1"/>
  <c r="G103" s="1"/>
  <c r="H103" s="1"/>
  <c r="I103" s="1"/>
  <c r="J103" s="1"/>
  <c r="K103" s="1"/>
  <c r="L103" s="1"/>
  <c r="M103" s="1"/>
  <c r="F39"/>
  <c r="S39" s="1"/>
  <c r="U14"/>
  <c r="F29" i="36"/>
  <c r="AA29" s="1"/>
  <c r="W8"/>
  <c r="F16"/>
  <c r="AA16" s="1"/>
  <c r="W28"/>
  <c r="S30"/>
  <c r="AA31"/>
  <c r="AC31"/>
  <c r="W31"/>
  <c r="J33"/>
  <c r="W33" s="1"/>
  <c r="H22" i="35"/>
  <c r="AB22" s="1"/>
  <c r="AC27"/>
  <c r="U31"/>
  <c r="W34"/>
  <c r="W22"/>
  <c r="S31"/>
  <c r="F36" i="34"/>
  <c r="J35"/>
  <c r="S34"/>
  <c r="U34"/>
  <c r="H39" i="33"/>
  <c r="AB39" s="1"/>
  <c r="S40"/>
  <c r="H39" i="37"/>
  <c r="AB39" s="1"/>
  <c r="S27" i="35"/>
  <c r="F11" i="40"/>
  <c r="AA11" s="1"/>
  <c r="H11"/>
  <c r="AB11" s="1"/>
  <c r="W8"/>
  <c r="AC40"/>
  <c r="AA9"/>
  <c r="AC9"/>
  <c r="U9"/>
  <c r="S34"/>
  <c r="U38"/>
  <c r="S40"/>
  <c r="W31"/>
  <c r="U34"/>
  <c r="S38"/>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C27"/>
  <c r="C21"/>
  <c r="H11"/>
  <c r="S40"/>
  <c r="H32" i="33"/>
  <c r="AB32" s="1"/>
  <c r="H37" i="40"/>
  <c r="U37" s="1"/>
  <c r="H36"/>
  <c r="AB36" s="1"/>
  <c r="F35"/>
  <c r="AA35" s="1"/>
  <c r="H23"/>
  <c r="AB23" s="1"/>
  <c r="H17"/>
  <c r="U17" s="1"/>
  <c r="J15"/>
  <c r="W15" s="1"/>
  <c r="J11"/>
  <c r="W11" s="1"/>
  <c r="AB8" i="39"/>
  <c r="W32" i="40"/>
  <c r="S44" i="39"/>
  <c r="F37"/>
  <c r="AA37" s="1"/>
  <c r="J34" i="36"/>
  <c r="W34" s="1"/>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AB8"/>
  <c r="S8"/>
  <c r="U8" i="35"/>
  <c r="F14"/>
  <c r="AA14" s="1"/>
  <c r="F23"/>
  <c r="AA23" s="1"/>
  <c r="J32"/>
  <c r="AC32" s="1"/>
  <c r="J16"/>
  <c r="AC16" s="1"/>
  <c r="H16"/>
  <c r="U16" s="1"/>
  <c r="F16"/>
  <c r="S16" s="1"/>
  <c r="H14"/>
  <c r="AB14" s="1"/>
  <c r="J29"/>
  <c r="W29" s="1"/>
  <c r="H33"/>
  <c r="AB33" s="1"/>
  <c r="AC8"/>
  <c r="J20"/>
  <c r="W20" s="1"/>
  <c r="F35" i="37"/>
  <c r="S35" s="1"/>
  <c r="J34"/>
  <c r="W34" s="1"/>
  <c r="S10"/>
  <c r="AA39"/>
  <c r="AB34"/>
  <c r="J33"/>
  <c r="AC33" s="1"/>
  <c r="U42" i="34"/>
  <c r="H40"/>
  <c r="U40" s="1"/>
  <c r="E114"/>
  <c r="H36"/>
  <c r="U36" s="1"/>
  <c r="F37"/>
  <c r="AA37" s="1"/>
  <c r="S35"/>
  <c r="F28"/>
  <c r="AA28" s="1"/>
  <c r="F27"/>
  <c r="AA27" s="1"/>
  <c r="F25"/>
  <c r="S25" s="1"/>
  <c r="H23"/>
  <c r="U23" s="1"/>
  <c r="J23"/>
  <c r="F19"/>
  <c r="H17"/>
  <c r="U17" s="1"/>
  <c r="F15"/>
  <c r="S15" s="1"/>
  <c r="J15"/>
  <c r="H15"/>
  <c r="AB15" s="1"/>
  <c r="W8"/>
  <c r="J28"/>
  <c r="W28" s="1"/>
  <c r="F41" i="33"/>
  <c r="AA41" s="1"/>
  <c r="E113"/>
  <c r="F113" s="1"/>
  <c r="G113" s="1"/>
  <c r="H113" s="1"/>
  <c r="I113" s="1"/>
  <c r="J113" s="1"/>
  <c r="K113" s="1"/>
  <c r="L113" s="1"/>
  <c r="M113" s="1"/>
  <c r="F32"/>
  <c r="AA32" s="1"/>
  <c r="J19"/>
  <c r="AC19" s="1"/>
  <c r="J15"/>
  <c r="AC15" s="1"/>
  <c r="U40"/>
  <c r="U8"/>
  <c r="S8"/>
  <c r="F37" i="40"/>
  <c r="AA37" s="1"/>
  <c r="F36"/>
  <c r="AA36" s="1"/>
  <c r="H28"/>
  <c r="U28" s="1"/>
  <c r="F23"/>
  <c r="AA23" s="1"/>
  <c r="F17"/>
  <c r="AA17" s="1"/>
  <c r="J17"/>
  <c r="W17" s="1"/>
  <c r="F15"/>
  <c r="S15" s="1"/>
  <c r="H15"/>
  <c r="AB15" s="1"/>
  <c r="AC11"/>
  <c r="AB30" i="36"/>
  <c r="U30" i="35"/>
  <c r="U33"/>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H37" i="33"/>
  <c r="AB37" s="1"/>
  <c r="H15"/>
  <c r="AB15" s="1"/>
  <c r="F28" i="40"/>
  <c r="AA28" s="1"/>
  <c r="AA42" i="34"/>
  <c r="S42"/>
  <c r="AC38"/>
  <c r="AA38"/>
  <c r="J37"/>
  <c r="AC37" s="1"/>
  <c r="S28"/>
  <c r="U23" i="40"/>
  <c r="G123" i="21"/>
  <c r="H123" s="1"/>
  <c r="I123" s="1"/>
  <c r="J123" s="1"/>
  <c r="K123" s="1"/>
  <c r="L123" s="1"/>
  <c r="M123" s="1"/>
  <c r="J42"/>
  <c r="AC42" s="1"/>
  <c r="H42"/>
  <c r="U42" s="1"/>
  <c r="J44" i="34"/>
  <c r="AC44" s="1"/>
  <c r="F44"/>
  <c r="AA44" s="1"/>
  <c r="J10" i="35"/>
  <c r="W10" s="1"/>
  <c r="J14" i="21"/>
  <c r="W14" s="1"/>
  <c r="H14"/>
  <c r="U14" s="1"/>
  <c r="J44"/>
  <c r="AC44" s="1"/>
  <c r="F44"/>
  <c r="AA44" s="1"/>
  <c r="J46"/>
  <c r="W46" s="1"/>
  <c r="E119"/>
  <c r="F119" s="1"/>
  <c r="G119" s="1"/>
  <c r="H119" s="1"/>
  <c r="I119" s="1"/>
  <c r="J119" s="1"/>
  <c r="K119" s="1"/>
  <c r="L119" s="1"/>
  <c r="M119" s="1"/>
  <c r="H26" i="33"/>
  <c r="U26" s="1"/>
  <c r="H28"/>
  <c r="U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J29" i="33"/>
  <c r="AC29" s="1"/>
  <c r="H29"/>
  <c r="U29" s="1"/>
  <c r="F29"/>
  <c r="S29" s="1"/>
  <c r="J31"/>
  <c r="W31" s="1"/>
  <c r="H31"/>
  <c r="U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H14" i="33"/>
  <c r="U14" s="1"/>
  <c r="F14"/>
  <c r="S14" s="1"/>
  <c r="J14"/>
  <c r="F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31" i="34"/>
  <c r="U46" i="33"/>
  <c r="J36" i="37"/>
  <c r="AC36" s="1"/>
  <c r="J10" i="36"/>
  <c r="AC10" s="1"/>
  <c r="AA14" i="37"/>
  <c r="W31" i="34"/>
  <c r="W13" i="36"/>
  <c r="W11"/>
  <c r="W11" i="35"/>
  <c r="AB46" i="34"/>
  <c r="AC30"/>
  <c r="AA14"/>
  <c r="S45" i="33"/>
  <c r="AB31"/>
  <c r="S44" i="34"/>
  <c r="BA586" i="3"/>
  <c r="F17" i="21"/>
  <c r="AA17" s="1"/>
  <c r="H17"/>
  <c r="AB17" s="1"/>
  <c r="F15"/>
  <c r="S15" s="1"/>
  <c r="J41" i="39"/>
  <c r="W41" s="1"/>
  <c r="AC45"/>
  <c r="W44"/>
  <c r="W36"/>
  <c r="U36"/>
  <c r="S35"/>
  <c r="G544" i="3"/>
  <c r="G536"/>
  <c r="G532"/>
  <c r="G528"/>
  <c r="G523"/>
  <c r="G514"/>
  <c r="G508"/>
  <c r="G500"/>
  <c r="G584"/>
  <c r="G576"/>
  <c r="G568"/>
  <c r="G560"/>
  <c r="G554"/>
  <c r="G550"/>
  <c r="BL580"/>
  <c r="BL572"/>
  <c r="BL564"/>
  <c r="BL554"/>
  <c r="BL546"/>
  <c r="BL542"/>
  <c r="BL534"/>
  <c r="BL526"/>
  <c r="BL516"/>
  <c r="BL506"/>
  <c r="BL498"/>
  <c r="BL582"/>
  <c r="BL574"/>
  <c r="BL566"/>
  <c r="BL556"/>
  <c r="BL552"/>
  <c r="BL544"/>
  <c r="BL536"/>
  <c r="BL532"/>
  <c r="BL528"/>
  <c r="BL524"/>
  <c r="BL514"/>
  <c r="BL504"/>
  <c r="BL496"/>
  <c r="BA584"/>
  <c r="BA580"/>
  <c r="AZ580" s="1"/>
  <c r="BA576"/>
  <c r="BA572"/>
  <c r="AZ572" s="1"/>
  <c r="BA568"/>
  <c r="BA564"/>
  <c r="AZ564" s="1"/>
  <c r="BA560"/>
  <c r="BA556"/>
  <c r="AZ556" s="1"/>
  <c r="BA554"/>
  <c r="BA552"/>
  <c r="AZ552" s="1"/>
  <c r="BA548"/>
  <c r="BA546"/>
  <c r="AZ546" s="1"/>
  <c r="BA544"/>
  <c r="BA542"/>
  <c r="AZ542" s="1"/>
  <c r="BA538"/>
  <c r="BA534"/>
  <c r="AZ534" s="1"/>
  <c r="BA530"/>
  <c r="BA522"/>
  <c r="BA518"/>
  <c r="BA514"/>
  <c r="BA506"/>
  <c r="AZ506" s="1"/>
  <c r="BA500"/>
  <c r="BA494"/>
  <c r="BA581"/>
  <c r="BA577"/>
  <c r="BA573"/>
  <c r="BA569"/>
  <c r="BA565"/>
  <c r="BA561"/>
  <c r="BA555"/>
  <c r="BA553"/>
  <c r="BA549"/>
  <c r="BA547"/>
  <c r="BA545"/>
  <c r="BA543"/>
  <c r="BA541"/>
  <c r="BA537"/>
  <c r="BA533"/>
  <c r="BA529"/>
  <c r="BA525"/>
  <c r="BA519"/>
  <c r="BA515"/>
  <c r="BA511"/>
  <c r="BA505"/>
  <c r="BA501"/>
  <c r="BA497"/>
  <c r="BA493"/>
  <c r="G581"/>
  <c r="G577"/>
  <c r="G573"/>
  <c r="G569"/>
  <c r="G565"/>
  <c r="G561"/>
  <c r="BA557"/>
  <c r="AC557"/>
  <c r="BQ557"/>
  <c r="BL557" s="1"/>
  <c r="BQ583"/>
  <c r="BQ581"/>
  <c r="BQ579"/>
  <c r="BQ577"/>
  <c r="BL577" s="1"/>
  <c r="BQ575"/>
  <c r="BQ573"/>
  <c r="BL573" s="1"/>
  <c r="AZ573" s="1"/>
  <c r="BQ571"/>
  <c r="BL571"/>
  <c r="BQ569"/>
  <c r="BQ567"/>
  <c r="BL567" s="1"/>
  <c r="BQ565"/>
  <c r="BQ563"/>
  <c r="BQ561"/>
  <c r="BQ559"/>
  <c r="BL559" s="1"/>
  <c r="G555"/>
  <c r="G553"/>
  <c r="G549"/>
  <c r="G547"/>
  <c r="G545"/>
  <c r="G543"/>
  <c r="G541"/>
  <c r="G537"/>
  <c r="BQ555"/>
  <c r="BL555" s="1"/>
  <c r="BQ553"/>
  <c r="BL553" s="1"/>
  <c r="AZ553" s="1"/>
  <c r="BQ551"/>
  <c r="BL551" s="1"/>
  <c r="BQ549"/>
  <c r="BL549" s="1"/>
  <c r="AZ549" s="1"/>
  <c r="BQ547"/>
  <c r="BL547" s="1"/>
  <c r="AZ547" s="1"/>
  <c r="BQ545"/>
  <c r="BL545" s="1"/>
  <c r="AZ545" s="1"/>
  <c r="BQ543"/>
  <c r="BL543" s="1"/>
  <c r="AZ543" s="1"/>
  <c r="BQ541"/>
  <c r="BL541" s="1"/>
  <c r="AZ541" s="1"/>
  <c r="BQ539"/>
  <c r="BQ537"/>
  <c r="BL537" s="1"/>
  <c r="AZ537" s="1"/>
  <c r="BQ535"/>
  <c r="BQ533"/>
  <c r="BL533" s="1"/>
  <c r="AZ533" s="1"/>
  <c r="BQ531"/>
  <c r="BQ529"/>
  <c r="BL529" s="1"/>
  <c r="AZ529" s="1"/>
  <c r="BQ527"/>
  <c r="BQ525"/>
  <c r="BL525" s="1"/>
  <c r="AZ525" s="1"/>
  <c r="BQ523"/>
  <c r="BA521"/>
  <c r="AC521"/>
  <c r="G521"/>
  <c r="BQ521"/>
  <c r="BL521"/>
  <c r="G519"/>
  <c r="G515"/>
  <c r="G511"/>
  <c r="BQ519"/>
  <c r="BL519"/>
  <c r="AZ519" s="1"/>
  <c r="BQ517"/>
  <c r="BQ515"/>
  <c r="BL515" s="1"/>
  <c r="AZ515" s="1"/>
  <c r="BQ513"/>
  <c r="BQ511"/>
  <c r="BA509"/>
  <c r="AZ509" s="1"/>
  <c r="AC509"/>
  <c r="BQ509"/>
  <c r="BL508"/>
  <c r="G507"/>
  <c r="G503"/>
  <c r="G499"/>
  <c r="G495"/>
  <c r="BQ507"/>
  <c r="BQ505"/>
  <c r="BQ503"/>
  <c r="BL503" s="1"/>
  <c r="BQ501"/>
  <c r="BQ499"/>
  <c r="BL499" s="1"/>
  <c r="BQ497"/>
  <c r="BQ495"/>
  <c r="BL495" s="1"/>
  <c r="BQ493"/>
  <c r="S505" i="31"/>
  <c r="S503"/>
  <c r="S501"/>
  <c r="S499"/>
  <c r="O27"/>
  <c r="O28"/>
  <c r="O26"/>
  <c r="M27"/>
  <c r="M28"/>
  <c r="M26"/>
  <c r="I26"/>
  <c r="I25"/>
  <c r="Q26"/>
  <c r="K26"/>
  <c r="I27"/>
  <c r="Q27"/>
  <c r="K27"/>
  <c r="I28"/>
  <c r="Q28"/>
  <c r="K28"/>
  <c r="AC28" i="34"/>
  <c r="S21" i="40"/>
  <c r="H25" i="21"/>
  <c r="U25" s="1"/>
  <c r="F25"/>
  <c r="S25" s="1"/>
  <c r="J25"/>
  <c r="AC25" s="1"/>
  <c r="E125" i="33"/>
  <c r="F125"/>
  <c r="G125" s="1"/>
  <c r="H43"/>
  <c r="AB43" s="1"/>
  <c r="H17" i="37"/>
  <c r="U17" s="1"/>
  <c r="AB27"/>
  <c r="F39" i="33"/>
  <c r="AA39" s="1"/>
  <c r="E123"/>
  <c r="F123"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J43" i="33"/>
  <c r="AC43" s="1"/>
  <c r="AC33" i="36"/>
  <c r="U35" i="35"/>
  <c r="AA12"/>
  <c r="W14" i="37"/>
  <c r="U33"/>
  <c r="U39"/>
  <c r="W26"/>
  <c r="AC8"/>
  <c r="U26"/>
  <c r="W37" i="34"/>
  <c r="AC36"/>
  <c r="U19" i="21"/>
  <c r="W44"/>
  <c r="U26"/>
  <c r="AC46"/>
  <c r="AB38"/>
  <c r="F43" i="33"/>
  <c r="AA43" s="1"/>
  <c r="W15" i="34"/>
  <c r="AC15"/>
  <c r="G107" i="37"/>
  <c r="H107" s="1"/>
  <c r="I107" s="1"/>
  <c r="J107" s="1"/>
  <c r="K107" s="1"/>
  <c r="L107" s="1"/>
  <c r="M107" s="1"/>
  <c r="H37" i="21"/>
  <c r="U37" s="1"/>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C12" i="43"/>
  <c r="H19" i="40"/>
  <c r="U19" s="1"/>
  <c r="F19"/>
  <c r="S19" s="1"/>
  <c r="AC13"/>
  <c r="AB33"/>
  <c r="W23" i="39"/>
  <c r="G101"/>
  <c r="H37"/>
  <c r="AB37" s="1"/>
  <c r="H25"/>
  <c r="AB25" s="1"/>
  <c r="J25"/>
  <c r="F25"/>
  <c r="AA25" s="1"/>
  <c r="F15"/>
  <c r="AA15" s="1"/>
  <c r="H15"/>
  <c r="U15" s="1"/>
  <c r="J15"/>
  <c r="W15" s="1"/>
  <c r="H41"/>
  <c r="W27"/>
  <c r="AB34"/>
  <c r="U40"/>
  <c r="S42"/>
  <c r="W14"/>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8"/>
  <c r="AZ514"/>
  <c r="G546"/>
  <c r="G303"/>
  <c r="BL304"/>
  <c r="G305"/>
  <c r="BL306"/>
  <c r="BA308"/>
  <c r="BA309"/>
  <c r="BL309"/>
  <c r="AZ309" s="1"/>
  <c r="G310"/>
  <c r="BA311"/>
  <c r="G319"/>
  <c r="BL320"/>
  <c r="G321"/>
  <c r="BL322"/>
  <c r="BA324"/>
  <c r="AZ324" s="1"/>
  <c r="BA325"/>
  <c r="AZ325" s="1"/>
  <c r="BL325"/>
  <c r="G326"/>
  <c r="BA327"/>
  <c r="G335"/>
  <c r="BL336"/>
  <c r="G337"/>
  <c r="BL338"/>
  <c r="BA340"/>
  <c r="AZ340" s="1"/>
  <c r="BA341"/>
  <c r="BL341"/>
  <c r="AZ341" s="1"/>
  <c r="BA343"/>
  <c r="BA345"/>
  <c r="BL355"/>
  <c r="G356"/>
  <c r="BL357"/>
  <c r="BA359"/>
  <c r="AZ359" s="1"/>
  <c r="BA360"/>
  <c r="BL360"/>
  <c r="G361"/>
  <c r="BA362"/>
  <c r="G370"/>
  <c r="BL371"/>
  <c r="G372"/>
  <c r="BL373"/>
  <c r="BA375"/>
  <c r="AZ375" s="1"/>
  <c r="BA376"/>
  <c r="BL376"/>
  <c r="G377"/>
  <c r="BA378"/>
  <c r="BL378"/>
  <c r="G379"/>
  <c r="BA380"/>
  <c r="AZ380" s="1"/>
  <c r="G388"/>
  <c r="BL389"/>
  <c r="G390"/>
  <c r="BL391"/>
  <c r="BA393"/>
  <c r="AZ393" s="1"/>
  <c r="BA394"/>
  <c r="AZ394" s="1"/>
  <c r="BL394"/>
  <c r="G113"/>
  <c r="BA115"/>
  <c r="BL116"/>
  <c r="AZ116" s="1"/>
  <c r="G117"/>
  <c r="BA119"/>
  <c r="BL120"/>
  <c r="AZ120" s="1"/>
  <c r="G121"/>
  <c r="BA123"/>
  <c r="BL124"/>
  <c r="G125"/>
  <c r="BA127"/>
  <c r="BL128"/>
  <c r="G129"/>
  <c r="BA131"/>
  <c r="BL132"/>
  <c r="G133"/>
  <c r="BA135"/>
  <c r="AZ135" s="1"/>
  <c r="BL136"/>
  <c r="G137"/>
  <c r="BA139"/>
  <c r="AZ139" s="1"/>
  <c r="BL140"/>
  <c r="AZ140" s="1"/>
  <c r="G141"/>
  <c r="BA143"/>
  <c r="BL144"/>
  <c r="G145"/>
  <c r="BA147"/>
  <c r="AZ147"/>
  <c r="BL148"/>
  <c r="G149"/>
  <c r="BA151"/>
  <c r="AZ151" s="1"/>
  <c r="BL152"/>
  <c r="G153"/>
  <c r="BA155"/>
  <c r="AZ155" s="1"/>
  <c r="BL156"/>
  <c r="AZ156" s="1"/>
  <c r="G157"/>
  <c r="BA159"/>
  <c r="BL160"/>
  <c r="G161"/>
  <c r="BA163"/>
  <c r="AZ163" s="1"/>
  <c r="BL164"/>
  <c r="G165"/>
  <c r="BA167"/>
  <c r="AZ167" s="1"/>
  <c r="BL168"/>
  <c r="G169"/>
  <c r="BA171"/>
  <c r="AZ171" s="1"/>
  <c r="BL172"/>
  <c r="AZ172" s="1"/>
  <c r="G173"/>
  <c r="BA175"/>
  <c r="BL176"/>
  <c r="G177"/>
  <c r="BA179"/>
  <c r="AZ179" s="1"/>
  <c r="BL180"/>
  <c r="G181"/>
  <c r="BA183"/>
  <c r="AZ183" s="1"/>
  <c r="BL184"/>
  <c r="G185"/>
  <c r="BA187"/>
  <c r="AZ187" s="1"/>
  <c r="BL188"/>
  <c r="AZ188" s="1"/>
  <c r="G189"/>
  <c r="BA191"/>
  <c r="BL192"/>
  <c r="G193"/>
  <c r="BA195"/>
  <c r="AZ195" s="1"/>
  <c r="BL196"/>
  <c r="G197"/>
  <c r="BA199"/>
  <c r="AZ199" s="1"/>
  <c r="BL200"/>
  <c r="G201"/>
  <c r="BA203"/>
  <c r="AZ203" s="1"/>
  <c r="BL204"/>
  <c r="AZ43"/>
  <c r="AZ59"/>
  <c r="AZ63"/>
  <c r="AZ67"/>
  <c r="AZ71"/>
  <c r="AZ136"/>
  <c r="AZ144"/>
  <c r="AZ97"/>
  <c r="G534"/>
  <c r="G522"/>
  <c r="G512"/>
  <c r="G498"/>
  <c r="G16"/>
  <c r="G15"/>
  <c r="BA304"/>
  <c r="AZ304" s="1"/>
  <c r="BA305"/>
  <c r="BL305"/>
  <c r="G306"/>
  <c r="G309"/>
  <c r="BL310"/>
  <c r="BA312"/>
  <c r="AZ312" s="1"/>
  <c r="BA313"/>
  <c r="BL313"/>
  <c r="G314"/>
  <c r="G317"/>
  <c r="BL318"/>
  <c r="BA320"/>
  <c r="BA321"/>
  <c r="BL321"/>
  <c r="G322"/>
  <c r="G325"/>
  <c r="BL326"/>
  <c r="BA328"/>
  <c r="AZ328" s="1"/>
  <c r="BA329"/>
  <c r="BL329"/>
  <c r="G330"/>
  <c r="G333"/>
  <c r="BL334"/>
  <c r="BA336"/>
  <c r="AZ336" s="1"/>
  <c r="BA337"/>
  <c r="BL337"/>
  <c r="G338"/>
  <c r="G341"/>
  <c r="BA342"/>
  <c r="BL342"/>
  <c r="BA344"/>
  <c r="BL344"/>
  <c r="BA346"/>
  <c r="BA347"/>
  <c r="BL347"/>
  <c r="G350"/>
  <c r="BA351"/>
  <c r="AZ351" s="1"/>
  <c r="BL351"/>
  <c r="G352"/>
  <c r="G354"/>
  <c r="BA355"/>
  <c r="AZ355" s="1"/>
  <c r="BA356"/>
  <c r="BL356"/>
  <c r="G357"/>
  <c r="G360"/>
  <c r="BL361"/>
  <c r="BA363"/>
  <c r="BA364"/>
  <c r="BL364"/>
  <c r="G365"/>
  <c r="G368"/>
  <c r="BL369"/>
  <c r="BA371"/>
  <c r="BA372"/>
  <c r="BL372"/>
  <c r="G373"/>
  <c r="G376"/>
  <c r="BL377"/>
  <c r="BL379"/>
  <c r="BA381"/>
  <c r="AZ381" s="1"/>
  <c r="BA382"/>
  <c r="AZ382" s="1"/>
  <c r="BL382"/>
  <c r="G383"/>
  <c r="G386"/>
  <c r="BL387"/>
  <c r="BA389"/>
  <c r="BA390"/>
  <c r="BL390"/>
  <c r="G391"/>
  <c r="G394"/>
  <c r="AZ138"/>
  <c r="AZ154"/>
  <c r="AZ170"/>
  <c r="AZ186"/>
  <c r="BA16"/>
  <c r="AZ16" s="1"/>
  <c r="BL303"/>
  <c r="G304"/>
  <c r="BA306"/>
  <c r="AZ306" s="1"/>
  <c r="BL307"/>
  <c r="AZ307" s="1"/>
  <c r="G308"/>
  <c r="BA310"/>
  <c r="AZ310" s="1"/>
  <c r="BL311"/>
  <c r="G312"/>
  <c r="BA314"/>
  <c r="AZ314" s="1"/>
  <c r="BL315"/>
  <c r="G316"/>
  <c r="BA318"/>
  <c r="AZ318" s="1"/>
  <c r="BL319"/>
  <c r="G320"/>
  <c r="BA322"/>
  <c r="AZ322" s="1"/>
  <c r="BL323"/>
  <c r="G324"/>
  <c r="BA326"/>
  <c r="BL327"/>
  <c r="AZ327" s="1"/>
  <c r="G328"/>
  <c r="BA330"/>
  <c r="BL331"/>
  <c r="G332"/>
  <c r="BA334"/>
  <c r="AZ334"/>
  <c r="BL335"/>
  <c r="G336"/>
  <c r="BA338"/>
  <c r="AZ338"/>
  <c r="BL339"/>
  <c r="G340"/>
  <c r="BL343"/>
  <c r="G344"/>
  <c r="G348"/>
  <c r="G355"/>
  <c r="AZ209"/>
  <c r="AZ303"/>
  <c r="G342"/>
  <c r="BL345"/>
  <c r="G346"/>
  <c r="BL349"/>
  <c r="BL352"/>
  <c r="AZ352" s="1"/>
  <c r="G353"/>
  <c r="BA357"/>
  <c r="AZ357" s="1"/>
  <c r="BL358"/>
  <c r="AZ358" s="1"/>
  <c r="G359"/>
  <c r="BA361"/>
  <c r="AZ361" s="1"/>
  <c r="BL362"/>
  <c r="G363"/>
  <c r="BA365"/>
  <c r="AZ365" s="1"/>
  <c r="BL366"/>
  <c r="G367"/>
  <c r="BA369"/>
  <c r="BL370"/>
  <c r="AZ370" s="1"/>
  <c r="G371"/>
  <c r="BA373"/>
  <c r="AZ373" s="1"/>
  <c r="BL374"/>
  <c r="AZ374" s="1"/>
  <c r="G375"/>
  <c r="BA377"/>
  <c r="AZ229"/>
  <c r="AZ269"/>
  <c r="AZ273"/>
  <c r="BA379"/>
  <c r="AZ379" s="1"/>
  <c r="BL380"/>
  <c r="G381"/>
  <c r="BA383"/>
  <c r="BL384"/>
  <c r="G385"/>
  <c r="BA387"/>
  <c r="AZ387"/>
  <c r="BL388"/>
  <c r="G389"/>
  <c r="BA391"/>
  <c r="AZ391"/>
  <c r="BL392"/>
  <c r="G393"/>
  <c r="AZ275"/>
  <c r="AZ291"/>
  <c r="BM5"/>
  <c r="BH5"/>
  <c r="BD5"/>
  <c r="AZ317"/>
  <c r="G548"/>
  <c r="G538"/>
  <c r="G502"/>
  <c r="BP5"/>
  <c r="AZ343"/>
  <c r="BI5"/>
  <c r="BE5"/>
  <c r="G17"/>
  <c r="BA17"/>
  <c r="BT5"/>
  <c r="AZ360"/>
  <c r="BA15"/>
  <c r="BR5"/>
  <c r="AZ384"/>
  <c r="AZ396"/>
  <c r="G509"/>
  <c r="AZ376"/>
  <c r="U36" i="40"/>
  <c r="N4" i="43"/>
  <c r="F36"/>
  <c r="F81"/>
  <c r="H83" s="1"/>
  <c r="H113"/>
  <c r="F48"/>
  <c r="H52" s="1"/>
  <c r="N7"/>
  <c r="F70"/>
  <c r="H73" s="1"/>
  <c r="M6"/>
  <c r="M11"/>
  <c r="E17"/>
  <c r="F39"/>
  <c r="I17"/>
  <c r="F35"/>
  <c r="J17"/>
  <c r="S14" i="35"/>
  <c r="U35" i="21"/>
  <c r="U10"/>
  <c r="F48" i="9"/>
  <c r="O52" s="1"/>
  <c r="AC11" i="39"/>
  <c r="W37" i="37"/>
  <c r="W44" i="34"/>
  <c r="S15" i="37"/>
  <c r="U13"/>
  <c r="U12" i="40"/>
  <c r="AA12"/>
  <c r="J37" i="33"/>
  <c r="W37" s="1"/>
  <c r="AC17" i="34"/>
  <c r="F106" i="33"/>
  <c r="G106" s="1"/>
  <c r="H106" s="1"/>
  <c r="I106" s="1"/>
  <c r="J106" s="1"/>
  <c r="K106" s="1"/>
  <c r="L106" s="1"/>
  <c r="M106" s="1"/>
  <c r="J34"/>
  <c r="W34" s="1"/>
  <c r="F33" i="34"/>
  <c r="S33" s="1"/>
  <c r="AC12" i="36"/>
  <c r="H20"/>
  <c r="U20" s="1"/>
  <c r="J20"/>
  <c r="W20" s="1"/>
  <c r="J27"/>
  <c r="W27" s="1"/>
  <c r="AB25" i="37"/>
  <c r="AC33" i="40"/>
  <c r="F111"/>
  <c r="G111"/>
  <c r="H111" s="1"/>
  <c r="I111" s="1"/>
  <c r="J111" s="1"/>
  <c r="K111" s="1"/>
  <c r="L111" s="1"/>
  <c r="M111" s="1"/>
  <c r="H35"/>
  <c r="AB35" s="1"/>
  <c r="AC29" i="35"/>
  <c r="H35" i="37"/>
  <c r="U35" s="1"/>
  <c r="AC14" i="35"/>
  <c r="H20"/>
  <c r="U20" s="1"/>
  <c r="F20"/>
  <c r="AA20" s="1"/>
  <c r="AB23"/>
  <c r="AB29" i="36"/>
  <c r="U29"/>
  <c r="H32" i="37"/>
  <c r="AB32" s="1"/>
  <c r="F96"/>
  <c r="G96" s="1"/>
  <c r="H96" s="1"/>
  <c r="I96" s="1"/>
  <c r="J96" s="1"/>
  <c r="K96" s="1"/>
  <c r="L96" s="1"/>
  <c r="M96" s="1"/>
  <c r="H27" i="40"/>
  <c r="U27" s="1"/>
  <c r="J27"/>
  <c r="AC27" s="1"/>
  <c r="F27"/>
  <c r="S27" s="1"/>
  <c r="J30"/>
  <c r="AC30" s="1"/>
  <c r="F30"/>
  <c r="AA30" s="1"/>
  <c r="AC21"/>
  <c r="S11"/>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68"/>
  <c r="AZ271"/>
  <c r="AZ288"/>
  <c r="AZ133"/>
  <c r="AZ29"/>
  <c r="AZ31"/>
  <c r="AZ33"/>
  <c r="AZ45"/>
  <c r="AZ61"/>
  <c r="AZ69"/>
  <c r="H75" i="43"/>
  <c r="H74"/>
  <c r="H50"/>
  <c r="H49"/>
  <c r="H48"/>
  <c r="I20"/>
  <c r="F23" i="39"/>
  <c r="AA23" s="1"/>
  <c r="H27" i="36"/>
  <c r="U27" s="1"/>
  <c r="F27"/>
  <c r="AA27" s="1"/>
  <c r="H33" i="34"/>
  <c r="U33" s="1"/>
  <c r="F32" i="37"/>
  <c r="AA32" s="1"/>
  <c r="F20" i="36"/>
  <c r="AA20" s="1"/>
  <c r="J33" i="34"/>
  <c r="AC33" s="1"/>
  <c r="H23" i="39"/>
  <c r="U23" s="1"/>
  <c r="D48" i="9"/>
  <c r="M52" s="1"/>
  <c r="H86" i="43"/>
  <c r="H82"/>
  <c r="H87"/>
  <c r="K9" i="1"/>
  <c r="M9" s="1"/>
  <c r="O9" s="1"/>
  <c r="P9" s="1"/>
  <c r="AE9"/>
  <c r="J28" i="21" l="1"/>
  <c r="AZ587" i="3"/>
  <c r="AZ562"/>
  <c r="G123" i="33"/>
  <c r="H123" s="1"/>
  <c r="I123" s="1"/>
  <c r="J123" s="1"/>
  <c r="K123" s="1"/>
  <c r="L123" s="1"/>
  <c r="M123" s="1"/>
  <c r="J42"/>
  <c r="AC42" s="1"/>
  <c r="F42"/>
  <c r="AA42" s="1"/>
  <c r="H42"/>
  <c r="AB42" s="1"/>
  <c r="AZ530" i="3"/>
  <c r="AZ578"/>
  <c r="AZ570"/>
  <c r="AZ563"/>
  <c r="AZ540"/>
  <c r="AZ520"/>
  <c r="AZ512"/>
  <c r="AZ510"/>
  <c r="AZ502"/>
  <c r="AZ495"/>
  <c r="AZ503"/>
  <c r="AZ567"/>
  <c r="AZ500"/>
  <c r="AZ518"/>
  <c r="F12" i="21"/>
  <c r="H12"/>
  <c r="AB12" s="1"/>
  <c r="G66"/>
  <c r="H66" s="1"/>
  <c r="I66" s="1"/>
  <c r="J10"/>
  <c r="AC10" s="1"/>
  <c r="S31" i="39"/>
  <c r="U17"/>
  <c r="BN5" i="3"/>
  <c r="BQ5"/>
  <c r="AZ377"/>
  <c r="AZ369"/>
  <c r="AZ345"/>
  <c r="AZ390"/>
  <c r="AZ389"/>
  <c r="AZ371"/>
  <c r="AZ364"/>
  <c r="AZ356"/>
  <c r="AZ342"/>
  <c r="AZ329"/>
  <c r="AZ321"/>
  <c r="AZ378"/>
  <c r="AA41" i="39"/>
  <c r="W16" i="35"/>
  <c r="AB37" i="34"/>
  <c r="AB13"/>
  <c r="U14" i="40"/>
  <c r="AA41" i="34"/>
  <c r="BL497" i="3"/>
  <c r="AZ497" s="1"/>
  <c r="BL501"/>
  <c r="AZ501" s="1"/>
  <c r="BL507"/>
  <c r="AZ507" s="1"/>
  <c r="AC5"/>
  <c r="BL513"/>
  <c r="AZ513" s="1"/>
  <c r="BL517"/>
  <c r="AZ517" s="1"/>
  <c r="BL523"/>
  <c r="AZ523" s="1"/>
  <c r="BL527"/>
  <c r="AZ527" s="1"/>
  <c r="BL531"/>
  <c r="AZ531" s="1"/>
  <c r="BL535"/>
  <c r="AZ535" s="1"/>
  <c r="BL539"/>
  <c r="AZ539" s="1"/>
  <c r="AZ555"/>
  <c r="BL565"/>
  <c r="AZ565" s="1"/>
  <c r="BL569"/>
  <c r="BL575"/>
  <c r="AZ575" s="1"/>
  <c r="BL583"/>
  <c r="AZ583" s="1"/>
  <c r="G557"/>
  <c r="W35" i="39"/>
  <c r="W29" i="33"/>
  <c r="AB11" i="36"/>
  <c r="F46" i="21"/>
  <c r="AA46" s="1"/>
  <c r="F30"/>
  <c r="S30" s="1"/>
  <c r="H28"/>
  <c r="AB28" s="1"/>
  <c r="AA29" i="35"/>
  <c r="AA15" i="34"/>
  <c r="AB23"/>
  <c r="W33" i="37"/>
  <c r="AC34" i="36"/>
  <c r="AA12"/>
  <c r="S10"/>
  <c r="C15" i="39"/>
  <c r="U35" i="33"/>
  <c r="F36" i="39"/>
  <c r="H9" i="36"/>
  <c r="F9"/>
  <c r="AA9" s="1"/>
  <c r="AB31"/>
  <c r="U31"/>
  <c r="AC31" i="37"/>
  <c r="W31"/>
  <c r="AB9" i="39"/>
  <c r="U9"/>
  <c r="H45"/>
  <c r="F45"/>
  <c r="S45" s="1"/>
  <c r="AZ559" i="3"/>
  <c r="AZ571"/>
  <c r="AZ522"/>
  <c r="AZ538"/>
  <c r="AZ560"/>
  <c r="AZ568"/>
  <c r="AZ576"/>
  <c r="AZ584"/>
  <c r="I4" i="6"/>
  <c r="C11" i="33" s="1"/>
  <c r="F11" s="1"/>
  <c r="AA11" s="1"/>
  <c r="F20" i="6"/>
  <c r="E20" s="1"/>
  <c r="H9" i="34"/>
  <c r="F9"/>
  <c r="BL585" i="3"/>
  <c r="G562"/>
  <c r="G558"/>
  <c r="BL398"/>
  <c r="G399"/>
  <c r="G402"/>
  <c r="G404"/>
  <c r="BA405"/>
  <c r="BL405"/>
  <c r="BL407"/>
  <c r="G408"/>
  <c r="BA335"/>
  <c r="AZ335" s="1"/>
  <c r="BA339"/>
  <c r="AZ339" s="1"/>
  <c r="G347"/>
  <c r="BA348"/>
  <c r="AZ348" s="1"/>
  <c r="BA349"/>
  <c r="AZ349" s="1"/>
  <c r="BL363"/>
  <c r="AZ363" s="1"/>
  <c r="G364"/>
  <c r="BA366"/>
  <c r="AZ366" s="1"/>
  <c r="BL368"/>
  <c r="G369"/>
  <c r="G384"/>
  <c r="BL385"/>
  <c r="G396"/>
  <c r="G209"/>
  <c r="G212"/>
  <c r="BA213"/>
  <c r="BL213"/>
  <c r="BA215"/>
  <c r="AZ215" s="1"/>
  <c r="BL215"/>
  <c r="BA216"/>
  <c r="AZ216" s="1"/>
  <c r="BA218"/>
  <c r="BL218"/>
  <c r="BA219"/>
  <c r="AZ219" s="1"/>
  <c r="BL221"/>
  <c r="G222"/>
  <c r="BL223"/>
  <c r="G224"/>
  <c r="G227"/>
  <c r="G231"/>
  <c r="BL232"/>
  <c r="G233"/>
  <c r="BA234"/>
  <c r="BL234"/>
  <c r="BL236"/>
  <c r="G237"/>
  <c r="BA238"/>
  <c r="BL238"/>
  <c r="BA239"/>
  <c r="AZ239" s="1"/>
  <c r="BA240"/>
  <c r="AZ240" s="1"/>
  <c r="BA241"/>
  <c r="AZ241" s="1"/>
  <c r="BA243"/>
  <c r="BL243"/>
  <c r="BA244"/>
  <c r="AZ244" s="1"/>
  <c r="BA245"/>
  <c r="AZ245" s="1"/>
  <c r="BL247"/>
  <c r="G248"/>
  <c r="BL249"/>
  <c r="G250"/>
  <c r="G252"/>
  <c r="BL253"/>
  <c r="G254"/>
  <c r="BL255"/>
  <c r="G256"/>
  <c r="BL257"/>
  <c r="G258"/>
  <c r="G260"/>
  <c r="BL261"/>
  <c r="G262"/>
  <c r="G264"/>
  <c r="BL265"/>
  <c r="G266"/>
  <c r="G271"/>
  <c r="G275"/>
  <c r="G278"/>
  <c r="BL279"/>
  <c r="G280"/>
  <c r="BA281"/>
  <c r="BL281"/>
  <c r="BA282"/>
  <c r="AZ282" s="1"/>
  <c r="BA283"/>
  <c r="AZ283" s="1"/>
  <c r="BL285"/>
  <c r="G286"/>
  <c r="G288"/>
  <c r="G291"/>
  <c r="G294"/>
  <c r="BL295"/>
  <c r="G296"/>
  <c r="BA297"/>
  <c r="BL297"/>
  <c r="BA298"/>
  <c r="AZ298" s="1"/>
  <c r="BA299"/>
  <c r="AZ299" s="1"/>
  <c r="BL301"/>
  <c r="G302"/>
  <c r="BL113"/>
  <c r="G114"/>
  <c r="G116"/>
  <c r="BA117"/>
  <c r="BL117"/>
  <c r="BA118"/>
  <c r="AZ118" s="1"/>
  <c r="BL119"/>
  <c r="AZ119" s="1"/>
  <c r="BA121"/>
  <c r="AZ121" s="1"/>
  <c r="BL123"/>
  <c r="AZ123" s="1"/>
  <c r="G124"/>
  <c r="BL126"/>
  <c r="G127"/>
  <c r="BA128"/>
  <c r="AZ128" s="1"/>
  <c r="BL130"/>
  <c r="G131"/>
  <c r="BA132"/>
  <c r="AZ132" s="1"/>
  <c r="D78" i="9"/>
  <c r="D78" i="79"/>
  <c r="D93"/>
  <c r="BL413" i="3"/>
  <c r="G414"/>
  <c r="BA415"/>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G466"/>
  <c r="BL467"/>
  <c r="G468"/>
  <c r="G470"/>
  <c r="BL471"/>
  <c r="G472"/>
  <c r="BA473"/>
  <c r="BL473"/>
  <c r="BA474"/>
  <c r="AZ474" s="1"/>
  <c r="BA475"/>
  <c r="AZ475" s="1"/>
  <c r="BA477"/>
  <c r="BL477"/>
  <c r="BA478"/>
  <c r="AZ478" s="1"/>
  <c r="BA479"/>
  <c r="AZ479" s="1"/>
  <c r="BA481"/>
  <c r="BL481"/>
  <c r="BA482"/>
  <c r="AZ482" s="1"/>
  <c r="BA483"/>
  <c r="AZ483" s="1"/>
  <c r="BL484"/>
  <c r="G485"/>
  <c r="BA486"/>
  <c r="AZ486" s="1"/>
  <c r="BL486"/>
  <c r="BL488"/>
  <c r="G489"/>
  <c r="BA490"/>
  <c r="BL490"/>
  <c r="BL492"/>
  <c r="G307"/>
  <c r="BL308"/>
  <c r="AZ308" s="1"/>
  <c r="G311"/>
  <c r="BA319"/>
  <c r="AZ319" s="1"/>
  <c r="BA323"/>
  <c r="AZ323" s="1"/>
  <c r="BL330"/>
  <c r="AZ330" s="1"/>
  <c r="G331"/>
  <c r="BA333"/>
  <c r="AZ333" s="1"/>
  <c r="BA141"/>
  <c r="AZ141" s="1"/>
  <c r="BA142"/>
  <c r="AZ142" s="1"/>
  <c r="BL143"/>
  <c r="AZ143" s="1"/>
  <c r="BA145"/>
  <c r="AZ145" s="1"/>
  <c r="BA146"/>
  <c r="AZ146" s="1"/>
  <c r="BA148"/>
  <c r="AZ148" s="1"/>
  <c r="G151"/>
  <c r="G154"/>
  <c r="BA157"/>
  <c r="BL157"/>
  <c r="BL159"/>
  <c r="AZ159" s="1"/>
  <c r="G160"/>
  <c r="BA162"/>
  <c r="BL162"/>
  <c r="BA164"/>
  <c r="AZ164" s="1"/>
  <c r="G167"/>
  <c r="G170"/>
  <c r="BA173"/>
  <c r="BL173"/>
  <c r="BL175"/>
  <c r="AZ175" s="1"/>
  <c r="G176"/>
  <c r="BA178"/>
  <c r="AZ178" s="1"/>
  <c r="BL178"/>
  <c r="BA180"/>
  <c r="AZ180" s="1"/>
  <c r="G183"/>
  <c r="G186"/>
  <c r="BA189"/>
  <c r="BL189"/>
  <c r="BL191"/>
  <c r="AZ191" s="1"/>
  <c r="G192"/>
  <c r="BA194"/>
  <c r="BL194"/>
  <c r="BA196"/>
  <c r="AZ196" s="1"/>
  <c r="G199"/>
  <c r="BA200"/>
  <c r="AZ200" s="1"/>
  <c r="G203"/>
  <c r="G205"/>
  <c r="BL206"/>
  <c r="G207"/>
  <c r="G20"/>
  <c r="G22"/>
  <c r="BA23"/>
  <c r="AZ23" s="1"/>
  <c r="BL23"/>
  <c r="BL25"/>
  <c r="G26"/>
  <c r="G31"/>
  <c r="G33"/>
  <c r="BA35"/>
  <c r="BL35"/>
  <c r="BL36"/>
  <c r="G37"/>
  <c r="BA38"/>
  <c r="AZ38" s="1"/>
  <c r="BL38"/>
  <c r="BL40"/>
  <c r="G41"/>
  <c r="G43"/>
  <c r="M47" i="79"/>
  <c r="J51" i="78"/>
  <c r="J51" i="77"/>
  <c r="BA47" i="3"/>
  <c r="AZ47" s="1"/>
  <c r="BL47"/>
  <c r="BA48"/>
  <c r="AZ48" s="1"/>
  <c r="BA50"/>
  <c r="BL50"/>
  <c r="BL52"/>
  <c r="G53"/>
  <c r="BA54"/>
  <c r="BL54"/>
  <c r="BL56"/>
  <c r="G57"/>
  <c r="G59"/>
  <c r="G63"/>
  <c r="BL64"/>
  <c r="G65"/>
  <c r="G67"/>
  <c r="G71"/>
  <c r="G73"/>
  <c r="BL74"/>
  <c r="G75"/>
  <c r="BA76"/>
  <c r="AZ76" s="1"/>
  <c r="BL76"/>
  <c r="BA78"/>
  <c r="AZ78" s="1"/>
  <c r="BA79"/>
  <c r="AZ79" s="1"/>
  <c r="BA81"/>
  <c r="AZ81" s="1"/>
  <c r="BA82"/>
  <c r="AZ82" s="1"/>
  <c r="BA83"/>
  <c r="AZ83" s="1"/>
  <c r="BA85"/>
  <c r="BL85"/>
  <c r="BA87"/>
  <c r="AZ87" s="1"/>
  <c r="BA89"/>
  <c r="AZ89" s="1"/>
  <c r="BL89"/>
  <c r="BA90"/>
  <c r="AZ90" s="1"/>
  <c r="BL92"/>
  <c r="G93"/>
  <c r="BL94"/>
  <c r="G95"/>
  <c r="G99"/>
  <c r="BA100"/>
  <c r="AZ100" s="1"/>
  <c r="BL100"/>
  <c r="BA102"/>
  <c r="AZ102" s="1"/>
  <c r="BL102"/>
  <c r="BA103"/>
  <c r="AZ103" s="1"/>
  <c r="BA105"/>
  <c r="BL105"/>
  <c r="BL106"/>
  <c r="G107"/>
  <c r="BL109"/>
  <c r="G110"/>
  <c r="BA111"/>
  <c r="BL111"/>
  <c r="BL112"/>
  <c r="J51" i="15"/>
  <c r="BB5" i="3"/>
  <c r="F29" i="6"/>
  <c r="B7" i="1"/>
  <c r="E7" s="1"/>
  <c r="G1" i="77"/>
  <c r="J11" i="33"/>
  <c r="W11" s="1"/>
  <c r="H11"/>
  <c r="AB11" s="1"/>
  <c r="H5" i="3"/>
  <c r="U11" i="33"/>
  <c r="W40"/>
  <c r="S38"/>
  <c r="S41"/>
  <c r="W39"/>
  <c r="U32"/>
  <c r="J30"/>
  <c r="F9"/>
  <c r="C51" i="10"/>
  <c r="A13" i="51" s="1"/>
  <c r="B11" i="72" s="1"/>
  <c r="A118" i="79"/>
  <c r="A2"/>
  <c r="U43" i="33"/>
  <c r="M20" i="15"/>
  <c r="F34" i="77"/>
  <c r="F62" s="1"/>
  <c r="M20"/>
  <c r="M20" i="78"/>
  <c r="F34"/>
  <c r="F62" s="1"/>
  <c r="H13" i="33"/>
  <c r="AB13" s="1"/>
  <c r="W45"/>
  <c r="AC45"/>
  <c r="W44"/>
  <c r="AB45"/>
  <c r="G9" i="1"/>
  <c r="G12"/>
  <c r="E8" i="6"/>
  <c r="F27" s="1"/>
  <c r="K10" i="1"/>
  <c r="M10" s="1"/>
  <c r="O10" s="1"/>
  <c r="K13"/>
  <c r="M13" s="1"/>
  <c r="O13" s="1"/>
  <c r="P13" s="1"/>
  <c r="B8"/>
  <c r="E8" s="1"/>
  <c r="G1" i="78"/>
  <c r="M8" i="1"/>
  <c r="M18" i="79"/>
  <c r="B118" s="1"/>
  <c r="G3" i="43"/>
  <c r="B113" s="1"/>
  <c r="C11" i="21"/>
  <c r="H11" s="1"/>
  <c r="U11" s="1"/>
  <c r="AA41"/>
  <c r="S42"/>
  <c r="S34"/>
  <c r="U43"/>
  <c r="S40"/>
  <c r="U34"/>
  <c r="U12"/>
  <c r="AA25"/>
  <c r="AC35"/>
  <c r="U30"/>
  <c r="AB30"/>
  <c r="J30"/>
  <c r="AC30" s="1"/>
  <c r="U13" i="33"/>
  <c r="AA14"/>
  <c r="F13"/>
  <c r="AB12"/>
  <c r="G8" i="1"/>
  <c r="F7"/>
  <c r="G14" i="3"/>
  <c r="A15" i="62"/>
  <c r="B61" i="72" s="1"/>
  <c r="W12" i="34"/>
  <c r="AC12"/>
  <c r="U12" i="35"/>
  <c r="AB12"/>
  <c r="AB34"/>
  <c r="U34"/>
  <c r="AB44" i="39"/>
  <c r="U44"/>
  <c r="AC37"/>
  <c r="W37"/>
  <c r="W12" i="40"/>
  <c r="AC12"/>
  <c r="S12" i="21"/>
  <c r="AA12"/>
  <c r="AB9" i="36"/>
  <c r="U9"/>
  <c r="AC24"/>
  <c r="W24"/>
  <c r="AC43" i="39"/>
  <c r="W43"/>
  <c r="U45"/>
  <c r="AB45"/>
  <c r="AZ521" i="3"/>
  <c r="AZ581"/>
  <c r="BL586"/>
  <c r="AZ585"/>
  <c r="AZ402"/>
  <c r="AZ418"/>
  <c r="AZ434"/>
  <c r="AZ443"/>
  <c r="AZ446"/>
  <c r="AZ450"/>
  <c r="AZ459"/>
  <c r="AZ462"/>
  <c r="G28" i="6"/>
  <c r="AZ326" i="3"/>
  <c r="AZ311"/>
  <c r="AZ372"/>
  <c r="AZ347"/>
  <c r="AZ344"/>
  <c r="AZ337"/>
  <c r="AZ320"/>
  <c r="AZ313"/>
  <c r="AZ305"/>
  <c r="AZ362"/>
  <c r="S14" i="40"/>
  <c r="W40" i="37"/>
  <c r="AC31" i="33"/>
  <c r="W47" i="34"/>
  <c r="AB28" i="37"/>
  <c r="AC32" i="36"/>
  <c r="AZ569" i="3"/>
  <c r="AZ577"/>
  <c r="AZ557"/>
  <c r="AZ516"/>
  <c r="AZ524"/>
  <c r="AZ532"/>
  <c r="AZ536"/>
  <c r="AZ544"/>
  <c r="AZ554"/>
  <c r="AZ558"/>
  <c r="AZ582"/>
  <c r="S11" i="36"/>
  <c r="AB26" i="33"/>
  <c r="AB11" i="35"/>
  <c r="AA44" i="33"/>
  <c r="C25" i="39"/>
  <c r="F26" i="33"/>
  <c r="W9" i="34"/>
  <c r="S34" i="35"/>
  <c r="W28"/>
  <c r="J12" i="21"/>
  <c r="AC12" s="1"/>
  <c r="F12" i="34"/>
  <c r="J23" i="35"/>
  <c r="J36"/>
  <c r="H12" i="36"/>
  <c r="H24"/>
  <c r="AB24" s="1"/>
  <c r="H39" i="40"/>
  <c r="G582" i="3"/>
  <c r="G566"/>
  <c r="G552"/>
  <c r="BA551"/>
  <c r="G551"/>
  <c r="BL550"/>
  <c r="BA550"/>
  <c r="BL548"/>
  <c r="AZ548" s="1"/>
  <c r="G526"/>
  <c r="BL15"/>
  <c r="AZ15" s="1"/>
  <c r="BA398"/>
  <c r="AZ398" s="1"/>
  <c r="G401"/>
  <c r="BL401"/>
  <c r="BL403"/>
  <c r="AZ403" s="1"/>
  <c r="BA404"/>
  <c r="AZ404" s="1"/>
  <c r="BL406"/>
  <c r="AZ406" s="1"/>
  <c r="BA407"/>
  <c r="AZ407" s="1"/>
  <c r="G410"/>
  <c r="G411"/>
  <c r="G412"/>
  <c r="BL412"/>
  <c r="AZ412" s="1"/>
  <c r="BA413"/>
  <c r="AZ413" s="1"/>
  <c r="BA414"/>
  <c r="AZ414" s="1"/>
  <c r="G417"/>
  <c r="BL417"/>
  <c r="BL419"/>
  <c r="AZ419" s="1"/>
  <c r="BA420"/>
  <c r="AZ420" s="1"/>
  <c r="BL422"/>
  <c r="AZ422" s="1"/>
  <c r="BA423"/>
  <c r="AZ423" s="1"/>
  <c r="BA424"/>
  <c r="AZ424" s="1"/>
  <c r="G427"/>
  <c r="G428"/>
  <c r="BL428"/>
  <c r="AZ428" s="1"/>
  <c r="BA429"/>
  <c r="AZ429" s="1"/>
  <c r="BA430"/>
  <c r="AZ430" s="1"/>
  <c r="G433"/>
  <c r="BL433"/>
  <c r="BL435"/>
  <c r="AZ435" s="1"/>
  <c r="BA436"/>
  <c r="AZ436" s="1"/>
  <c r="BL438"/>
  <c r="AZ438" s="1"/>
  <c r="BA439"/>
  <c r="AZ439" s="1"/>
  <c r="BA440"/>
  <c r="AZ440" s="1"/>
  <c r="BL442"/>
  <c r="AZ442" s="1"/>
  <c r="G445"/>
  <c r="BL445"/>
  <c r="AZ445" s="1"/>
  <c r="G448"/>
  <c r="G449"/>
  <c r="BL449"/>
  <c r="AZ449" s="1"/>
  <c r="BL451"/>
  <c r="AZ451" s="1"/>
  <c r="BA452"/>
  <c r="AZ452" s="1"/>
  <c r="BL454"/>
  <c r="AZ454" s="1"/>
  <c r="BA455"/>
  <c r="AZ455" s="1"/>
  <c r="BA456"/>
  <c r="AZ456" s="1"/>
  <c r="BL458"/>
  <c r="AZ458" s="1"/>
  <c r="G461"/>
  <c r="BL461"/>
  <c r="AZ461" s="1"/>
  <c r="G464"/>
  <c r="G465"/>
  <c r="BL465"/>
  <c r="AZ465" s="1"/>
  <c r="BA466"/>
  <c r="AZ466" s="1"/>
  <c r="BA467"/>
  <c r="AZ467" s="1"/>
  <c r="BL469"/>
  <c r="AZ469" s="1"/>
  <c r="BA470"/>
  <c r="AZ470" s="1"/>
  <c r="BA471"/>
  <c r="AZ471" s="1"/>
  <c r="BA472"/>
  <c r="AZ472" s="1"/>
  <c r="G475"/>
  <c r="G476"/>
  <c r="BL476"/>
  <c r="AZ476" s="1"/>
  <c r="G479"/>
  <c r="G480"/>
  <c r="BL480"/>
  <c r="G483"/>
  <c r="BA484"/>
  <c r="AZ484" s="1"/>
  <c r="BA485"/>
  <c r="AZ485" s="1"/>
  <c r="BL487"/>
  <c r="AZ487" s="1"/>
  <c r="BA488"/>
  <c r="AZ488" s="1"/>
  <c r="BA489"/>
  <c r="AZ489" s="1"/>
  <c r="BL491"/>
  <c r="AZ491" s="1"/>
  <c r="BA492"/>
  <c r="AZ492" s="1"/>
  <c r="G313"/>
  <c r="BA315"/>
  <c r="AZ315" s="1"/>
  <c r="BL316"/>
  <c r="AZ316" s="1"/>
  <c r="G318"/>
  <c r="G329"/>
  <c r="BA331"/>
  <c r="AZ331" s="1"/>
  <c r="BL332"/>
  <c r="G334"/>
  <c r="BL346"/>
  <c r="AZ346" s="1"/>
  <c r="G349"/>
  <c r="BA350"/>
  <c r="AZ350" s="1"/>
  <c r="BL353"/>
  <c r="AZ353" s="1"/>
  <c r="G362"/>
  <c r="G366"/>
  <c r="BA368"/>
  <c r="AZ368" s="1"/>
  <c r="G378"/>
  <c r="BL383"/>
  <c r="AZ383" s="1"/>
  <c r="BA385"/>
  <c r="AZ385" s="1"/>
  <c r="BA388"/>
  <c r="AZ388" s="1"/>
  <c r="BA392"/>
  <c r="AZ392" s="1"/>
  <c r="G395"/>
  <c r="BL395"/>
  <c r="G208"/>
  <c r="BL208"/>
  <c r="AZ208" s="1"/>
  <c r="G211"/>
  <c r="BL211"/>
  <c r="BA212"/>
  <c r="AZ212" s="1"/>
  <c r="BL214"/>
  <c r="AZ214" s="1"/>
  <c r="G217"/>
  <c r="BL217"/>
  <c r="AZ217" s="1"/>
  <c r="G220"/>
  <c r="BL220"/>
  <c r="BA221"/>
  <c r="AZ221" s="1"/>
  <c r="BA222"/>
  <c r="AZ222" s="1"/>
  <c r="BA223"/>
  <c r="AZ223" s="1"/>
  <c r="G226"/>
  <c r="BL226"/>
  <c r="G229"/>
  <c r="G230"/>
  <c r="BL230"/>
  <c r="BA231"/>
  <c r="AZ231" s="1"/>
  <c r="BA232"/>
  <c r="AZ232" s="1"/>
  <c r="BA233"/>
  <c r="AZ233" s="1"/>
  <c r="BL235"/>
  <c r="AZ235" s="1"/>
  <c r="BA236"/>
  <c r="AZ236" s="1"/>
  <c r="BA237"/>
  <c r="AZ237" s="1"/>
  <c r="G240"/>
  <c r="G241"/>
  <c r="G242"/>
  <c r="BL242"/>
  <c r="AZ242" s="1"/>
  <c r="G245"/>
  <c r="G246"/>
  <c r="BL246"/>
  <c r="BA247"/>
  <c r="AZ247" s="1"/>
  <c r="BA248"/>
  <c r="AZ248" s="1"/>
  <c r="BA249"/>
  <c r="AZ249" s="1"/>
  <c r="BL251"/>
  <c r="AZ251" s="1"/>
  <c r="BA252"/>
  <c r="AZ252" s="1"/>
  <c r="BA253"/>
  <c r="AZ253" s="1"/>
  <c r="AZ477"/>
  <c r="AZ480"/>
  <c r="AZ481"/>
  <c r="AZ332"/>
  <c r="AZ395"/>
  <c r="AZ211"/>
  <c r="AZ220"/>
  <c r="AZ226"/>
  <c r="AZ230"/>
  <c r="AZ246"/>
  <c r="AZ284"/>
  <c r="AZ122"/>
  <c r="AZ169"/>
  <c r="BA255"/>
  <c r="AZ255" s="1"/>
  <c r="BA256"/>
  <c r="AZ256" s="1"/>
  <c r="BA257"/>
  <c r="AZ257" s="1"/>
  <c r="BL259"/>
  <c r="AZ259" s="1"/>
  <c r="BA260"/>
  <c r="AZ260" s="1"/>
  <c r="BA261"/>
  <c r="AZ261" s="1"/>
  <c r="BL263"/>
  <c r="AZ263" s="1"/>
  <c r="BA264"/>
  <c r="AZ264" s="1"/>
  <c r="BA265"/>
  <c r="AZ265" s="1"/>
  <c r="G268"/>
  <c r="G269"/>
  <c r="G270"/>
  <c r="BL270"/>
  <c r="AZ270" s="1"/>
  <c r="G273"/>
  <c r="G274"/>
  <c r="BL274"/>
  <c r="AZ274" s="1"/>
  <c r="G277"/>
  <c r="BL277"/>
  <c r="AZ277" s="1"/>
  <c r="BA278"/>
  <c r="AZ278" s="1"/>
  <c r="BA279"/>
  <c r="AZ279" s="1"/>
  <c r="BA280"/>
  <c r="AZ280" s="1"/>
  <c r="G283"/>
  <c r="G284"/>
  <c r="BL284"/>
  <c r="BA285"/>
  <c r="AZ285" s="1"/>
  <c r="BL287"/>
  <c r="AZ287" s="1"/>
  <c r="G290"/>
  <c r="BL290"/>
  <c r="AZ290" s="1"/>
  <c r="G293"/>
  <c r="BL293"/>
  <c r="AZ293" s="1"/>
  <c r="BA294"/>
  <c r="AZ294" s="1"/>
  <c r="BA295"/>
  <c r="AZ295" s="1"/>
  <c r="BA296"/>
  <c r="AZ296" s="1"/>
  <c r="G299"/>
  <c r="G300"/>
  <c r="BL300"/>
  <c r="AZ300" s="1"/>
  <c r="BA301"/>
  <c r="AZ301" s="1"/>
  <c r="BA302"/>
  <c r="AZ302" s="1"/>
  <c r="BA113"/>
  <c r="AZ113" s="1"/>
  <c r="BA114"/>
  <c r="AZ114" s="1"/>
  <c r="BL115"/>
  <c r="AZ115" s="1"/>
  <c r="G119"/>
  <c r="G122"/>
  <c r="BL122"/>
  <c r="BA124"/>
  <c r="AZ124" s="1"/>
  <c r="BL125"/>
  <c r="AZ125" s="1"/>
  <c r="BA126"/>
  <c r="AZ126" s="1"/>
  <c r="BL127"/>
  <c r="AZ127" s="1"/>
  <c r="BA129"/>
  <c r="AZ129" s="1"/>
  <c r="BA130"/>
  <c r="AZ130" s="1"/>
  <c r="BL131"/>
  <c r="AZ131" s="1"/>
  <c r="G135"/>
  <c r="G138"/>
  <c r="G139"/>
  <c r="G142"/>
  <c r="G143"/>
  <c r="G146"/>
  <c r="G147"/>
  <c r="G148"/>
  <c r="BL150"/>
  <c r="AZ150" s="1"/>
  <c r="BA152"/>
  <c r="AZ152" s="1"/>
  <c r="BL153"/>
  <c r="AZ153" s="1"/>
  <c r="G156"/>
  <c r="BL158"/>
  <c r="AZ158" s="1"/>
  <c r="BA160"/>
  <c r="AZ160" s="1"/>
  <c r="BL161"/>
  <c r="AZ161" s="1"/>
  <c r="G164"/>
  <c r="BL166"/>
  <c r="AZ166" s="1"/>
  <c r="BA168"/>
  <c r="AZ168" s="1"/>
  <c r="BL169"/>
  <c r="G172"/>
  <c r="BL174"/>
  <c r="AZ174" s="1"/>
  <c r="BA176"/>
  <c r="AZ176" s="1"/>
  <c r="BL177"/>
  <c r="AZ177" s="1"/>
  <c r="G180"/>
  <c r="BL182"/>
  <c r="AZ182" s="1"/>
  <c r="BA184"/>
  <c r="AZ184" s="1"/>
  <c r="BL185"/>
  <c r="AZ185" s="1"/>
  <c r="G188"/>
  <c r="BL190"/>
  <c r="AZ190" s="1"/>
  <c r="BA192"/>
  <c r="AZ192" s="1"/>
  <c r="BL193"/>
  <c r="AZ193" s="1"/>
  <c r="G196"/>
  <c r="BL198"/>
  <c r="AZ198" s="1"/>
  <c r="G200"/>
  <c r="BL202"/>
  <c r="AZ202" s="1"/>
  <c r="BA204"/>
  <c r="AZ204" s="1"/>
  <c r="BA205"/>
  <c r="AZ205" s="1"/>
  <c r="BA206"/>
  <c r="AZ206" s="1"/>
  <c r="G19"/>
  <c r="BL19"/>
  <c r="AZ19" s="1"/>
  <c r="BL21"/>
  <c r="AZ21" s="1"/>
  <c r="BA22"/>
  <c r="AZ22" s="1"/>
  <c r="BL24"/>
  <c r="AZ24" s="1"/>
  <c r="BA25"/>
  <c r="AZ25" s="1"/>
  <c r="G28"/>
  <c r="G29"/>
  <c r="G30"/>
  <c r="BL30"/>
  <c r="AZ30" s="1"/>
  <c r="BL32"/>
  <c r="AZ32" s="1"/>
  <c r="BA34"/>
  <c r="AZ34" s="1"/>
  <c r="BA36"/>
  <c r="AZ36" s="1"/>
  <c r="BA37"/>
  <c r="AZ37" s="1"/>
  <c r="BL39"/>
  <c r="AZ39" s="1"/>
  <c r="BA40"/>
  <c r="AZ40" s="1"/>
  <c r="BL42"/>
  <c r="AZ42" s="1"/>
  <c r="G45"/>
  <c r="G46"/>
  <c r="BL46"/>
  <c r="AZ46" s="1"/>
  <c r="G49"/>
  <c r="BL49"/>
  <c r="AZ49" s="1"/>
  <c r="BL51"/>
  <c r="AZ51" s="1"/>
  <c r="BA52"/>
  <c r="AZ52" s="1"/>
  <c r="BA53"/>
  <c r="AZ53" s="1"/>
  <c r="BL55"/>
  <c r="AZ55" s="1"/>
  <c r="BA56"/>
  <c r="AZ56" s="1"/>
  <c r="BL58"/>
  <c r="AZ58" s="1"/>
  <c r="G61"/>
  <c r="G62"/>
  <c r="BL62"/>
  <c r="AZ62" s="1"/>
  <c r="BA64"/>
  <c r="AZ64" s="1"/>
  <c r="BL66"/>
  <c r="AZ66" s="1"/>
  <c r="G69"/>
  <c r="G70"/>
  <c r="BL70"/>
  <c r="AZ70" s="1"/>
  <c r="BL72"/>
  <c r="AZ72" s="1"/>
  <c r="BA73"/>
  <c r="AZ73" s="1"/>
  <c r="BA74"/>
  <c r="AZ74" s="1"/>
  <c r="BA75"/>
  <c r="AZ75" s="1"/>
  <c r="BL77"/>
  <c r="AZ77" s="1"/>
  <c r="G79"/>
  <c r="G80"/>
  <c r="BL80"/>
  <c r="G82"/>
  <c r="G83"/>
  <c r="G84"/>
  <c r="BL84"/>
  <c r="AZ84" s="1"/>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M100" i="43"/>
  <c r="I100"/>
  <c r="E100"/>
  <c r="I20" i="66"/>
  <c r="D93" i="9"/>
  <c r="E12" i="6"/>
  <c r="E57" i="40" s="1"/>
  <c r="E15" i="6"/>
  <c r="E60" i="40" s="1"/>
  <c r="K6" i="1"/>
  <c r="E13" i="6"/>
  <c r="E58" i="40" s="1"/>
  <c r="G29" i="6"/>
  <c r="E29" s="1"/>
  <c r="AC26" i="33"/>
  <c r="W26"/>
  <c r="W27" i="34"/>
  <c r="AC27"/>
  <c r="AB34" i="36"/>
  <c r="U34"/>
  <c r="AB33"/>
  <c r="U33"/>
  <c r="AC12" i="39"/>
  <c r="W12"/>
  <c r="AC39" i="40"/>
  <c r="W39"/>
  <c r="AZ401" i="3"/>
  <c r="AZ417"/>
  <c r="AZ433"/>
  <c r="AZ586"/>
  <c r="F22" i="43"/>
  <c r="J101"/>
  <c r="J104" s="1"/>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26"/>
  <c r="AZ35"/>
  <c r="AZ41"/>
  <c r="B12" i="1"/>
  <c r="E12" s="1"/>
  <c r="B10"/>
  <c r="E10" s="1"/>
  <c r="D1" i="66"/>
  <c r="E10" s="1"/>
  <c r="AZ80" i="3"/>
  <c r="AZ88"/>
  <c r="AZ107"/>
  <c r="AZ111"/>
  <c r="K12" i="1"/>
  <c r="M12" s="1"/>
  <c r="O12" s="1"/>
  <c r="P12" s="1"/>
  <c r="J51" i="67"/>
  <c r="C42" i="1"/>
  <c r="H100" i="43"/>
  <c r="C30" i="66"/>
  <c r="E26" s="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G5" s="1"/>
  <c r="B3" s="1"/>
  <c r="AT6" s="1"/>
  <c r="BA13"/>
  <c r="E10" i="6"/>
  <c r="E11"/>
  <c r="E61" i="39" s="1"/>
  <c r="BL17" i="3"/>
  <c r="AZ17" s="1"/>
  <c r="BL13"/>
  <c r="E65" i="39"/>
  <c r="J56" i="9"/>
  <c r="J57" s="1"/>
  <c r="A24" i="51"/>
  <c r="B18" i="72" s="1"/>
  <c r="U29" i="34"/>
  <c r="E14" i="6"/>
  <c r="E64" i="39" s="1"/>
  <c r="E5" i="6"/>
  <c r="D9" i="11" s="1"/>
  <c r="C9" s="1"/>
  <c r="P10" i="1"/>
  <c r="H22" i="43"/>
  <c r="L101"/>
  <c r="L109" s="1"/>
  <c r="H101"/>
  <c r="D101"/>
  <c r="D109" s="1"/>
  <c r="M101"/>
  <c r="M109" s="1"/>
  <c r="I101"/>
  <c r="I109" s="1"/>
  <c r="E101"/>
  <c r="G22"/>
  <c r="E32" i="6"/>
  <c r="L19" s="1"/>
  <c r="G1" i="68"/>
  <c r="K1" i="12"/>
  <c r="J103" i="43"/>
  <c r="E19" i="69"/>
  <c r="E19" i="68"/>
  <c r="E19" i="11"/>
  <c r="E1" i="73"/>
  <c r="K1" s="1"/>
  <c r="G41" i="69"/>
  <c r="G22"/>
  <c r="G41" i="68"/>
  <c r="G22"/>
  <c r="G27" i="12"/>
  <c r="G26"/>
  <c r="G41" i="11"/>
  <c r="G22"/>
  <c r="G25" i="12"/>
  <c r="J109" i="43"/>
  <c r="C100"/>
  <c r="E11"/>
  <c r="E10"/>
  <c r="E9"/>
  <c r="E8"/>
  <c r="C7" s="1"/>
  <c r="E81"/>
  <c r="B79" s="1"/>
  <c r="AJ11"/>
  <c r="AJ13" s="1"/>
  <c r="AH11"/>
  <c r="AH13" s="1"/>
  <c r="AF11"/>
  <c r="AF13" s="1"/>
  <c r="AD11"/>
  <c r="AD13" s="1"/>
  <c r="AB11"/>
  <c r="AB13" s="1"/>
  <c r="Z11"/>
  <c r="Z13" s="1"/>
  <c r="Z7"/>
  <c r="S5"/>
  <c r="AI11"/>
  <c r="AI13" s="1"/>
  <c r="AG11"/>
  <c r="AG13" s="1"/>
  <c r="AE11"/>
  <c r="AE13" s="1"/>
  <c r="AC11"/>
  <c r="AC13" s="1"/>
  <c r="AA11"/>
  <c r="AA13" s="1"/>
  <c r="Y11"/>
  <c r="Y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L20" i="6"/>
  <c r="E62" i="39"/>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B8"/>
  <c r="E4"/>
  <c r="E11"/>
  <c r="F6" i="77"/>
  <c r="F36"/>
  <c r="M23"/>
  <c r="M8"/>
  <c r="F38"/>
  <c r="M22"/>
  <c r="F36" i="78"/>
  <c r="F38"/>
  <c r="F37"/>
  <c r="M29" i="77"/>
  <c r="L47" i="78"/>
  <c r="F7" i="77"/>
  <c r="M22" i="78"/>
  <c r="F9"/>
  <c r="F16" i="77"/>
  <c r="F42"/>
  <c r="M6"/>
  <c r="F9"/>
  <c r="M24" i="78"/>
  <c r="L48" i="77"/>
  <c r="F7" i="78"/>
  <c r="F43" i="15"/>
  <c r="F7" i="67"/>
  <c r="F26" i="15"/>
  <c r="F8" i="78"/>
  <c r="M6" i="15"/>
  <c r="F16" i="78"/>
  <c r="F40" i="67"/>
  <c r="F13" i="15"/>
  <c r="F13" i="67"/>
  <c r="J15" i="77"/>
  <c r="M26"/>
  <c r="C76" i="78"/>
  <c r="F26"/>
  <c r="M29" i="15"/>
  <c r="L47" i="77"/>
  <c r="M27"/>
  <c r="M9"/>
  <c r="F37"/>
  <c r="F13"/>
  <c r="C76"/>
  <c r="M8" i="78"/>
  <c r="M9"/>
  <c r="M6"/>
  <c r="F43" i="77"/>
  <c r="M27" i="78"/>
  <c r="M26"/>
  <c r="M29"/>
  <c r="F6"/>
  <c r="G1" i="73"/>
  <c r="M28" i="77"/>
  <c r="F26"/>
  <c r="F8"/>
  <c r="M23" i="78"/>
  <c r="M9" i="67"/>
  <c r="L48" i="78"/>
  <c r="F40" i="15"/>
  <c r="F7"/>
  <c r="L48"/>
  <c r="F40" i="78"/>
  <c r="M22" i="15"/>
  <c r="M28" i="78"/>
  <c r="L48" i="67"/>
  <c r="F36"/>
  <c r="F6" i="15"/>
  <c r="M24" i="77"/>
  <c r="F40"/>
  <c r="F42" i="78"/>
  <c r="L47" i="67"/>
  <c r="F16" i="15"/>
  <c r="M8" i="67"/>
  <c r="F38"/>
  <c r="F13" i="78"/>
  <c r="J15"/>
  <c r="F9" i="67"/>
  <c r="F42"/>
  <c r="F9" i="15"/>
  <c r="M24" i="67"/>
  <c r="F43" i="78"/>
  <c r="M28" i="15"/>
  <c r="M24"/>
  <c r="F37" i="67"/>
  <c r="F38" i="15"/>
  <c r="M28" i="67"/>
  <c r="W10" i="21" l="1"/>
  <c r="W28"/>
  <c r="AC28"/>
  <c r="F53" i="9"/>
  <c r="D68" i="79"/>
  <c r="F54"/>
  <c r="F53"/>
  <c r="F32" i="78"/>
  <c r="F60" s="1"/>
  <c r="F28"/>
  <c r="C28" s="1"/>
  <c r="F52" i="79"/>
  <c r="F32" i="77"/>
  <c r="F60" s="1"/>
  <c r="F28"/>
  <c r="C28" s="1"/>
  <c r="M18"/>
  <c r="M18" i="78"/>
  <c r="AA9" i="34"/>
  <c r="S9"/>
  <c r="C77" i="79"/>
  <c r="C74" s="1"/>
  <c r="AZ105" i="3"/>
  <c r="AZ85"/>
  <c r="AZ54"/>
  <c r="AZ50"/>
  <c r="AZ194"/>
  <c r="AZ162"/>
  <c r="AZ415"/>
  <c r="AZ117"/>
  <c r="AZ243"/>
  <c r="AZ218"/>
  <c r="AZ405"/>
  <c r="S36" i="39"/>
  <c r="AA36"/>
  <c r="AA29" i="21"/>
  <c r="N101" i="43"/>
  <c r="N102" s="1"/>
  <c r="E51" i="40"/>
  <c r="G30" i="6"/>
  <c r="G31" s="1"/>
  <c r="F30"/>
  <c r="Q71" i="77"/>
  <c r="F51"/>
  <c r="F66"/>
  <c r="F68"/>
  <c r="F65"/>
  <c r="C27"/>
  <c r="F64"/>
  <c r="M59"/>
  <c r="L59"/>
  <c r="Q74" s="1"/>
  <c r="N59"/>
  <c r="N103" i="43"/>
  <c r="BA5" i="3"/>
  <c r="E27" i="6" s="1"/>
  <c r="E56" i="39"/>
  <c r="N104" i="43"/>
  <c r="F31" i="6"/>
  <c r="N109" i="43"/>
  <c r="N106"/>
  <c r="G101"/>
  <c r="G105" s="1"/>
  <c r="K101"/>
  <c r="K106" s="1"/>
  <c r="AA9" i="33"/>
  <c r="S9"/>
  <c r="B115" i="43"/>
  <c r="C115" s="1"/>
  <c r="I115"/>
  <c r="J115" s="1"/>
  <c r="K115" s="1"/>
  <c r="L115" s="1"/>
  <c r="M115" s="1"/>
  <c r="I118"/>
  <c r="J118" s="1"/>
  <c r="K118" s="1"/>
  <c r="L118" s="1"/>
  <c r="M118" s="1"/>
  <c r="D118"/>
  <c r="E118" s="1"/>
  <c r="F118" s="1"/>
  <c r="B116"/>
  <c r="C116" s="1"/>
  <c r="I117"/>
  <c r="J117" s="1"/>
  <c r="K117" s="1"/>
  <c r="L117" s="1"/>
  <c r="M117" s="1"/>
  <c r="B117"/>
  <c r="C117" s="1"/>
  <c r="D115"/>
  <c r="E115" s="1"/>
  <c r="F115" s="1"/>
  <c r="G115" s="1"/>
  <c r="H115" s="1"/>
  <c r="D117"/>
  <c r="E117" s="1"/>
  <c r="F117" s="1"/>
  <c r="G117" s="1"/>
  <c r="H117" s="1"/>
  <c r="D116"/>
  <c r="E116" s="1"/>
  <c r="F116" s="1"/>
  <c r="G116" s="1"/>
  <c r="H116" s="1"/>
  <c r="G118"/>
  <c r="H118" s="1"/>
  <c r="B118"/>
  <c r="C118" s="1"/>
  <c r="I116"/>
  <c r="J116" s="1"/>
  <c r="K116" s="1"/>
  <c r="L116" s="1"/>
  <c r="M116" s="1"/>
  <c r="N107"/>
  <c r="J106"/>
  <c r="J102"/>
  <c r="J107"/>
  <c r="N105"/>
  <c r="J105"/>
  <c r="N104" i="46"/>
  <c r="C101" i="43"/>
  <c r="E22"/>
  <c r="F101"/>
  <c r="D22"/>
  <c r="L57" i="77"/>
  <c r="I54"/>
  <c r="J53"/>
  <c r="L56"/>
  <c r="L60"/>
  <c r="J57"/>
  <c r="J55" s="1"/>
  <c r="J58" s="1"/>
  <c r="Q50" s="1"/>
  <c r="L58"/>
  <c r="G7" i="1"/>
  <c r="G16" s="1"/>
  <c r="H10" i="40" s="1"/>
  <c r="U10" s="1"/>
  <c r="E28" i="6"/>
  <c r="K20" s="1"/>
  <c r="E56" i="40"/>
  <c r="Q71" i="78"/>
  <c r="F51"/>
  <c r="F50"/>
  <c r="M7"/>
  <c r="J10" s="1"/>
  <c r="F65"/>
  <c r="C6"/>
  <c r="C10"/>
  <c r="C27"/>
  <c r="F64"/>
  <c r="N59"/>
  <c r="L58"/>
  <c r="L59"/>
  <c r="M59"/>
  <c r="J6"/>
  <c r="F68"/>
  <c r="L57"/>
  <c r="J53"/>
  <c r="I54"/>
  <c r="L56"/>
  <c r="J57"/>
  <c r="J55" s="1"/>
  <c r="J58" s="1"/>
  <c r="Q50" s="1"/>
  <c r="L60"/>
  <c r="F66"/>
  <c r="F71"/>
  <c r="F50" i="77"/>
  <c r="M7"/>
  <c r="C6"/>
  <c r="C10"/>
  <c r="F71"/>
  <c r="AB11" i="21"/>
  <c r="J11"/>
  <c r="F11"/>
  <c r="W17"/>
  <c r="AC15"/>
  <c r="S13" i="33"/>
  <c r="AA13"/>
  <c r="C4" i="4"/>
  <c r="B4" i="62" s="1"/>
  <c r="B71" i="72" s="1"/>
  <c r="E4" i="4"/>
  <c r="B5" i="62" s="1"/>
  <c r="B73" i="72" s="1"/>
  <c r="AC36" i="35"/>
  <c r="W36"/>
  <c r="S12" i="34"/>
  <c r="AA12"/>
  <c r="U39" i="40"/>
  <c r="AB39"/>
  <c r="U12" i="36"/>
  <c r="AB12"/>
  <c r="AC23" i="35"/>
  <c r="W23"/>
  <c r="AA26" i="33"/>
  <c r="S26"/>
  <c r="L58" i="67"/>
  <c r="N59"/>
  <c r="L59" s="1"/>
  <c r="M59"/>
  <c r="J53"/>
  <c r="I54"/>
  <c r="I54" i="15"/>
  <c r="J53"/>
  <c r="L56" s="1"/>
  <c r="AZ13" i="3"/>
  <c r="AZ5" s="1"/>
  <c r="AY6" s="1"/>
  <c r="M6" i="1"/>
  <c r="O6" s="1"/>
  <c r="P6" s="1"/>
  <c r="F30" i="68"/>
  <c r="C30" s="1"/>
  <c r="F30" i="11"/>
  <c r="C48" s="1"/>
  <c r="F28" i="67"/>
  <c r="C28" s="1"/>
  <c r="F31" i="12"/>
  <c r="F52" i="9"/>
  <c r="C31" i="12"/>
  <c r="M18" i="67"/>
  <c r="F32"/>
  <c r="F60" s="1"/>
  <c r="F30" i="69"/>
  <c r="C48" s="1"/>
  <c r="F32" i="15"/>
  <c r="F60" s="1"/>
  <c r="M18"/>
  <c r="F28"/>
  <c r="E63" i="39"/>
  <c r="D9" i="69"/>
  <c r="C9" s="1"/>
  <c r="D19" i="12"/>
  <c r="C19" s="1"/>
  <c r="E59" i="40"/>
  <c r="D68" i="39"/>
  <c r="D70" s="1"/>
  <c r="P24" i="43"/>
  <c r="B66" i="40" s="1"/>
  <c r="C28" i="15"/>
  <c r="E30" i="6"/>
  <c r="K15" i="1"/>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S6" i="43"/>
  <c r="C23"/>
  <c r="C21" s="1"/>
  <c r="S4"/>
  <c r="S3"/>
  <c r="S7"/>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14" i="1"/>
  <c r="M14" s="1"/>
  <c r="O14" s="1"/>
  <c r="P14" s="1"/>
  <c r="BL5" i="3"/>
  <c r="P21" i="43"/>
  <c r="M20"/>
  <c r="C19" s="1"/>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E102" i="43"/>
  <c r="E104"/>
  <c r="E106"/>
  <c r="E107"/>
  <c r="E103"/>
  <c r="E105"/>
  <c r="M102"/>
  <c r="M104"/>
  <c r="M106"/>
  <c r="M107"/>
  <c r="M103"/>
  <c r="M105"/>
  <c r="H102"/>
  <c r="H107"/>
  <c r="H103"/>
  <c r="H106"/>
  <c r="H104"/>
  <c r="H105"/>
  <c r="K19" i="6"/>
  <c r="S6" i="1" s="1"/>
  <c r="AQ6" s="1"/>
  <c r="K23" i="6"/>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G33" i="33"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L27" i="6"/>
  <c r="L56" i="67"/>
  <c r="J57"/>
  <c r="J55" s="1"/>
  <c r="J58" s="1"/>
  <c r="Q50" s="1"/>
  <c r="F70"/>
  <c r="F68"/>
  <c r="F66"/>
  <c r="F50"/>
  <c r="M7"/>
  <c r="F64"/>
  <c r="F65"/>
  <c r="F71" i="15"/>
  <c r="C27"/>
  <c r="J57"/>
  <c r="J55" s="1"/>
  <c r="J58" s="1"/>
  <c r="Q50" s="1"/>
  <c r="F68"/>
  <c r="M7"/>
  <c r="F50"/>
  <c r="F66"/>
  <c r="AP7" i="1"/>
  <c r="C36" i="69" s="1"/>
  <c r="M7" i="1"/>
  <c r="Q16"/>
  <c r="F27" i="69" s="1"/>
  <c r="H16" i="1"/>
  <c r="AB45" i="21"/>
  <c r="W32"/>
  <c r="AC32"/>
  <c r="AB9"/>
  <c r="U9"/>
  <c r="AA32"/>
  <c r="S32"/>
  <c r="W9"/>
  <c r="AC9"/>
  <c r="AB32"/>
  <c r="U32"/>
  <c r="AA10"/>
  <c r="S10"/>
  <c r="M17" i="67"/>
  <c r="F59"/>
  <c r="M17" i="15"/>
  <c r="F31"/>
  <c r="F59"/>
  <c r="F31" i="67"/>
  <c r="J15" i="15"/>
  <c r="M9"/>
  <c r="F43" i="67"/>
  <c r="C76" i="15"/>
  <c r="M23"/>
  <c r="F42"/>
  <c r="M23" i="67"/>
  <c r="M8" i="15"/>
  <c r="F16" i="67"/>
  <c r="J15"/>
  <c r="F8" i="15"/>
  <c r="M26" i="67"/>
  <c r="M26" i="15"/>
  <c r="C16"/>
  <c r="C16" i="77"/>
  <c r="F26" i="67"/>
  <c r="M22"/>
  <c r="F8"/>
  <c r="C76"/>
  <c r="M6"/>
  <c r="F37" i="15"/>
  <c r="L47"/>
  <c r="C16" i="78"/>
  <c r="F6" i="67"/>
  <c r="M29"/>
  <c r="F36" i="15"/>
  <c r="F64" l="1"/>
  <c r="Q71" i="67"/>
  <c r="F51"/>
  <c r="C49" s="1"/>
  <c r="C6"/>
  <c r="C10"/>
  <c r="C27"/>
  <c r="Q71" i="15"/>
  <c r="L58"/>
  <c r="Q73" s="1"/>
  <c r="N59"/>
  <c r="M59"/>
  <c r="F71" i="67"/>
  <c r="C6" i="15"/>
  <c r="C10"/>
  <c r="F51"/>
  <c r="C49" s="1"/>
  <c r="F65"/>
  <c r="C48" i="68"/>
  <c r="AR6" i="1"/>
  <c r="C49" i="77"/>
  <c r="C48" s="1"/>
  <c r="C60" s="1"/>
  <c r="S7" i="1"/>
  <c r="M20" i="6"/>
  <c r="I20" s="1"/>
  <c r="K25"/>
  <c r="M25" s="1"/>
  <c r="I25" s="1"/>
  <c r="S25" s="1"/>
  <c r="K22"/>
  <c r="M22" s="1"/>
  <c r="I22" s="1"/>
  <c r="S22" s="1"/>
  <c r="K21"/>
  <c r="M21" s="1"/>
  <c r="I21" s="1"/>
  <c r="S21" s="1"/>
  <c r="K24"/>
  <c r="M24" s="1"/>
  <c r="I24" s="1"/>
  <c r="S24" s="1"/>
  <c r="E66" i="39"/>
  <c r="Q61" i="77"/>
  <c r="G107" i="43"/>
  <c r="K102"/>
  <c r="K105"/>
  <c r="K107"/>
  <c r="G106"/>
  <c r="G109"/>
  <c r="G102"/>
  <c r="G104"/>
  <c r="G103"/>
  <c r="K103"/>
  <c r="K104"/>
  <c r="K109"/>
  <c r="F104"/>
  <c r="F107"/>
  <c r="F106"/>
  <c r="F105"/>
  <c r="F109"/>
  <c r="F102"/>
  <c r="F103"/>
  <c r="C104"/>
  <c r="C105"/>
  <c r="C102"/>
  <c r="S2" s="1"/>
  <c r="C107"/>
  <c r="C103"/>
  <c r="C109"/>
  <c r="C106"/>
  <c r="D113"/>
  <c r="J22" s="1"/>
  <c r="Q60" i="77"/>
  <c r="Q73"/>
  <c r="Q57"/>
  <c r="Q66"/>
  <c r="Q52"/>
  <c r="F1"/>
  <c r="M19" i="6"/>
  <c r="J5" i="78"/>
  <c r="J18" s="1"/>
  <c r="C5"/>
  <c r="C32" s="1"/>
  <c r="S12" i="1"/>
  <c r="S11"/>
  <c r="S10"/>
  <c r="S13"/>
  <c r="S9"/>
  <c r="Q66" i="78"/>
  <c r="Q57"/>
  <c r="F1"/>
  <c r="Q52"/>
  <c r="Q61"/>
  <c r="Q74"/>
  <c r="C49"/>
  <c r="C48" s="1"/>
  <c r="J26"/>
  <c r="Q60"/>
  <c r="Q73"/>
  <c r="C38"/>
  <c r="C5" i="77"/>
  <c r="J6"/>
  <c r="J10"/>
  <c r="O7" i="1"/>
  <c r="E7" i="70"/>
  <c r="C66" i="77"/>
  <c r="S11" i="21"/>
  <c r="AA11"/>
  <c r="W11"/>
  <c r="AC11"/>
  <c r="F24" i="77"/>
  <c r="F24" i="78"/>
  <c r="C30" i="69"/>
  <c r="S8" i="1"/>
  <c r="K16"/>
  <c r="E3" i="6"/>
  <c r="D14" i="12" s="1"/>
  <c r="D17" s="1"/>
  <c r="C17" s="1"/>
  <c r="K4" i="4"/>
  <c r="B46" i="48" s="1"/>
  <c r="B4" i="72" s="1"/>
  <c r="T7" i="1"/>
  <c r="L59" i="15"/>
  <c r="Q74" s="1"/>
  <c r="C30" i="11"/>
  <c r="E6" i="70"/>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D19" i="11"/>
  <c r="C19" s="1"/>
  <c r="C20" s="1"/>
  <c r="M18" i="9"/>
  <c r="B118" s="1"/>
  <c r="B14" i="74"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J10" i="67"/>
  <c r="C53"/>
  <c r="F10" i="40"/>
  <c r="AA10" s="1"/>
  <c r="I19" i="6"/>
  <c r="H10" i="39"/>
  <c r="J10"/>
  <c r="M16" i="1"/>
  <c r="N16" s="1"/>
  <c r="Q60" i="67"/>
  <c r="Q73"/>
  <c r="F27" i="11"/>
  <c r="Q61" i="67"/>
  <c r="Q74"/>
  <c r="F1"/>
  <c r="Q52"/>
  <c r="C17" i="78"/>
  <c r="C17" i="15"/>
  <c r="C14" i="77"/>
  <c r="C16" i="67"/>
  <c r="C17" i="77"/>
  <c r="Q60" i="15" l="1"/>
  <c r="C5" i="67"/>
  <c r="C32" s="1"/>
  <c r="C5" i="15"/>
  <c r="C32" s="1"/>
  <c r="B15" i="74"/>
  <c r="B1" s="1"/>
  <c r="L18" i="79"/>
  <c r="B16" i="74"/>
  <c r="K27" i="6"/>
  <c r="AR7" i="1"/>
  <c r="AQ7"/>
  <c r="M27" i="6"/>
  <c r="S20"/>
  <c r="D37" i="11"/>
  <c r="C33" i="33"/>
  <c r="J24" i="78"/>
  <c r="J5" i="77"/>
  <c r="J24" s="1"/>
  <c r="C66" i="78"/>
  <c r="C60"/>
  <c r="AR13" i="1"/>
  <c r="AQ13"/>
  <c r="T13"/>
  <c r="AQ11"/>
  <c r="T11"/>
  <c r="AR11"/>
  <c r="AR9"/>
  <c r="AQ9"/>
  <c r="T9"/>
  <c r="AQ10"/>
  <c r="T10"/>
  <c r="AR10"/>
  <c r="AR12"/>
  <c r="AQ12"/>
  <c r="T12"/>
  <c r="C18" i="77"/>
  <c r="C15"/>
  <c r="E8" i="70"/>
  <c r="D3" i="34"/>
  <c r="C33" i="21"/>
  <c r="C38" i="77"/>
  <c r="C32"/>
  <c r="C24"/>
  <c r="C24" i="78"/>
  <c r="T8" i="1"/>
  <c r="AQ8"/>
  <c r="AR8"/>
  <c r="D3" i="21"/>
  <c r="D3" i="37"/>
  <c r="L18" i="9"/>
  <c r="C17" i="4"/>
  <c r="B4" i="52" s="1"/>
  <c r="B43" i="72" s="1"/>
  <c r="E6" i="6"/>
  <c r="D10" i="11" s="1"/>
  <c r="C10" s="1"/>
  <c r="D3" i="33"/>
  <c r="Q61" i="15"/>
  <c r="E37" i="43"/>
  <c r="AA7" i="36"/>
  <c r="R36" s="1"/>
  <c r="E36" s="1"/>
  <c r="E40" s="1"/>
  <c r="F40" s="1"/>
  <c r="AC11" i="37"/>
  <c r="W11"/>
  <c r="AB7"/>
  <c r="T42" s="1"/>
  <c r="G42" s="1"/>
  <c r="G46" s="1"/>
  <c r="H46" s="1"/>
  <c r="W11" i="34"/>
  <c r="AC11"/>
  <c r="J5" i="67"/>
  <c r="J5" i="15"/>
  <c r="H20" i="6"/>
  <c r="AB7" i="36"/>
  <c r="T36" s="1"/>
  <c r="C23" i="68"/>
  <c r="E38" i="43"/>
  <c r="E6" i="3"/>
  <c r="C47" i="68"/>
  <c r="D45" s="1"/>
  <c r="AA10" i="39"/>
  <c r="D10" i="68"/>
  <c r="D19" i="6"/>
  <c r="D25"/>
  <c r="D26"/>
  <c r="D15"/>
  <c r="C18" i="4"/>
  <c r="D22" i="6"/>
  <c r="D8"/>
  <c r="D21"/>
  <c r="D23"/>
  <c r="D24"/>
  <c r="D14"/>
  <c r="D20"/>
  <c r="D5"/>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H19" i="6"/>
  <c r="S19"/>
  <c r="S27" s="1"/>
  <c r="I27"/>
  <c r="W10" i="39"/>
  <c r="AC10"/>
  <c r="U10"/>
  <c r="AB10"/>
  <c r="F50" i="11"/>
  <c r="F50" i="69"/>
  <c r="F50" i="68"/>
  <c r="C47" i="11"/>
  <c r="D45" s="1"/>
  <c r="C29"/>
  <c r="D27" s="1"/>
  <c r="C28"/>
  <c r="C27" s="1"/>
  <c r="L16" i="1"/>
  <c r="C14" i="78"/>
  <c r="C38" i="67" l="1"/>
  <c r="C38" i="15"/>
  <c r="M19" i="9"/>
  <c r="C118" s="1"/>
  <c r="C14" i="74" s="1"/>
  <c r="C15"/>
  <c r="L19" i="9"/>
  <c r="J33" i="33"/>
  <c r="F33"/>
  <c r="H33"/>
  <c r="C19" i="77"/>
  <c r="C20" s="1"/>
  <c r="C26" s="1"/>
  <c r="J26"/>
  <c r="J18"/>
  <c r="C15" i="78"/>
  <c r="C18"/>
  <c r="C19"/>
  <c r="J33" i="21"/>
  <c r="F33"/>
  <c r="H33"/>
  <c r="L19" i="79"/>
  <c r="M19"/>
  <c r="C118" s="1"/>
  <c r="R25" i="6"/>
  <c r="D6"/>
  <c r="R20"/>
  <c r="R7" i="1" s="1"/>
  <c r="D20" i="12"/>
  <c r="C20" s="1"/>
  <c r="C18" s="1"/>
  <c r="C34" i="11"/>
  <c r="C35" s="1"/>
  <c r="C36"/>
  <c r="J24" i="67"/>
  <c r="J18"/>
  <c r="J24" i="15"/>
  <c r="J18"/>
  <c r="G36" i="36"/>
  <c r="R37"/>
  <c r="AB7" i="34"/>
  <c r="T49" s="1"/>
  <c r="G49" s="1"/>
  <c r="G53" s="1"/>
  <c r="H53" s="1"/>
  <c r="W7" i="21"/>
  <c r="AA7"/>
  <c r="R26" i="6"/>
  <c r="R23"/>
  <c r="R24"/>
  <c r="R21"/>
  <c r="R22"/>
  <c r="D30"/>
  <c r="D16"/>
  <c r="A7" i="51"/>
  <c r="B7" i="72" s="1"/>
  <c r="C4" i="52"/>
  <c r="B45" i="72" s="1"/>
  <c r="A10" i="51"/>
  <c r="B9" i="72" s="1"/>
  <c r="D27" i="6"/>
  <c r="D19" i="68"/>
  <c r="C10"/>
  <c r="C12" i="12"/>
  <c r="C15"/>
  <c r="C34" i="68"/>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C14" i="12"/>
  <c r="C23"/>
  <c r="E6" i="76"/>
  <c r="C16" i="74" l="1"/>
  <c r="B2" s="1"/>
  <c r="AA33" i="33"/>
  <c r="S33"/>
  <c r="AB33"/>
  <c r="U33"/>
  <c r="AC33"/>
  <c r="W33"/>
  <c r="C23" i="77"/>
  <c r="C29" s="1"/>
  <c r="R8" i="1"/>
  <c r="R10"/>
  <c r="R12"/>
  <c r="R13"/>
  <c r="R11"/>
  <c r="R9"/>
  <c r="AB33" i="21"/>
  <c r="T48" s="1"/>
  <c r="G48" s="1"/>
  <c r="G52" s="1"/>
  <c r="H52" s="1"/>
  <c r="U33"/>
  <c r="W33"/>
  <c r="AC33"/>
  <c r="V48" s="1"/>
  <c r="I48" s="1"/>
  <c r="I52" s="1"/>
  <c r="J52" s="1"/>
  <c r="AA33"/>
  <c r="R48" s="1"/>
  <c r="S33"/>
  <c r="C20" i="78"/>
  <c r="C23" s="1"/>
  <c r="C38" i="11"/>
  <c r="C33" s="1"/>
  <c r="C42" s="1"/>
  <c r="D31" i="6"/>
  <c r="I6" s="1"/>
  <c r="E2" i="76"/>
  <c r="B2" i="43"/>
  <c r="G54" i="34"/>
  <c r="H54"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C49"/>
  <c r="C50"/>
  <c r="H63" i="40"/>
  <c r="G65"/>
  <c r="H70" i="39"/>
  <c r="F35" i="67"/>
  <c r="M21" i="15"/>
  <c r="B6" i="76"/>
  <c r="F35" i="15"/>
  <c r="M21" i="67"/>
  <c r="F35" i="78"/>
  <c r="F35" i="77"/>
  <c r="M21"/>
  <c r="M21" i="78"/>
  <c r="C13" i="77" l="1"/>
  <c r="C75" s="1"/>
  <c r="C36"/>
  <c r="Q49"/>
  <c r="J19"/>
  <c r="C57"/>
  <c r="J14"/>
  <c r="J59"/>
  <c r="J60" s="1"/>
  <c r="C33"/>
  <c r="G53" i="21"/>
  <c r="H53" s="1"/>
  <c r="E48"/>
  <c r="R49"/>
  <c r="C48" s="1"/>
  <c r="C26" i="78"/>
  <c r="C29" s="1"/>
  <c r="F63"/>
  <c r="C62" s="1"/>
  <c r="C34"/>
  <c r="J20"/>
  <c r="J20" i="77"/>
  <c r="F63"/>
  <c r="C62" s="1"/>
  <c r="C34"/>
  <c r="C31" s="1"/>
  <c r="I5" i="6"/>
  <c r="B2" i="76"/>
  <c r="B3" s="1"/>
  <c r="B3" i="43"/>
  <c r="F63" i="67"/>
  <c r="C62" s="1"/>
  <c r="C34"/>
  <c r="J20"/>
  <c r="C24" i="68"/>
  <c r="C20"/>
  <c r="C28" s="1"/>
  <c r="C27" s="1"/>
  <c r="J20" i="15"/>
  <c r="F63"/>
  <c r="C62" s="1"/>
  <c r="C34"/>
  <c r="R16" i="1"/>
  <c r="C22" i="12"/>
  <c r="C30" s="1"/>
  <c r="C28" s="1"/>
  <c r="C33" i="68"/>
  <c r="I63" i="40"/>
  <c r="H65"/>
  <c r="C39" i="11"/>
  <c r="C43" s="1"/>
  <c r="C41" s="1"/>
  <c r="I70" i="39"/>
  <c r="J17" i="77" l="1"/>
  <c r="C56"/>
  <c r="C65" s="1"/>
  <c r="C37"/>
  <c r="C30" s="1"/>
  <c r="C39" s="1"/>
  <c r="C80" s="1"/>
  <c r="C79" s="1"/>
  <c r="Q70"/>
  <c r="Q48"/>
  <c r="L46"/>
  <c r="C64"/>
  <c r="C61"/>
  <c r="C59" s="1"/>
  <c r="J22"/>
  <c r="J13"/>
  <c r="J23" s="1"/>
  <c r="C49" i="21"/>
  <c r="C57" i="78"/>
  <c r="J14"/>
  <c r="C36"/>
  <c r="C13"/>
  <c r="J59"/>
  <c r="J60" s="1"/>
  <c r="Q49"/>
  <c r="C33"/>
  <c r="C31" s="1"/>
  <c r="J19"/>
  <c r="J17" s="1"/>
  <c r="E52" i="21"/>
  <c r="F52" s="1"/>
  <c r="I53"/>
  <c r="J53" s="1"/>
  <c r="E53"/>
  <c r="F53" s="1"/>
  <c r="C25" i="68"/>
  <c r="C22" s="1"/>
  <c r="C31" s="1"/>
  <c r="C27" i="12"/>
  <c r="C25" s="1"/>
  <c r="C32" s="1"/>
  <c r="B2" s="1"/>
  <c r="B3" s="1"/>
  <c r="C39" i="68"/>
  <c r="C43" s="1"/>
  <c r="C42"/>
  <c r="J63" i="40"/>
  <c r="I65"/>
  <c r="C46" i="11"/>
  <c r="C45" s="1"/>
  <c r="C49" s="1"/>
  <c r="C51" s="1"/>
  <c r="C52" s="1"/>
  <c r="B2" s="1"/>
  <c r="B3" s="1"/>
  <c r="J70" i="39"/>
  <c r="L51" i="77"/>
  <c r="Q69" l="1"/>
  <c r="Q68" s="1"/>
  <c r="C58"/>
  <c r="C67" s="1"/>
  <c r="J16"/>
  <c r="J25" s="1"/>
  <c r="Q48" i="78"/>
  <c r="L46"/>
  <c r="C64"/>
  <c r="C61"/>
  <c r="C59" s="1"/>
  <c r="Q70"/>
  <c r="C75"/>
  <c r="C56"/>
  <c r="C65" s="1"/>
  <c r="C37"/>
  <c r="C30" s="1"/>
  <c r="C39" s="1"/>
  <c r="J22"/>
  <c r="J13"/>
  <c r="J23" s="1"/>
  <c r="Q67" i="77"/>
  <c r="C41" i="68"/>
  <c r="C46"/>
  <c r="C45" s="1"/>
  <c r="K63" i="40"/>
  <c r="J65"/>
  <c r="K70" i="39"/>
  <c r="C56" i="11"/>
  <c r="C57" s="1"/>
  <c r="L51" i="78"/>
  <c r="C58" l="1"/>
  <c r="C67" s="1"/>
  <c r="Q67"/>
  <c r="C80"/>
  <c r="C79" s="1"/>
  <c r="Q69"/>
  <c r="Q68" s="1"/>
  <c r="J16"/>
  <c r="J25" s="1"/>
  <c r="C49" i="68"/>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F41" i="78"/>
  <c r="AE6" i="1"/>
  <c r="AE8"/>
  <c r="F41" i="77"/>
  <c r="F69" i="78" l="1"/>
  <c r="C68" s="1"/>
  <c r="J29"/>
  <c r="C40"/>
  <c r="F69" i="77"/>
  <c r="C68" s="1"/>
  <c r="J29"/>
  <c r="C40"/>
  <c r="C66" i="15"/>
  <c r="C60"/>
  <c r="C59" s="1"/>
  <c r="AG6" i="1"/>
  <c r="C80" i="15"/>
  <c r="C79" s="1"/>
  <c r="C65"/>
  <c r="Q68"/>
  <c r="L57"/>
  <c r="L60" s="1"/>
  <c r="F41"/>
  <c r="M27" i="67"/>
  <c r="M27" i="15"/>
  <c r="L51"/>
  <c r="F41" i="67"/>
  <c r="Q67" i="15" l="1"/>
  <c r="Q47" i="78"/>
  <c r="Q53" s="1"/>
  <c r="B2"/>
  <c r="B3" s="1"/>
  <c r="Q65"/>
  <c r="Q75" s="1"/>
  <c r="Q56"/>
  <c r="Q62" s="1"/>
  <c r="C43"/>
  <c r="C83"/>
  <c r="C82" s="1"/>
  <c r="C71"/>
  <c r="C46"/>
  <c r="Q47" i="77"/>
  <c r="Q53" s="1"/>
  <c r="Q65"/>
  <c r="Q75" s="1"/>
  <c r="Q56"/>
  <c r="Q62" s="1"/>
  <c r="C43"/>
  <c r="B2"/>
  <c r="B3" s="1"/>
  <c r="C83"/>
  <c r="C82" s="1"/>
  <c r="C71"/>
  <c r="C46"/>
  <c r="J26" i="15"/>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B2" s="1"/>
  <c r="AO7" i="1"/>
  <c r="AO8"/>
  <c r="AO6"/>
  <c r="D19" i="79"/>
  <c r="E2" i="69"/>
  <c r="D21" i="79" l="1"/>
  <c r="D102"/>
  <c r="B3" i="15"/>
  <c r="B8" i="70"/>
  <c r="B7"/>
  <c r="B6"/>
  <c r="C46" i="15"/>
  <c r="B2" i="69"/>
  <c r="B3" s="1"/>
  <c r="B2" i="68"/>
  <c r="B3" i="67"/>
  <c r="D2" i="33"/>
  <c r="D20" i="79"/>
  <c r="D2" i="35"/>
  <c r="D2" i="21"/>
  <c r="E2" i="68"/>
  <c r="D2" i="36"/>
  <c r="D35" i="79"/>
  <c r="D2" i="37"/>
  <c r="D2" i="34"/>
  <c r="D34" i="79"/>
  <c r="F20" i="31"/>
  <c r="D103" i="79" l="1"/>
  <c r="B2" i="36"/>
  <c r="B3" s="1"/>
  <c r="B2" i="35"/>
  <c r="B3" s="1"/>
  <c r="B2" i="37"/>
  <c r="B3" s="1"/>
  <c r="B2" i="34"/>
  <c r="B3" s="1"/>
  <c r="B2" i="21"/>
  <c r="B2" i="70"/>
  <c r="B3" s="1"/>
  <c r="B3" i="68"/>
  <c r="D19" i="9"/>
  <c r="D20"/>
  <c r="B3" i="21" l="1"/>
  <c r="D102" i="9"/>
  <c r="D21"/>
  <c r="D103"/>
  <c r="D34"/>
  <c r="H109" l="1"/>
  <c r="H110" l="1"/>
  <c r="D18" i="53" s="1"/>
  <c r="B35" i="72" s="1"/>
  <c r="D124" i="9"/>
  <c r="D16" i="53"/>
  <c r="B34" i="72" s="1"/>
  <c r="D10" i="52" l="1"/>
  <c r="H14" i="74"/>
  <c r="D17" i="53"/>
  <c r="B36" i="72" s="1"/>
  <c r="D125" i="9"/>
  <c r="D11" i="52" s="1"/>
  <c r="C19" i="9"/>
  <c r="C20"/>
  <c r="G20" l="1"/>
  <c r="R24" i="31" s="1"/>
  <c r="C103" i="9"/>
  <c r="C21"/>
  <c r="C102"/>
  <c r="G19"/>
  <c r="D22"/>
  <c r="B7" i="74"/>
  <c r="D7" s="1"/>
  <c r="R178" i="31" l="1"/>
  <c r="S178" s="1"/>
  <c r="R180"/>
  <c r="S180" s="1"/>
  <c r="R182"/>
  <c r="S182" s="1"/>
  <c r="R184"/>
  <c r="S184" s="1"/>
  <c r="R179"/>
  <c r="S179" s="1"/>
  <c r="R181"/>
  <c r="S181" s="1"/>
  <c r="R183"/>
  <c r="S183" s="1"/>
  <c r="S24"/>
  <c r="R173"/>
  <c r="S173" s="1"/>
  <c r="R165"/>
  <c r="S165" s="1"/>
  <c r="R157"/>
  <c r="S157" s="1"/>
  <c r="R149"/>
  <c r="S149" s="1"/>
  <c r="R141"/>
  <c r="S141" s="1"/>
  <c r="R133"/>
  <c r="S133" s="1"/>
  <c r="R125"/>
  <c r="S125" s="1"/>
  <c r="R117"/>
  <c r="S117" s="1"/>
  <c r="R109"/>
  <c r="S109" s="1"/>
  <c r="R101"/>
  <c r="S101" s="1"/>
  <c r="R93"/>
  <c r="S93" s="1"/>
  <c r="R85"/>
  <c r="S85" s="1"/>
  <c r="R77"/>
  <c r="S77" s="1"/>
  <c r="R69"/>
  <c r="S69" s="1"/>
  <c r="R61"/>
  <c r="S61" s="1"/>
  <c r="R53"/>
  <c r="S53" s="1"/>
  <c r="R45"/>
  <c r="S45" s="1"/>
  <c r="R37"/>
  <c r="S37" s="1"/>
  <c r="R29"/>
  <c r="S29" s="1"/>
  <c r="R174"/>
  <c r="S174" s="1"/>
  <c r="R166"/>
  <c r="S166" s="1"/>
  <c r="R158"/>
  <c r="S158" s="1"/>
  <c r="R150"/>
  <c r="S150" s="1"/>
  <c r="R142"/>
  <c r="S142" s="1"/>
  <c r="R134"/>
  <c r="S134" s="1"/>
  <c r="R126"/>
  <c r="S126" s="1"/>
  <c r="R118"/>
  <c r="S118" s="1"/>
  <c r="R110"/>
  <c r="S110" s="1"/>
  <c r="R102"/>
  <c r="S102" s="1"/>
  <c r="R94"/>
  <c r="S94" s="1"/>
  <c r="R86"/>
  <c r="S86" s="1"/>
  <c r="R78"/>
  <c r="S78" s="1"/>
  <c r="R70"/>
  <c r="S70" s="1"/>
  <c r="R62"/>
  <c r="S62" s="1"/>
  <c r="R54"/>
  <c r="S54" s="1"/>
  <c r="R46"/>
  <c r="S46" s="1"/>
  <c r="R38"/>
  <c r="S38" s="1"/>
  <c r="R30"/>
  <c r="S30" s="1"/>
  <c r="R175"/>
  <c r="S175" s="1"/>
  <c r="R167"/>
  <c r="S167" s="1"/>
  <c r="R159"/>
  <c r="S159" s="1"/>
  <c r="R151"/>
  <c r="S151" s="1"/>
  <c r="R143"/>
  <c r="S143" s="1"/>
  <c r="R135"/>
  <c r="S135" s="1"/>
  <c r="R127"/>
  <c r="S127" s="1"/>
  <c r="R119"/>
  <c r="S119" s="1"/>
  <c r="R111"/>
  <c r="S111" s="1"/>
  <c r="R103"/>
  <c r="S103" s="1"/>
  <c r="R95"/>
  <c r="S95" s="1"/>
  <c r="R87"/>
  <c r="S87" s="1"/>
  <c r="R79"/>
  <c r="S79" s="1"/>
  <c r="R71"/>
  <c r="S71" s="1"/>
  <c r="R63"/>
  <c r="S63" s="1"/>
  <c r="R55"/>
  <c r="S55" s="1"/>
  <c r="R47"/>
  <c r="S47" s="1"/>
  <c r="R39"/>
  <c r="S39" s="1"/>
  <c r="R31"/>
  <c r="S31" s="1"/>
  <c r="R176"/>
  <c r="S176" s="1"/>
  <c r="R168"/>
  <c r="S168" s="1"/>
  <c r="R160"/>
  <c r="S160" s="1"/>
  <c r="R152"/>
  <c r="S152" s="1"/>
  <c r="R144"/>
  <c r="S144" s="1"/>
  <c r="R136"/>
  <c r="S136" s="1"/>
  <c r="R128"/>
  <c r="S128" s="1"/>
  <c r="R120"/>
  <c r="S120" s="1"/>
  <c r="R112"/>
  <c r="S112" s="1"/>
  <c r="R104"/>
  <c r="S104" s="1"/>
  <c r="R96"/>
  <c r="S96" s="1"/>
  <c r="R88"/>
  <c r="S88" s="1"/>
  <c r="R80"/>
  <c r="S80" s="1"/>
  <c r="R72"/>
  <c r="S72" s="1"/>
  <c r="R64"/>
  <c r="S64" s="1"/>
  <c r="R56"/>
  <c r="S56" s="1"/>
  <c r="R48"/>
  <c r="S48" s="1"/>
  <c r="R40"/>
  <c r="S40" s="1"/>
  <c r="R32"/>
  <c r="S32" s="1"/>
  <c r="R177"/>
  <c r="S177" s="1"/>
  <c r="R169"/>
  <c r="S169" s="1"/>
  <c r="R161"/>
  <c r="S161" s="1"/>
  <c r="R153"/>
  <c r="S153" s="1"/>
  <c r="R145"/>
  <c r="S145" s="1"/>
  <c r="R137"/>
  <c r="S137" s="1"/>
  <c r="R129"/>
  <c r="S129" s="1"/>
  <c r="R121"/>
  <c r="S121" s="1"/>
  <c r="R113"/>
  <c r="S113" s="1"/>
  <c r="R105"/>
  <c r="S105" s="1"/>
  <c r="R97"/>
  <c r="S97" s="1"/>
  <c r="R89"/>
  <c r="S89" s="1"/>
  <c r="R81"/>
  <c r="S81" s="1"/>
  <c r="R73"/>
  <c r="S73" s="1"/>
  <c r="R65"/>
  <c r="S65" s="1"/>
  <c r="R57"/>
  <c r="S57" s="1"/>
  <c r="R49"/>
  <c r="S49" s="1"/>
  <c r="R41"/>
  <c r="S41" s="1"/>
  <c r="R33"/>
  <c r="S33" s="1"/>
  <c r="R25"/>
  <c r="S25" s="1"/>
  <c r="R170"/>
  <c r="S170" s="1"/>
  <c r="R162"/>
  <c r="S162" s="1"/>
  <c r="R154"/>
  <c r="S154" s="1"/>
  <c r="R146"/>
  <c r="S146" s="1"/>
  <c r="R138"/>
  <c r="S138" s="1"/>
  <c r="R130"/>
  <c r="S130" s="1"/>
  <c r="R122"/>
  <c r="S122" s="1"/>
  <c r="R114"/>
  <c r="S114" s="1"/>
  <c r="R106"/>
  <c r="S106" s="1"/>
  <c r="R98"/>
  <c r="S98" s="1"/>
  <c r="R90"/>
  <c r="S90" s="1"/>
  <c r="R82"/>
  <c r="S82" s="1"/>
  <c r="R74"/>
  <c r="S74" s="1"/>
  <c r="R66"/>
  <c r="S66" s="1"/>
  <c r="R58"/>
  <c r="S58" s="1"/>
  <c r="R50"/>
  <c r="S50" s="1"/>
  <c r="R42"/>
  <c r="S42" s="1"/>
  <c r="R34"/>
  <c r="S34" s="1"/>
  <c r="R26"/>
  <c r="S26" s="1"/>
  <c r="R171"/>
  <c r="S171" s="1"/>
  <c r="R163"/>
  <c r="S163" s="1"/>
  <c r="R155"/>
  <c r="S155" s="1"/>
  <c r="R147"/>
  <c r="S147" s="1"/>
  <c r="R139"/>
  <c r="S139" s="1"/>
  <c r="R131"/>
  <c r="S131" s="1"/>
  <c r="R123"/>
  <c r="S123" s="1"/>
  <c r="R115"/>
  <c r="S115" s="1"/>
  <c r="R107"/>
  <c r="S107" s="1"/>
  <c r="R99"/>
  <c r="S99" s="1"/>
  <c r="R91"/>
  <c r="S91" s="1"/>
  <c r="R83"/>
  <c r="S83" s="1"/>
  <c r="R75"/>
  <c r="S75" s="1"/>
  <c r="R67"/>
  <c r="S67" s="1"/>
  <c r="R59"/>
  <c r="S59" s="1"/>
  <c r="R51"/>
  <c r="S51" s="1"/>
  <c r="R43"/>
  <c r="S43" s="1"/>
  <c r="R35"/>
  <c r="S35" s="1"/>
  <c r="R27"/>
  <c r="S27" s="1"/>
  <c r="R172"/>
  <c r="S172" s="1"/>
  <c r="R164"/>
  <c r="S164" s="1"/>
  <c r="R156"/>
  <c r="S156" s="1"/>
  <c r="R148"/>
  <c r="S148" s="1"/>
  <c r="R140"/>
  <c r="S140" s="1"/>
  <c r="R132"/>
  <c r="S132" s="1"/>
  <c r="R124"/>
  <c r="S124" s="1"/>
  <c r="R116"/>
  <c r="S116" s="1"/>
  <c r="R108"/>
  <c r="S108" s="1"/>
  <c r="R100"/>
  <c r="S100" s="1"/>
  <c r="R92"/>
  <c r="S92" s="1"/>
  <c r="R84"/>
  <c r="S84" s="1"/>
  <c r="R76"/>
  <c r="S76" s="1"/>
  <c r="R68"/>
  <c r="S68" s="1"/>
  <c r="R60"/>
  <c r="S60" s="1"/>
  <c r="R52"/>
  <c r="S52" s="1"/>
  <c r="R44"/>
  <c r="S44" s="1"/>
  <c r="R36"/>
  <c r="S36" s="1"/>
  <c r="R28"/>
  <c r="S28" s="1"/>
  <c r="G21" i="9"/>
  <c r="C32"/>
  <c r="C7" i="74"/>
  <c r="S22" i="31" l="1"/>
  <c r="J7" i="33"/>
  <c r="W7" s="1"/>
  <c r="F7"/>
  <c r="S7" s="1"/>
  <c r="H7"/>
  <c r="AB7" s="1"/>
  <c r="T48" s="1"/>
  <c r="G48" s="1"/>
  <c r="R22" i="31" l="1"/>
  <c r="B21" s="1"/>
  <c r="B20"/>
  <c r="G52" i="33"/>
  <c r="H52" s="1"/>
  <c r="AA7"/>
  <c r="R48" s="1"/>
  <c r="U7"/>
  <c r="AC7"/>
  <c r="V48" s="1"/>
  <c r="I48" s="1"/>
  <c r="I52" l="1"/>
  <c r="J52" s="1"/>
  <c r="R49"/>
  <c r="E48"/>
  <c r="G53"/>
  <c r="H53" s="1"/>
  <c r="E53" l="1"/>
  <c r="F53" s="1"/>
  <c r="E52"/>
  <c r="F52" s="1"/>
  <c r="I53"/>
  <c r="J53" s="1"/>
  <c r="C48"/>
  <c r="C49"/>
  <c r="B2" s="1"/>
  <c r="J7" i="39"/>
  <c r="AC7" s="1"/>
  <c r="V47" s="1"/>
  <c r="I47" s="1"/>
  <c r="F7"/>
  <c r="S7" s="1"/>
  <c r="H7"/>
  <c r="AB7" s="1"/>
  <c r="T47" s="1"/>
  <c r="G47" s="1"/>
  <c r="C19" i="79"/>
  <c r="C102" l="1"/>
  <c r="C21"/>
  <c r="D22"/>
  <c r="G19"/>
  <c r="D16" i="74" s="1"/>
  <c r="G16" s="1"/>
  <c r="B3" i="33"/>
  <c r="G52" i="39"/>
  <c r="H52" s="1"/>
  <c r="G51"/>
  <c r="H51" s="1"/>
  <c r="I51"/>
  <c r="J51" s="1"/>
  <c r="W7"/>
  <c r="U7"/>
  <c r="AA7"/>
  <c r="R47" s="1"/>
  <c r="C20" i="79"/>
  <c r="E16" i="74" l="1"/>
  <c r="F16"/>
  <c r="C103" i="79"/>
  <c r="G20"/>
  <c r="C32"/>
  <c r="G21"/>
  <c r="R48" i="39"/>
  <c r="E47"/>
  <c r="C35" i="79" l="1"/>
  <c r="F118" s="1"/>
  <c r="H118"/>
  <c r="C48" i="39"/>
  <c r="C47"/>
  <c r="E51"/>
  <c r="F51" s="1"/>
  <c r="E52"/>
  <c r="F52" s="1"/>
  <c r="I52"/>
  <c r="J52" s="1"/>
  <c r="C34" i="79" l="1"/>
  <c r="D118" s="1"/>
  <c r="D119" s="1"/>
  <c r="I118"/>
  <c r="H119"/>
  <c r="C104"/>
  <c r="H101"/>
  <c r="G118"/>
  <c r="F119"/>
  <c r="B61" i="39"/>
  <c r="F61" s="1"/>
  <c r="B60"/>
  <c r="F60" s="1"/>
  <c r="B56"/>
  <c r="F56" s="1"/>
  <c r="B58"/>
  <c r="F58" s="1"/>
  <c r="B59"/>
  <c r="F59" s="1"/>
  <c r="B64"/>
  <c r="F64" s="1"/>
  <c r="B65"/>
  <c r="F65" s="1"/>
  <c r="B57"/>
  <c r="F57" s="1"/>
  <c r="B63"/>
  <c r="F63" s="1"/>
  <c r="B62"/>
  <c r="F62" s="1"/>
  <c r="H107" i="79" l="1"/>
  <c r="D45"/>
  <c r="M48"/>
  <c r="E118"/>
  <c r="H102"/>
  <c r="C105"/>
  <c r="F66" i="39"/>
  <c r="B2" s="1"/>
  <c r="B3" s="1"/>
  <c r="D35" i="9"/>
  <c r="C78" i="79" l="1"/>
  <c r="C73" s="1"/>
  <c r="C72"/>
  <c r="D52"/>
  <c r="C85"/>
  <c r="C64"/>
  <c r="C63" s="1"/>
  <c r="C67" s="1"/>
  <c r="C68" s="1"/>
  <c r="D54" s="1"/>
  <c r="D53"/>
  <c r="C93"/>
  <c r="C86" s="1"/>
  <c r="D55"/>
  <c r="M53" s="1"/>
  <c r="D122"/>
  <c r="D123" s="1"/>
  <c r="M49"/>
  <c r="H108"/>
  <c r="C35" i="9"/>
  <c r="L68" i="79" l="1"/>
  <c r="M68" s="1"/>
  <c r="L66"/>
  <c r="M66" s="1"/>
  <c r="L64"/>
  <c r="M64" s="1"/>
  <c r="L67"/>
  <c r="M67" s="1"/>
  <c r="L65"/>
  <c r="M65" s="1"/>
  <c r="L63"/>
  <c r="M63" s="1"/>
  <c r="C95"/>
  <c r="C79"/>
  <c r="C34" i="9"/>
  <c r="M69" i="79" l="1"/>
  <c r="N69" s="1"/>
  <c r="C96"/>
  <c r="E96" s="1"/>
  <c r="E97" s="1"/>
  <c r="C80"/>
  <c r="E80" s="1"/>
  <c r="E81" s="1"/>
  <c r="H112" i="9"/>
  <c r="D21" i="53" s="1"/>
  <c r="B39" i="72" s="1"/>
  <c r="H111" i="9"/>
  <c r="D126" s="1"/>
  <c r="D59"/>
  <c r="M55" s="1"/>
  <c r="D19" i="53" l="1"/>
  <c r="B38" i="72" s="1"/>
  <c r="C81" i="79"/>
  <c r="C97"/>
  <c r="D58" s="1"/>
  <c r="D56" s="1"/>
  <c r="M54" s="1"/>
  <c r="N57" s="1"/>
  <c r="N58" s="1"/>
  <c r="D20" i="53"/>
  <c r="B40" i="72" s="1"/>
  <c r="I14" i="74"/>
  <c r="B8" s="1"/>
  <c r="D127" i="9"/>
  <c r="D13" i="52" s="1"/>
  <c r="D12"/>
  <c r="F118" i="9"/>
  <c r="G118" s="1"/>
  <c r="G4" i="52" s="1"/>
  <c r="B52" i="72" s="1"/>
  <c r="D118" i="9"/>
  <c r="D119" s="1"/>
  <c r="D5" i="52" s="1"/>
  <c r="B49" i="72" s="1"/>
  <c r="H118" i="9"/>
  <c r="C104" s="1"/>
  <c r="N59" i="79" l="1"/>
  <c r="N61" s="1"/>
  <c r="P57"/>
  <c r="D8" i="74"/>
  <c r="C8"/>
  <c r="H101" i="9"/>
  <c r="M48" s="1"/>
  <c r="I118"/>
  <c r="C105" s="1"/>
  <c r="H119"/>
  <c r="H5" i="52" s="1"/>
  <c r="F4"/>
  <c r="B51" i="72" s="1"/>
  <c r="F119" i="9"/>
  <c r="F5" i="52" s="1"/>
  <c r="B53" i="72" s="1"/>
  <c r="D14" i="74"/>
  <c r="D15" s="1"/>
  <c r="G15" s="1"/>
  <c r="H4" i="52"/>
  <c r="D4"/>
  <c r="B47" i="72" s="1"/>
  <c r="H107" i="9"/>
  <c r="M49" s="1"/>
  <c r="E15" i="74" l="1"/>
  <c r="F15"/>
  <c r="N60" i="79"/>
  <c r="L68" i="9"/>
  <c r="M68" s="1"/>
  <c r="L66"/>
  <c r="M66" s="1"/>
  <c r="L65"/>
  <c r="M65" s="1"/>
  <c r="L64"/>
  <c r="M64" s="1"/>
  <c r="L67"/>
  <c r="M67" s="1"/>
  <c r="L63"/>
  <c r="M63" s="1"/>
  <c r="D45"/>
  <c r="D53" s="1"/>
  <c r="I4" i="52"/>
  <c r="D5" i="53"/>
  <c r="B20" i="72" s="1"/>
  <c r="H102" i="9"/>
  <c r="D7" i="53" s="1"/>
  <c r="B21" i="72" s="1"/>
  <c r="E118" i="9"/>
  <c r="E4" i="52" s="1"/>
  <c r="B48" i="72" s="1"/>
  <c r="D122" i="9"/>
  <c r="H108"/>
  <c r="D15" i="53" s="1"/>
  <c r="B31" i="72" s="1"/>
  <c r="D13" i="53"/>
  <c r="E14" i="74"/>
  <c r="B5"/>
  <c r="F14"/>
  <c r="M69" i="9" l="1"/>
  <c r="N69" s="1"/>
  <c r="C93"/>
  <c r="C86" s="1"/>
  <c r="D52"/>
  <c r="C78"/>
  <c r="C73" s="1"/>
  <c r="C85"/>
  <c r="C72"/>
  <c r="D55"/>
  <c r="M53" s="1"/>
  <c r="C64"/>
  <c r="C63" s="1"/>
  <c r="D6" i="53"/>
  <c r="B22" i="72" s="1"/>
  <c r="D5" i="74"/>
  <c r="C5"/>
  <c r="D14" i="53"/>
  <c r="B32" i="72" s="1"/>
  <c r="B30"/>
  <c r="G14" i="74"/>
  <c r="B6" s="1"/>
  <c r="D123" i="9"/>
  <c r="D9" i="52" s="1"/>
  <c r="D8"/>
  <c r="C95" i="9" l="1"/>
  <c r="C67"/>
  <c r="C68" s="1"/>
  <c r="D54" s="1"/>
  <c r="C79"/>
  <c r="D6" i="74"/>
  <c r="C6"/>
  <c r="C96" i="9" l="1"/>
  <c r="E96" s="1"/>
  <c r="E97" s="1"/>
  <c r="C80"/>
  <c r="E80" s="1"/>
  <c r="E81" s="1"/>
  <c r="C81" l="1"/>
  <c r="C97"/>
  <c r="D58" s="1"/>
  <c r="D56" s="1"/>
  <c r="M54" s="1"/>
  <c r="N57" s="1"/>
  <c r="P57" l="1"/>
  <c r="N59"/>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<sst xmlns="http://schemas.openxmlformats.org/spreadsheetml/2006/main" count="9015" uniqueCount="3215">
  <si>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</si>
  <si>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</si>
  <si>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</si>
  <si>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</si>
  <si>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</si>
  <si>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</si>
  <si>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</si>
  <si>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</si>
  <si>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</si>
  <si>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</si>
  <si>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</si>
  <si>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</si>
  <si>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</si>
  <si>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</si>
  <si>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</si>
  <si>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</si>
  <si>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</si>
  <si>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</si>
  <si>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</si>
  <si>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</si>
  <si>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</si>
  <si>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</si>
  <si>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</si>
  <si>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</si>
  <si>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</si>
  <si>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</si>
  <si>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</si>
  <si>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</si>
  <si>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</si>
  <si>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</si>
  <si>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</si>
  <si>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</si>
  <si>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</si>
  <si>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</si>
  <si>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</si>
  <si>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</si>
  <si>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</si>
  <si>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</si>
  <si>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</si>
  <si>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</si>
  <si>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</si>
  <si>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</si>
  <si>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</si>
  <si>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</si>
  <si>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</si>
  <si>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</si>
  <si>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</si>
  <si>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</si>
  <si>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</si>
  <si>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</si>
  <si>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</si>
  <si>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</si>
  <si>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</si>
  <si>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</si>
  <si>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</si>
  <si>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</si>
  <si>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</si>
  <si>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</si>
  <si>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</si>
  <si>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</si>
  <si>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</si>
  <si>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</si>
  <si>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</si>
  <si>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</si>
  <si>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</si>
  <si>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</si>
  <si>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</si>
  <si>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</si>
  <si>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</si>
  <si>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</si>
  <si>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</si>
  <si>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</si>
  <si>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</si>
  <si>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</si>
  <si>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</si>
  <si>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</si>
  <si>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</si>
  <si>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</si>
  <si>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</si>
  <si>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</si>
  <si>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</si>
  <si>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</si>
  <si>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</si>
  <si>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</si>
  <si>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</si>
  <si>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</si>
  <si>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</si>
  <si>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</si>
  <si>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</si>
  <si>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</si>
  <si>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</si>
  <si>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</si>
  <si>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</si>
  <si>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</si>
  <si>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</si>
  <si>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</si>
  <si>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</si>
  <si>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</si>
  <si>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</si>
  <si>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</si>
  <si>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</si>
  <si>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</si>
  <si>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</si>
  <si>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</si>
  <si>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</si>
  <si>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</si>
  <si>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</si>
  <si>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</si>
  <si>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</si>
  <si>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</si>
  <si>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</si>
  <si>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</si>
  <si>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</si>
  <si>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</si>
  <si>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</si>
  <si>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</si>
  <si>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</si>
  <si>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</si>
  <si>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</si>
  <si>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</si>
  <si>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</si>
  <si>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</si>
  <si>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</si>
  <si>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</si>
  <si>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</si>
  <si>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</si>
  <si>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</si>
  <si>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</si>
  <si>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</si>
  <si>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</si>
  <si>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</si>
  <si>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</si>
  <si>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</si>
  <si>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</si>
  <si>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</si>
  <si>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</si>
  <si>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</si>
  <si>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</si>
  <si>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</si>
  <si>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</si>
  <si>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</si>
  <si>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</si>
  <si>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</si>
  <si>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</si>
  <si>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</si>
  <si>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</si>
  <si>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</si>
  <si>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</si>
  <si>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</si>
  <si>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</si>
  <si>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</si>
  <si>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</si>
  <si>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</si>
  <si>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</si>
  <si>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</si>
  <si>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</si>
  <si>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</si>
  <si>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</si>
  <si>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</si>
  <si>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</si>
  <si>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</si>
  <si>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</si>
  <si>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</si>
  <si>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</si>
  <si>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</si>
  <si>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</si>
  <si>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</si>
  <si>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</si>
  <si>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</si>
  <si>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</si>
  <si>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</si>
  <si>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</si>
  <si>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</si>
  <si>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</si>
  <si>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</si>
  <si>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</si>
  <si>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</si>
  <si>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</si>
  <si>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</si>
  <si>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</si>
  <si>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</si>
  <si>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</si>
  <si>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</si>
  <si>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</si>
  <si>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</si>
  <si>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</si>
  <si>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</si>
  <si>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</si>
  <si>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</si>
  <si>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</si>
  <si>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</si>
  <si>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</si>
  <si>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</si>
  <si>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</si>
  <si>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</si>
  <si>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</si>
  <si>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</si>
  <si>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</si>
  <si>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</si>
  <si>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</si>
  <si>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</si>
  <si>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</si>
  <si>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</si>
  <si>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</si>
  <si>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</si>
  <si>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</si>
  <si>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</si>
  <si>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</si>
  <si>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</si>
  <si>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</si>
  <si>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</si>
  <si>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</si>
  <si>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</si>
  <si>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</si>
  <si>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</si>
  <si>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</si>
  <si>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</si>
  <si>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</si>
  <si>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</si>
  <si>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</si>
  <si>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</si>
  <si>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</si>
  <si>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</si>
  <si>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</si>
  <si>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</si>
  <si>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</si>
  <si>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</si>
  <si>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</si>
  <si>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</si>
  <si>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</si>
  <si>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</si>
  <si>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</si>
  <si>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</si>
  <si>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</si>
  <si>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</si>
  <si>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</si>
  <si>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</si>
  <si>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</si>
  <si>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</si>
  <si>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</si>
  <si>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</si>
  <si>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</si>
  <si>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</si>
  <si>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</si>
  <si>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</si>
  <si>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</si>
  <si>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</si>
  <si>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</si>
  <si>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</si>
  <si>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</si>
  <si>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</si>
  <si>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</si>
  <si>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</si>
  <si>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</si>
  <si>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</si>
  <si>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</si>
  <si>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</si>
  <si>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</si>
  <si>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</si>
  <si>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</si>
  <si>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</si>
  <si>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</si>
  <si>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</si>
  <si>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</si>
  <si>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</si>
  <si>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</si>
  <si>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</si>
  <si>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</si>
  <si>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</si>
  <si>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</si>
  <si>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</si>
  <si>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</si>
  <si>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</si>
  <si>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</si>
  <si>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</si>
  <si>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</si>
  <si>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</si>
  <si>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</si>
  <si>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</si>
  <si>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</si>
  <si>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</si>
  <si>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</si>
  <si>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</si>
  <si>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</si>
  <si>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</si>
  <si>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</si>
  <si>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</si>
  <si>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</si>
  <si>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</si>
  <si>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</si>
  <si>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</si>
  <si>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</si>
  <si>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</si>
  <si>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</si>
  <si>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</si>
  <si>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</si>
  <si>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</si>
  <si>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</si>
  <si>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</si>
  <si>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</si>
  <si>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</si>
  <si>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</si>
  <si>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</si>
  <si>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</si>
  <si>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</si>
  <si>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</si>
  <si>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</si>
  <si>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</si>
  <si>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</si>
  <si>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</si>
  <si>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</si>
  <si>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</si>
  <si>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</si>
  <si>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</si>
  <si>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</si>
  <si>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</si>
  <si>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</si>
  <si>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</si>
  <si>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</si>
  <si>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</si>
  <si>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</si>
  <si>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</si>
  <si>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</si>
  <si>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</si>
  <si>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</si>
  <si>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</si>
  <si>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</si>
  <si>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</si>
  <si>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</si>
  <si>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</si>
  <si>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</si>
  <si>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</si>
  <si>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</si>
  <si>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</si>
  <si>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</si>
  <si>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</si>
  <si>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</si>
  <si>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</si>
  <si>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</si>
  <si>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</si>
  <si>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</si>
  <si>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</si>
  <si>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</si>
  <si>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</si>
  <si>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</si>
  <si>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</si>
  <si>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</si>
  <si>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</si>
  <si>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</si>
  <si>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</si>
  <si>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</si>
  <si>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</si>
  <si>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</si>
  <si>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</si>
  <si>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</si>
  <si>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</si>
  <si>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</si>
  <si>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</si>
  <si>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</si>
  <si>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</si>
  <si>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</si>
  <si>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</si>
  <si>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</si>
  <si>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</si>
  <si>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</si>
  <si>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</si>
  <si>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</si>
  <si>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</si>
  <si>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</si>
  <si>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</si>
  <si>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</si>
  <si>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</si>
  <si>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</si>
  <si>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</si>
  <si>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</si>
  <si>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</si>
  <si>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</si>
  <si>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</si>
  <si>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</si>
  <si>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</si>
  <si>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</si>
  <si>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</si>
  <si>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</si>
  <si>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</si>
  <si>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</si>
  <si>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</si>
  <si>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</si>
  <si>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</si>
  <si>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</si>
  <si>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</si>
  <si>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</si>
  <si>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</si>
  <si>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</si>
  <si>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</si>
  <si>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</si>
  <si>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</si>
  <si>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</si>
  <si>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</si>
  <si>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</si>
  <si>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</si>
  <si>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</si>
  <si>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</si>
  <si>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</si>
  <si>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</si>
  <si>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</si>
  <si>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</si>
  <si>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</si>
  <si>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</si>
  <si>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</si>
  <si>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</si>
  <si>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</si>
  <si>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</si>
  <si>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</si>
  <si>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</si>
  <si>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</si>
  <si>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</si>
  <si>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</si>
  <si>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</si>
  <si>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</si>
  <si>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</si>
  <si>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</si>
  <si>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</si>
  <si>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</si>
  <si>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</si>
  <si>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</si>
  <si>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</si>
  <si>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</si>
  <si>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</si>
  <si>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</si>
  <si>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</si>
  <si>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</si>
  <si>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</si>
  <si>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</si>
  <si>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</si>
  <si>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</si>
  <si>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</si>
  <si>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</si>
  <si>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</si>
  <si>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</si>
  <si>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</si>
  <si>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</si>
  <si>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</si>
  <si>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</si>
  <si>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</si>
  <si>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</si>
  <si>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</si>
  <si>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</si>
  <si>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</si>
  <si>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</si>
  <si>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</si>
  <si>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</si>
  <si>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</si>
  <si>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</si>
  <si>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</si>
  <si>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</si>
  <si>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</si>
  <si>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</si>
  <si>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</si>
  <si>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</si>
  <si>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</si>
  <si>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</si>
  <si>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</si>
  <si>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</si>
  <si>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</si>
  <si>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</si>
  <si>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</si>
  <si>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</si>
  <si>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</si>
  <si>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</si>
  <si>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</si>
  <si>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</si>
  <si>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</si>
  <si>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</si>
  <si>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</si>
  <si>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</si>
  <si>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</si>
  <si>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</si>
  <si>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</si>
  <si>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</si>
  <si>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</si>
  <si>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</si>
  <si>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</si>
  <si>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</si>
  <si>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</si>
  <si>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</si>
  <si>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</si>
  <si>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</si>
  <si>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</si>
  <si>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</si>
  <si>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</si>
  <si>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</si>
  <si>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</si>
  <si>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</si>
  <si>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</si>
  <si>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</si>
  <si>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</si>
  <si>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</si>
  <si>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</si>
  <si>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</si>
  <si>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</si>
  <si>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</si>
  <si>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</si>
  <si>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</si>
  <si>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</si>
  <si>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</si>
  <si>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</si>
  <si>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</si>
  <si>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</si>
  <si>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</si>
  <si>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</si>
  <si>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</si>
  <si>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</si>
  <si>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</si>
  <si>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</si>
  <si>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</si>
  <si>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</si>
  <si>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</si>
  <si>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</si>
  <si>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</si>
  <si>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</si>
  <si>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</si>
  <si>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</si>
  <si>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</si>
  <si>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</si>
  <si>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</si>
  <si>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</si>
  <si>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</si>
  <si>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</si>
  <si>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</si>
  <si>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</si>
  <si>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</si>
  <si>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</si>
  <si>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</si>
  <si>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</si>
  <si>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</si>
  <si>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</si>
  <si>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</si>
  <si>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</si>
  <si>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</si>
  <si>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</si>
  <si>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</si>
  <si>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</si>
  <si>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</si>
  <si>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</si>
  <si>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</si>
  <si>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</si>
  <si>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</si>
  <si>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</si>
  <si>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</si>
  <si>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</si>
  <si>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</si>
  <si>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</si>
  <si>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</si>
  <si>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</si>
  <si>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</si>
  <si>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</si>
  <si>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</si>
  <si>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</si>
  <si>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</si>
  <si>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</si>
  <si>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</si>
  <si>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</si>
  <si>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</si>
  <si>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</si>
  <si>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</si>
  <si>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</si>
  <si>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</si>
  <si>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</si>
  <si>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</si>
  <si>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</si>
  <si>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</si>
  <si>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</si>
  <si>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</si>
  <si>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</si>
  <si>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</si>
  <si>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</si>
  <si>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</si>
  <si>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</si>
  <si>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</si>
  <si>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</si>
  <si>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</si>
  <si>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</si>
  <si>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</si>
  <si>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</si>
  <si>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</si>
  <si>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</si>
  <si>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</si>
  <si>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</si>
  <si>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</si>
  <si>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</si>
  <si>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</si>
  <si>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</si>
  <si>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</si>
  <si>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</si>
  <si>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</si>
  <si>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</si>
  <si>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</si>
  <si>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</si>
  <si>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</si>
  <si>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</si>
  <si>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</si>
  <si>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</si>
  <si>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</si>
  <si>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</si>
  <si>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</si>
  <si>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</si>
  <si>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</si>
  <si>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</si>
  <si>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</si>
  <si>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</si>
  <si>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</si>
  <si>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</si>
  <si>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</si>
  <si>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</si>
  <si>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</si>
  <si>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</si>
  <si>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</si>
  <si>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</si>
  <si>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</si>
  <si>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</si>
  <si>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</si>
  <si>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</si>
  <si>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</si>
  <si>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</si>
  <si>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</si>
  <si>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</si>
  <si>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</si>
  <si>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</si>
  <si>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</si>
  <si>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</si>
  <si>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</si>
  <si>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</si>
  <si>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</si>
  <si>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</si>
  <si>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</si>
  <si>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</si>
  <si>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</si>
  <si>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</si>
  <si>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</si>
  <si>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</si>
  <si>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</si>
  <si>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</si>
  <si>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</si>
  <si>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</si>
  <si>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</si>
  <si>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</si>
  <si>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</si>
  <si>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</si>
  <si>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</si>
  <si>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</si>
  <si>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</si>
  <si>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</si>
  <si>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</si>
  <si>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</si>
  <si>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</si>
  <si>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</si>
  <si>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</si>
  <si>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</si>
  <si>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</si>
  <si>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</si>
  <si>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</si>
  <si>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</si>
  <si>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</si>
  <si>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</si>
  <si>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</si>
  <si>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</si>
  <si>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</si>
  <si>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</si>
  <si>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</si>
  <si>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</si>
  <si>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</si>
  <si>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</si>
  <si>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</si>
  <si>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</si>
  <si>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</si>
  <si>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</si>
  <si>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</si>
  <si>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</si>
  <si>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</si>
  <si>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</si>
  <si>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</si>
  <si>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</si>
  <si>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</si>
  <si>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</si>
  <si>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</si>
  <si>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</si>
  <si>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</si>
  <si>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</si>
  <si>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</si>
  <si>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</si>
  <si>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</si>
  <si>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</si>
  <si>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</si>
  <si>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</si>
  <si>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</si>
  <si>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</si>
  <si>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</si>
  <si>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</si>
  <si>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</si>
  <si>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</si>
  <si>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</si>
  <si>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</si>
  <si>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</si>
  <si>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</si>
  <si>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</si>
  <si>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</si>
  <si>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</si>
  <si>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</si>
  <si>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</si>
  <si>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</si>
  <si>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</si>
  <si>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</si>
  <si>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</si>
  <si>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</si>
  <si>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</si>
  <si>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</si>
  <si>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</si>
  <si>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</si>
  <si>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</si>
  <si>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</si>
  <si>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</si>
  <si>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</si>
  <si>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</si>
  <si>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</si>
  <si>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</si>
  <si>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</si>
  <si>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</si>
  <si>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</si>
  <si>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</si>
  <si>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</si>
  <si>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</si>
  <si>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</si>
  <si>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</si>
  <si>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</si>
  <si>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</si>
  <si>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</si>
  <si>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</si>
  <si>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</si>
  <si>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</si>
  <si>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</si>
  <si>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</si>
  <si>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</si>
  <si>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</si>
  <si>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</si>
  <si>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</si>
  <si>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</si>
  <si>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</si>
  <si>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</si>
  <si>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</si>
  <si>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</si>
  <si>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</si>
  <si>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</si>
  <si>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</si>
  <si>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</si>
  <si>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</si>
  <si>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</si>
  <si>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</si>
  <si>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</si>
  <si>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</si>
  <si>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</si>
  <si>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</si>
  <si>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</si>
  <si>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</si>
  <si>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</si>
  <si>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</si>
  <si>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</si>
  <si>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</si>
  <si>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</si>
  <si>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</si>
  <si>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</si>
  <si>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</si>
  <si>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</si>
  <si>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</si>
  <si>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</si>
  <si>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</si>
  <si>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</si>
  <si>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</si>
  <si>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</si>
  <si>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</si>
  <si>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</si>
  <si>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</si>
  <si>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</si>
  <si>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</si>
  <si>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</si>
  <si>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</si>
  <si>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</si>
  <si>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</si>
  <si>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</si>
  <si>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</si>
  <si>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</si>
  <si>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</si>
  <si>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</si>
  <si>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</si>
  <si>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</si>
  <si>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</si>
  <si>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</si>
  <si>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</si>
  <si>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</si>
  <si>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</si>
  <si>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</si>
  <si>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</si>
  <si>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</si>
  <si>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</si>
  <si>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</si>
  <si>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</si>
  <si>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</si>
  <si>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</si>
  <si>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</si>
  <si>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</si>
  <si>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</si>
  <si>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</si>
  <si>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</si>
  <si>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</si>
  <si>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</si>
  <si>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</si>
  <si>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</si>
  <si>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</si>
  <si>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</si>
  <si>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</si>
  <si>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</si>
  <si>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</si>
  <si>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</si>
  <si>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</si>
  <si>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</si>
  <si>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</si>
  <si>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</si>
  <si>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</si>
  <si>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</si>
  <si>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</si>
  <si>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</si>
  <si>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</si>
  <si>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</si>
  <si>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</si>
  <si>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</si>
  <si>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</si>
  <si>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</si>
  <si>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</si>
  <si>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</si>
  <si>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</si>
  <si>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</si>
  <si>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</si>
  <si>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</si>
  <si>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</si>
  <si>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</si>
  <si>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</si>
  <si>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</si>
  <si>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</si>
  <si>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</si>
  <si>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</si>
  <si>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</si>
  <si>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</si>
  <si>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</si>
  <si>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</si>
  <si>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</si>
  <si>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</si>
  <si>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</si>
  <si>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</si>
  <si>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</si>
  <si>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</si>
  <si>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</si>
  <si>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</si>
  <si>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</si>
  <si>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</si>
  <si>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</si>
  <si>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</si>
  <si>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</si>
  <si>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</si>
  <si>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</si>
  <si>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</si>
  <si>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</si>
  <si>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</si>
  <si>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</si>
  <si>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</si>
  <si>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</si>
  <si>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</si>
  <si>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</si>
  <si>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</si>
  <si>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</si>
  <si>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</si>
  <si>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</si>
  <si>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</si>
  <si>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</si>
  <si>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</si>
  <si>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</si>
  <si>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</si>
  <si>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</si>
  <si>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</si>
  <si>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</si>
  <si>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</si>
  <si>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</si>
  <si>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</si>
  <si>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</si>
  <si>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</si>
  <si>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</si>
  <si>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</si>
  <si>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</si>
  <si>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</si>
  <si>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</si>
  <si>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</si>
  <si>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</si>
  <si>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</si>
  <si>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</si>
  <si>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</si>
  <si>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</si>
  <si>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</si>
  <si>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</si>
  <si>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</si>
  <si>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</si>
  <si>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</si>
  <si>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</si>
  <si>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</si>
  <si>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</si>
  <si>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</si>
  <si>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</si>
  <si>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</si>
  <si>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</si>
  <si>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</si>
  <si>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</si>
  <si>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</si>
  <si>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</si>
  <si>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</si>
  <si>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</si>
  <si>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</si>
  <si>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</si>
  <si>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</si>
  <si>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</si>
  <si>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</si>
  <si>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</si>
  <si>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</si>
  <si>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</si>
  <si>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</si>
  <si>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</si>
  <si>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</si>
  <si>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</si>
  <si>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</si>
  <si>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</si>
  <si>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</si>
  <si>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</si>
  <si>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</si>
  <si>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</si>
  <si>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</si>
  <si>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</si>
  <si>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</si>
  <si>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</si>
  <si>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</si>
  <si>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</si>
  <si>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</si>
  <si>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</si>
  <si>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</si>
  <si>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</si>
  <si>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</si>
  <si>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</si>
  <si>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</si>
  <si>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</si>
  <si>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</si>
  <si>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</si>
  <si>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</si>
  <si>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</si>
  <si>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</si>
  <si>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</si>
  <si>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</si>
  <si>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</si>
  <si>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</si>
  <si>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</si>
  <si>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</si>
  <si>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</si>
  <si>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</si>
  <si>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</si>
  <si>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</si>
  <si>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</si>
  <si>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</si>
  <si>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</si>
  <si>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</si>
  <si>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</si>
  <si>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</si>
  <si>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</si>
  <si>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</si>
  <si>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</si>
  <si>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</si>
  <si>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</si>
  <si>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</si>
  <si>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</si>
  <si>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</si>
  <si>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</si>
  <si>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</si>
  <si>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</si>
  <si>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</si>
  <si>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</si>
  <si>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</si>
  <si>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</si>
  <si>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</si>
  <si>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</si>
  <si>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</si>
  <si>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</si>
  <si>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</si>
  <si>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</si>
  <si>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</si>
  <si>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</si>
  <si>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</si>
  <si>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</si>
  <si>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</si>
  <si>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</si>
  <si>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</si>
  <si>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</si>
  <si>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</si>
  <si>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</si>
  <si>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</si>
  <si>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</si>
  <si>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</si>
  <si>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</si>
  <si>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</si>
  <si>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</si>
  <si>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</si>
  <si>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</si>
  <si>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</si>
  <si>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</si>
  <si>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</si>
  <si>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</si>
  <si>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</si>
  <si>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</si>
  <si>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</si>
  <si>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</si>
  <si>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</si>
  <si>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</si>
  <si>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</si>
  <si>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</si>
  <si>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</si>
  <si>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</si>
  <si>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</si>
  <si>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</si>
  <si>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</si>
  <si>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</si>
  <si>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</si>
  <si>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</si>
  <si>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</si>
  <si>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</si>
  <si>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</si>
  <si>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</si>
  <si>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</si>
  <si>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</si>
  <si>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</si>
  <si>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</si>
  <si>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</si>
  <si>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</si>
  <si>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</si>
  <si>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</si>
  <si>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</si>
  <si>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</si>
  <si>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</si>
  <si>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</si>
  <si>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</si>
  <si>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</si>
  <si>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</si>
  <si>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</si>
  <si>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</si>
  <si>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</si>
  <si>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</si>
  <si>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</si>
  <si>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</si>
  <si>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</si>
  <si>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</si>
  <si>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</si>
  <si>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</si>
  <si>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</si>
  <si>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</si>
  <si>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</si>
  <si>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</si>
  <si>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</si>
  <si>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</si>
  <si>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</si>
  <si>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</si>
  <si>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</si>
  <si>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</si>
  <si>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</si>
  <si>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</si>
  <si>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</si>
  <si>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</si>
  <si>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</si>
  <si>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</si>
  <si>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</si>
  <si>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</si>
  <si>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</si>
  <si>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</si>
  <si>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</si>
  <si>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</si>
  <si>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</si>
  <si>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</si>
  <si>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</si>
  <si>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</si>
  <si>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</si>
  <si>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</si>
  <si>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</si>
  <si>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</si>
  <si>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</si>
  <si>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</si>
  <si>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</si>
  <si>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</si>
  <si>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</si>
  <si>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</si>
  <si>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</si>
  <si>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</si>
  <si>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</si>
  <si>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</si>
  <si>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</si>
  <si>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</si>
  <si>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</si>
  <si>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</si>
  <si>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</si>
  <si>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</si>
  <si>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</si>
  <si>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</si>
  <si>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</si>
  <si>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</si>
  <si>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</si>
  <si>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</si>
  <si>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</si>
  <si>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</si>
  <si>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</si>
  <si>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</si>
  <si>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</si>
  <si>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</si>
  <si>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</si>
  <si>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</si>
  <si>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</si>
  <si>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</si>
  <si>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</si>
  <si>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</si>
  <si>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</si>
  <si>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</si>
  <si>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</si>
  <si>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</si>
  <si>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</si>
  <si>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</si>
  <si>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</si>
  <si>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</si>
  <si>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</si>
  <si>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</si>
  <si>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</si>
  <si>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</si>
  <si>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</si>
  <si>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</si>
  <si>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</si>
  <si>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</si>
  <si>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</si>
  <si>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</si>
  <si>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</si>
  <si>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</si>
  <si>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</si>
  <si>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</si>
  <si>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</si>
  <si>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</si>
  <si>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</si>
  <si>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</si>
  <si>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</si>
  <si>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</si>
  <si>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</si>
  <si>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</si>
  <si>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</si>
  <si>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</si>
  <si>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</si>
  <si>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</si>
  <si>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</si>
  <si>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</si>
  <si>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</si>
  <si>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</si>
  <si>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</si>
  <si>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</si>
  <si>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</si>
  <si>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</si>
  <si>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</si>
  <si>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</si>
  <si>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</si>
  <si>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</si>
  <si>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</si>
  <si>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</si>
  <si>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</si>
  <si>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</si>
  <si>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</si>
  <si>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</si>
  <si>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</si>
  <si>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</si>
  <si>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</si>
  <si>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</si>
  <si>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</si>
  <si>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</si>
  <si>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</si>
  <si>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</si>
  <si>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</si>
  <si>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</si>
  <si>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</si>
  <si>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</si>
  <si>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</si>
  <si>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</si>
  <si>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</si>
  <si>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</si>
  <si>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</si>
  <si>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</si>
  <si>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</si>
  <si>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</si>
  <si>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</si>
  <si>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</si>
  <si>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</si>
  <si>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</si>
  <si>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</si>
  <si>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</si>
  <si>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</si>
  <si>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</si>
  <si>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</si>
  <si>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</si>
  <si>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</si>
  <si>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</si>
  <si>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</si>
  <si>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</si>
  <si>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</si>
  <si>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</si>
  <si>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</si>
  <si>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</si>
  <si>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</si>
  <si>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</si>
  <si>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</si>
  <si>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</si>
  <si>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</si>
  <si>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</si>
  <si>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</si>
  <si>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</si>
  <si>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</si>
  <si>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</si>
  <si>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</si>
  <si>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</si>
  <si>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</si>
  <si>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</si>
  <si>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</si>
  <si>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</si>
  <si>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</si>
  <si>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</si>
  <si>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</si>
  <si>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</si>
  <si>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</si>
  <si>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</si>
  <si>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</si>
  <si>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</si>
  <si>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</si>
  <si>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</si>
  <si>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</si>
  <si>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</si>
  <si>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</si>
  <si>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</si>
  <si>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</si>
  <si>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</si>
  <si>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</si>
  <si>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</si>
  <si>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</si>
  <si>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</si>
  <si>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</si>
  <si>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</si>
  <si>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</si>
  <si>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</si>
  <si>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</si>
  <si>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</si>
  <si>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</si>
  <si>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</si>
  <si>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</si>
  <si>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</si>
  <si>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</si>
  <si>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</si>
  <si>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</si>
  <si>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</si>
  <si>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</si>
  <si>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</si>
  <si>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</si>
  <si>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</si>
  <si>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</si>
  <si>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</si>
  <si>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</si>
  <si>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</si>
  <si>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</si>
  <si>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</si>
  <si>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</si>
  <si>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</si>
  <si>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</si>
  <si>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</si>
  <si>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</si>
  <si>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</si>
  <si>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</si>
  <si>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</si>
  <si>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</si>
  <si>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</si>
  <si>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</si>
  <si>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</si>
  <si>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</si>
  <si>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</si>
  <si>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</si>
  <si>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</si>
  <si>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</si>
  <si>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</si>
  <si>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</si>
  <si>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</si>
  <si>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</si>
  <si>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</si>
  <si>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</si>
  <si>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</si>
  <si>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</si>
  <si>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</si>
  <si>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</si>
  <si>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</si>
  <si>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</si>
  <si>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</si>
  <si>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</si>
  <si>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</si>
  <si>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</si>
  <si>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</si>
  <si>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</si>
  <si>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</si>
  <si>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</si>
  <si>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</si>
  <si>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</si>
  <si>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</si>
  <si>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</si>
  <si>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</si>
  <si>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</si>
  <si>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</si>
  <si>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</si>
  <si>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</si>
  <si>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</si>
  <si>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</si>
  <si>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</si>
  <si>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</si>
  <si>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</si>
  <si>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</si>
  <si>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</si>
  <si>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</si>
  <si>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</si>
  <si>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</si>
  <si>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</si>
  <si>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</si>
  <si>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</si>
  <si>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</si>
  <si>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</si>
  <si>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</si>
  <si>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</si>
  <si>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</si>
  <si>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</si>
  <si>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</si>
  <si>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</si>
  <si>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</si>
  <si>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</si>
  <si>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</si>
  <si>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</si>
  <si>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</si>
  <si>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</si>
  <si>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</si>
  <si>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</si>
  <si>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</si>
  <si>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</si>
  <si>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</si>
  <si>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</si>
  <si>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</si>
  <si>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</si>
  <si>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</si>
  <si>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</si>
  <si>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</si>
  <si>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</si>
  <si>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</si>
  <si>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</si>
  <si>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</si>
  <si>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</si>
  <si>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</si>
  <si>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</si>
  <si>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</si>
  <si>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</si>
  <si>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</si>
  <si>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</si>
  <si>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</si>
  <si>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</si>
  <si>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</si>
  <si>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</si>
  <si>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</si>
  <si>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</si>
  <si>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</si>
  <si>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</si>
  <si>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</si>
  <si>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</si>
  <si>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</si>
  <si>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</si>
  <si>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</si>
  <si>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</si>
  <si>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</si>
  <si>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</si>
  <si>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</si>
  <si>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</si>
  <si>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</si>
  <si>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</si>
  <si>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</si>
  <si>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</si>
  <si>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</si>
  <si>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</si>
  <si>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</si>
  <si>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</si>
  <si>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</si>
  <si>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</si>
  <si>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</si>
  <si>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</si>
  <si>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</si>
  <si>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</si>
  <si>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</si>
  <si>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</si>
  <si>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</si>
  <si>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</si>
  <si>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</si>
  <si>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</si>
  <si>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</si>
  <si>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</si>
  <si>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</si>
  <si>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</si>
  <si>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</si>
  <si>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</si>
  <si>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</si>
  <si>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</si>
  <si>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</si>
  <si>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</si>
  <si>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</si>
  <si>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</si>
  <si>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</si>
  <si>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</si>
  <si>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</si>
  <si>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</si>
  <si>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</si>
  <si>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</si>
  <si>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</si>
  <si>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</si>
  <si>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</si>
  <si>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</si>
  <si>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</si>
  <si>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</si>
  <si>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</si>
  <si>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</si>
  <si>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</si>
  <si>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</si>
  <si>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</si>
  <si>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</si>
  <si>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</si>
  <si>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</si>
  <si>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</si>
  <si>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</si>
  <si>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</si>
  <si>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</si>
  <si>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</si>
  <si>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</si>
  <si>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</si>
  <si>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</si>
  <si>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</si>
  <si>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</si>
  <si>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</si>
  <si>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</si>
  <si>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</si>
  <si>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</si>
  <si>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</si>
  <si>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</si>
  <si>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</si>
  <si>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</si>
  <si>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</si>
  <si>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</si>
  <si>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</si>
  <si>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</si>
  <si>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</si>
  <si>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</si>
  <si>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</si>
  <si>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</si>
  <si>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</si>
  <si>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</si>
  <si>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</si>
  <si>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</si>
  <si>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</si>
  <si>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</si>
  <si>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</si>
  <si>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</si>
  <si>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</si>
  <si>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</si>
  <si>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</si>
  <si>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</si>
  <si>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</si>
  <si>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</si>
  <si>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</si>
  <si>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</si>
  <si>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</si>
  <si>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</si>
  <si>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</si>
  <si>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</si>
  <si>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</si>
  <si>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</si>
  <si>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</si>
  <si>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</si>
  <si>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</si>
  <si>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</si>
  <si>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</si>
  <si>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</si>
  <si>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</si>
  <si>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</si>
  <si>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</si>
  <si>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</si>
  <si>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</si>
  <si>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</si>
  <si>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</si>
  <si>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</si>
  <si>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</si>
  <si>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</si>
  <si>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</si>
  <si>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</si>
  <si>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</si>
  <si>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</si>
  <si>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</si>
  <si>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</si>
  <si>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</si>
  <si>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</si>
  <si>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</si>
  <si>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</si>
  <si>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</si>
  <si>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</si>
  <si>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</si>
  <si>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</si>
  <si>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</si>
  <si>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</si>
  <si>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</si>
  <si>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</si>
  <si>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</si>
  <si>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</si>
  <si>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</si>
  <si>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</si>
  <si>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</si>
  <si>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</si>
  <si>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</si>
  <si>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</si>
  <si>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</si>
  <si>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</si>
  <si>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</si>
  <si>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</si>
  <si>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</si>
  <si>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</si>
  <si>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</si>
  <si>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</si>
  <si>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</si>
  <si>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</si>
  <si>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</si>
  <si>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</si>
  <si>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</si>
  <si>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</si>
  <si>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</si>
  <si>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</si>
  <si>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</si>
  <si>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</si>
  <si>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</si>
  <si>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</si>
  <si>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</si>
  <si>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</si>
  <si>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</si>
  <si>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</si>
  <si>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</si>
  <si>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</si>
  <si>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</si>
  <si>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</si>
  <si>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</si>
  <si>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</si>
  <si>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</si>
  <si>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</si>
  <si>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</si>
  <si>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</si>
  <si>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</si>
  <si>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</si>
  <si>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</si>
  <si>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</si>
  <si>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</si>
  <si>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</si>
  <si>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</si>
  <si>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</si>
  <si>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</si>
  <si>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</si>
  <si>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</si>
  <si>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</si>
  <si>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</si>
  <si>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</si>
  <si>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</si>
  <si>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</si>
  <si>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</si>
  <si>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</si>
  <si>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</si>
  <si>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</si>
  <si>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</si>
  <si>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</si>
  <si>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</si>
  <si>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</si>
  <si>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</si>
  <si>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</si>
  <si>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</si>
  <si>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</si>
  <si>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</si>
  <si>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</si>
  <si>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</si>
  <si>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</si>
  <si>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</si>
  <si>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</si>
  <si>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</si>
  <si>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</si>
  <si>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</si>
  <si>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</si>
  <si>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</si>
  <si>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</si>
  <si>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</si>
  <si>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</si>
  <si>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</si>
  <si>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</si>
  <si>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</si>
  <si>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</si>
  <si>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</si>
  <si>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</si>
  <si>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</si>
  <si>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</si>
  <si>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</si>
  <si>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</si>
  <si>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</si>
  <si>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</si>
  <si>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</si>
  <si>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</si>
  <si>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</si>
  <si>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</si>
  <si>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</si>
  <si>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</si>
  <si>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</si>
  <si>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</si>
  <si>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</si>
  <si>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</si>
  <si>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</si>
  <si>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</si>
  <si>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</si>
  <si>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</si>
  <si>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</si>
  <si>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</si>
  <si>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</si>
  <si>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</si>
  <si>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</si>
  <si>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</si>
  <si>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</si>
  <si>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</si>
  <si>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</si>
  <si>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</si>
  <si>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</si>
  <si>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</si>
  <si>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</si>
  <si>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</si>
  <si>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</si>
  <si>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</si>
  <si>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</si>
  <si>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</si>
  <si>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</si>
  <si>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</si>
  <si>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</si>
  <si>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</si>
  <si>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</si>
  <si>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</si>
  <si>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</si>
  <si>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</si>
  <si>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</si>
  <si>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</si>
  <si>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</si>
  <si>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</si>
  <si>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</si>
  <si>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</si>
  <si>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</si>
  <si>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</si>
  <si>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</si>
  <si>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</si>
  <si>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</si>
  <si>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</si>
  <si>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</si>
  <si>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</si>
  <si>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</si>
  <si>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</si>
  <si>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</si>
  <si>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</si>
  <si>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</si>
  <si>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</si>
  <si>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</si>
  <si>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</si>
  <si>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</si>
  <si>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</si>
  <si>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</si>
  <si>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</si>
  <si>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</si>
  <si>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</si>
  <si>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</si>
  <si>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</si>
  <si>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</si>
  <si>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</si>
  <si>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</si>
  <si>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</si>
  <si>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</si>
  <si>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</si>
  <si>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</si>
  <si>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</si>
  <si>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</si>
  <si>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</si>
  <si>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</si>
  <si>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</si>
  <si>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</si>
  <si>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</si>
  <si>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</si>
  <si>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</si>
  <si>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</si>
  <si>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</si>
  <si>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</si>
  <si>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</si>
  <si>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</si>
  <si>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</si>
  <si>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</si>
  <si>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</si>
  <si>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</si>
  <si>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</si>
  <si>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</si>
  <si>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</si>
  <si>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</si>
  <si>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</si>
  <si>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</si>
  <si>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</si>
  <si>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</si>
  <si>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</si>
  <si>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</si>
  <si>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</si>
  <si>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</si>
  <si>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</si>
  <si>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</si>
  <si>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</si>
  <si>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</si>
  <si>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</si>
  <si>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</si>
  <si>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</si>
  <si>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</si>
  <si>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</si>
  <si>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</si>
  <si>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</si>
  <si>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</si>
  <si>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</si>
  <si>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</si>
  <si>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</si>
  <si>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</si>
  <si>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</si>
  <si>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</si>
  <si>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</si>
  <si>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</si>
  <si>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</si>
  <si>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</si>
  <si>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</si>
  <si>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</si>
  <si>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</si>
  <si>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</si>
  <si>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</si>
  <si>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</si>
  <si>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</si>
  <si>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</si>
  <si>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</si>
  <si>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</si>
  <si>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</si>
  <si>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</si>
  <si>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</si>
  <si>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</si>
  <si>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</si>
  <si>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</si>
  <si>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</si>
  <si>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</si>
  <si>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</si>
  <si>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</si>
  <si>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</si>
  <si>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</si>
  <si>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</si>
  <si>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</si>
  <si>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</si>
  <si>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</si>
  <si>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</si>
  <si>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</si>
  <si>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</si>
  <si>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</si>
  <si>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</si>
  <si>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</si>
  <si>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</si>
  <si>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</si>
  <si>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</si>
  <si>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</si>
  <si>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</si>
  <si>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</si>
  <si>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</si>
  <si>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</si>
  <si>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</si>
  <si>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</si>
  <si>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</si>
  <si>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</si>
  <si>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</si>
  <si>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</si>
  <si>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</si>
  <si>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</si>
  <si>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</si>
  <si>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</si>
  <si>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</si>
  <si>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</si>
  <si>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</si>
  <si>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</si>
  <si>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</si>
  <si>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</si>
  <si>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</si>
  <si>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</si>
  <si>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</si>
  <si>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</si>
  <si>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</si>
  <si>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</si>
  <si>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</si>
  <si>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</si>
  <si>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</si>
  <si>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</si>
  <si>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</si>
  <si>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</si>
  <si>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</si>
  <si>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</si>
  <si>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</si>
  <si>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</si>
  <si>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</si>
  <si>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</si>
  <si>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</si>
  <si>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</si>
  <si>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</si>
  <si>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</si>
  <si>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</si>
  <si>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</si>
  <si>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</si>
  <si>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</si>
  <si>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</si>
  <si>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</si>
  <si>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</si>
  <si>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</si>
  <si>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</si>
  <si>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</si>
  <si>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</si>
  <si>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</si>
  <si>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</si>
  <si>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</si>
  <si>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</si>
  <si>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</si>
  <si>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</si>
  <si>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</si>
  <si>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</si>
  <si>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</si>
  <si>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</si>
  <si>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</si>
  <si>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</si>
  <si>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</si>
  <si>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</si>
  <si>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</si>
  <si>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</si>
  <si>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</si>
  <si>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</si>
  <si>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</si>
  <si>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</si>
  <si>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</si>
  <si>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</si>
  <si>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</si>
  <si>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</si>
  <si>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</si>
  <si>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</si>
  <si>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</si>
  <si>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</si>
  <si>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</si>
  <si>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</si>
  <si>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</si>
  <si>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</si>
  <si>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</si>
  <si>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</si>
  <si>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</si>
  <si>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</si>
  <si>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</si>
  <si>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</si>
  <si>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</si>
  <si>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</si>
  <si>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</si>
  <si>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</si>
  <si>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</si>
  <si>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</si>
  <si>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</si>
  <si>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</si>
  <si>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</si>
  <si>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</si>
  <si>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</si>
  <si>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</si>
  <si>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</si>
  <si>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</si>
  <si>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</si>
  <si>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</si>
  <si>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</si>
  <si>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</si>
  <si>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</si>
  <si>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</si>
  <si>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</si>
  <si>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</si>
  <si>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</si>
  <si>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</si>
  <si>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</si>
  <si>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</si>
  <si>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</si>
  <si>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</si>
  <si>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</si>
  <si>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</si>
  <si>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</si>
  <si>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</si>
  <si>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</si>
  <si>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</si>
  <si>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</si>
  <si>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</si>
  <si>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</si>
  <si>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</si>
  <si>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</si>
  <si>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</si>
  <si>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</si>
  <si>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</si>
  <si>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</si>
  <si>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</si>
  <si>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</si>
  <si>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</si>
  <si>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</si>
  <si>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</si>
  <si>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</si>
  <si>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</si>
  <si>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</si>
  <si>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</si>
  <si>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</si>
  <si>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</si>
  <si>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</si>
  <si>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</si>
  <si>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</si>
  <si>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</si>
  <si>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</si>
  <si>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</si>
  <si>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</si>
  <si>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</si>
  <si>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</si>
  <si>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</si>
  <si>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</si>
  <si>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</si>
  <si>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</si>
  <si>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</si>
  <si>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</si>
  <si>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</si>
  <si>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</si>
  <si>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</si>
  <si>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</si>
  <si>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</si>
  <si>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</si>
  <si>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</si>
  <si>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</si>
  <si>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</si>
  <si>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</si>
  <si>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</si>
  <si>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</si>
  <si>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</si>
  <si>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</si>
  <si>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</si>
  <si>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</si>
  <si>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</si>
  <si>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</si>
  <si>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</si>
  <si>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</si>
  <si>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</si>
  <si>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</si>
  <si>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</si>
  <si>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</si>
  <si>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</si>
  <si>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</si>
  <si>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</si>
  <si>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</si>
  <si>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</si>
  <si>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</si>
  <si>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</si>
  <si>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</si>
  <si>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</si>
  <si>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</si>
  <si>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</si>
  <si>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</si>
  <si>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</si>
  <si>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</si>
  <si>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</si>
  <si>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</si>
  <si>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</si>
  <si>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</si>
  <si>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</si>
  <si>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</si>
  <si>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</si>
  <si>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</si>
  <si>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</si>
  <si>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</si>
  <si>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</si>
  <si>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</si>
  <si>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</si>
  <si>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</si>
  <si>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</si>
  <si>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</si>
  <si>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</si>
  <si>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</si>
  <si>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</si>
  <si>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</si>
  <si>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</si>
  <si>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</si>
  <si>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</si>
  <si>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</si>
  <si>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</si>
  <si>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</si>
  <si>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</si>
  <si>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</si>
  <si>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</si>
  <si>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</si>
  <si>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</si>
  <si>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</si>
  <si>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</si>
  <si>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</si>
  <si>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</si>
  <si>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</si>
  <si>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</si>
  <si>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</si>
  <si>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</si>
  <si>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</si>
  <si>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</si>
  <si>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</si>
  <si>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</si>
  <si>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</si>
  <si>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</si>
  <si>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</si>
  <si>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</si>
  <si>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</si>
  <si>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</si>
  <si>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</si>
  <si>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</si>
  <si>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</si>
  <si>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</si>
  <si>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</si>
  <si>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</si>
  <si>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</si>
  <si>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</si>
  <si>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</si>
  <si>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</si>
  <si>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</si>
  <si>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</si>
  <si>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</si>
  <si>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</si>
  <si>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</si>
  <si>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</si>
  <si>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</si>
  <si>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</si>
  <si>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</si>
  <si>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</si>
  <si>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</si>
  <si>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</si>
  <si>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</si>
  <si>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</si>
  <si>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</si>
  <si>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</si>
  <si>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</si>
  <si>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</si>
  <si>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</si>
  <si>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</si>
  <si>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</si>
  <si>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</si>
  <si>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</si>
  <si>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</si>
  <si>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</si>
  <si>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</si>
  <si>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</si>
  <si>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</si>
  <si>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</si>
  <si>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</si>
  <si>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</si>
  <si>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</si>
  <si>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</si>
  <si>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</si>
  <si>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</si>
  <si>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</si>
  <si>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</si>
  <si>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</si>
  <si>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</si>
  <si>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</si>
  <si>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</si>
  <si>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</si>
  <si>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</si>
  <si>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</si>
  <si>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</si>
  <si>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</si>
  <si>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</si>
  <si>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</si>
  <si>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</si>
  <si>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</si>
  <si>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</si>
  <si>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</si>
  <si>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</si>
  <si>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</si>
  <si>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</si>
  <si>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</si>
  <si>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</si>
  <si>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</si>
  <si>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</si>
  <si>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</si>
  <si>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</si>
  <si>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</si>
  <si>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</si>
  <si>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</si>
  <si>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</si>
  <si>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</si>
  <si>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</si>
  <si>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</si>
  <si>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</si>
  <si>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</si>
  <si>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</si>
  <si>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</si>
  <si>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</si>
  <si>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</si>
  <si>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</si>
  <si>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</si>
  <si>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</si>
  <si>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</si>
  <si>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</si>
  <si>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</si>
  <si>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</si>
  <si>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</si>
  <si>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</si>
  <si>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</si>
  <si>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</si>
  <si>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</si>
  <si>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</si>
  <si>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</si>
  <si>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</si>
  <si>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</si>
  <si>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</si>
  <si>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</si>
  <si>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</si>
  <si>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</si>
  <si>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</si>
  <si>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</si>
  <si>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</si>
  <si>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</si>
  <si>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</si>
  <si>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</si>
  <si>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</si>
  <si>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</si>
  <si>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</si>
  <si>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</si>
  <si>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</si>
  <si>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</si>
  <si>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</si>
  <si>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</si>
  <si>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</si>
  <si>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</si>
  <si>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</si>
  <si>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</si>
  <si>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</si>
  <si>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</si>
  <si>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</si>
  <si>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</si>
  <si>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</si>
  <si>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</si>
  <si>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</si>
  <si>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</si>
  <si>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</si>
  <si>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</si>
  <si>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</si>
  <si>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</si>
  <si>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</si>
  <si>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</si>
  <si>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</si>
  <si>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</si>
  <si>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</si>
  <si>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</si>
  <si>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</si>
  <si>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</si>
  <si>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</si>
  <si>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</si>
  <si>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</si>
  <si>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</si>
  <si>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</si>
  <si>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</si>
  <si>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</si>
  <si>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</si>
  <si>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</si>
  <si>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</si>
  <si>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</si>
  <si>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</si>
  <si>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</si>
  <si>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</si>
  <si>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</si>
  <si>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</si>
  <si>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</si>
  <si>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</si>
  <si>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</si>
  <si>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</si>
  <si>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</si>
  <si>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</si>
  <si>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</si>
  <si>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</si>
  <si>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</si>
  <si>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</si>
  <si>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</si>
  <si>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</si>
  <si>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</si>
  <si>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</si>
  <si>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</si>
  <si>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</si>
  <si>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</si>
  <si>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</si>
  <si>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</si>
  <si>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</si>
  <si>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</si>
  <si>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</si>
  <si>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</si>
  <si>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</si>
  <si>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</si>
  <si>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</si>
  <si>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</si>
  <si>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</si>
  <si>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</si>
  <si>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</si>
  <si>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</si>
  <si>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</si>
  <si>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</si>
  <si>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</si>
  <si>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</si>
  <si>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</si>
  <si>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</si>
  <si>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</si>
  <si>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</si>
  <si>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</si>
  <si>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</si>
  <si>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</si>
  <si>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</si>
  <si>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</si>
  <si>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</si>
  <si>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</si>
  <si>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</si>
  <si>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</si>
  <si>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</si>
  <si>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</si>
  <si>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</si>
  <si>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</si>
  <si>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</si>
  <si>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</si>
  <si>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</si>
  <si>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</si>
  <si>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</si>
  <si>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</si>
  <si>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</si>
  <si>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</si>
  <si>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</si>
  <si>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</si>
  <si>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</si>
  <si>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</si>
  <si>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</si>
  <si>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</si>
  <si>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</si>
  <si>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</si>
  <si>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</si>
  <si>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</si>
  <si>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</si>
  <si>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</si>
  <si>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</si>
  <si>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</si>
  <si>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</si>
  <si>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</si>
  <si>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</si>
  <si>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</si>
  <si>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</si>
  <si>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</si>
  <si>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</si>
  <si>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</si>
  <si>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</si>
  <si>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</si>
  <si>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</si>
  <si>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</si>
  <si>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</si>
  <si>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</si>
  <si>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</si>
  <si>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</si>
  <si>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</si>
  <si>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</si>
  <si>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</si>
  <si>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</si>
  <si>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</si>
  <si>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</si>
  <si>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</si>
  <si>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</si>
  <si>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</si>
  <si>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</si>
  <si>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</si>
  <si>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</si>
  <si>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</si>
  <si>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</si>
  <si>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</si>
  <si>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</si>
  <si>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</si>
  <si>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</si>
  <si>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</si>
  <si>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</si>
  <si>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</si>
  <si>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</si>
  <si>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</si>
  <si>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</si>
  <si>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</si>
  <si>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</si>
  <si>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</si>
  <si>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</si>
  <si>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</si>
  <si>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</si>
  <si>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</si>
  <si>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</si>
  <si>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</si>
  <si>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</si>
  <si>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</si>
  <si>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</si>
  <si>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</si>
  <si>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</si>
  <si>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</si>
  <si>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</si>
  <si>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</si>
  <si>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</si>
  <si>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</si>
  <si>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</si>
  <si>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</si>
  <si>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</si>
  <si>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</si>
  <si>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</si>
  <si>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</si>
  <si>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</si>
  <si>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</si>
  <si>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</si>
  <si>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</si>
  <si>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</si>
  <si>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</si>
  <si>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</si>
  <si>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</si>
  <si>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</si>
  <si>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</si>
  <si>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</si>
  <si>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</si>
  <si>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</si>
  <si>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</si>
  <si>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</si>
  <si>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</si>
  <si>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</si>
  <si>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</si>
  <si>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</si>
  <si>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</si>
  <si>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</si>
  <si>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</si>
  <si>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</si>
  <si>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</si>
  <si>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</si>
  <si>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</si>
  <si>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</si>
  <si>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</si>
  <si>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</si>
  <si>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</si>
  <si>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</si>
  <si>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</si>
  <si>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</si>
  <si>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</si>
  <si>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</si>
  <si>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</si>
  <si>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</si>
  <si>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</si>
  <si>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</si>
  <si>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</si>
  <si>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</si>
  <si>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</si>
  <si>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</si>
  <si>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</si>
  <si>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</si>
  <si>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</si>
  <si>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</si>
  <si>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</si>
  <si>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</si>
  <si>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</si>
  <si>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</si>
  <si>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</si>
  <si>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</si>
  <si>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</si>
  <si>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</si>
  <si>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</si>
  <si>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</si>
  <si>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</si>
  <si>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</si>
  <si>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</si>
  <si>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</si>
  <si>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</si>
  <si>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</si>
  <si>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</si>
  <si>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</si>
  <si>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</si>
  <si>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</si>
  <si>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</si>
  <si>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</si>
  <si>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</si>
  <si>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</si>
  <si>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</si>
  <si>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</si>
  <si>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</si>
  <si>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</si>
  <si>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</si>
  <si>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</si>
  <si>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</si>
  <si>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</si>
  <si>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</si>
  <si>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</si>
  <si>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</si>
  <si>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</si>
  <si>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</si>
  <si>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</si>
  <si>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</si>
  <si>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</si>
  <si>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</si>
  <si>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</si>
  <si>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</si>
  <si>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</si>
  <si>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</si>
  <si>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</si>
  <si>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</si>
  <si>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</si>
  <si>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</si>
  <si>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</si>
  <si>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</si>
  <si>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</si>
  <si>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</si>
  <si>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</si>
  <si>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</si>
  <si>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</si>
  <si>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</si>
  <si>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</si>
  <si>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</si>
  <si>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</si>
  <si>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</si>
  <si>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</si>
  <si>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</si>
  <si>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</si>
  <si>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</si>
  <si>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</si>
  <si>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</si>
  <si>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</si>
  <si>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</si>
  <si>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</si>
  <si>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</si>
  <si>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</si>
  <si>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</si>
  <si>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</si>
  <si>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</si>
  <si>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</si>
  <si>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</si>
  <si>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</si>
  <si>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</si>
  <si>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</si>
  <si>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</si>
  <si>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</si>
  <si>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</si>
  <si>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</si>
  <si>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</si>
  <si>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</si>
  <si>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</si>
  <si>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</si>
  <si>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</si>
  <si>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</si>
  <si>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</si>
  <si>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</si>
  <si>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</si>
  <si>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</si>
  <si>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</si>
  <si>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</si>
  <si>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</si>
  <si>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</si>
  <si>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</si>
  <si>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</si>
  <si>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</si>
  <si>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</si>
  <si>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</si>
  <si>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</si>
  <si>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</si>
  <si>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</si>
  <si>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</si>
  <si>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</si>
  <si>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</si>
  <si>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</si>
  <si>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</si>
  <si>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</si>
  <si>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</si>
  <si>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</si>
  <si>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</si>
  <si>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</si>
  <si>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</si>
  <si>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</si>
  <si>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</si>
  <si>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</si>
  <si>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</si>
  <si>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</si>
  <si>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</si>
  <si>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</si>
  <si>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</si>
  <si>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</si>
  <si>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</si>
  <si>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</si>
  <si>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</si>
  <si>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</si>
  <si>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</si>
  <si>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</si>
  <si>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</si>
  <si>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</si>
  <si>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</si>
  <si>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</si>
  <si>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</si>
  <si>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</si>
  <si>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</si>
  <si>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</si>
  <si>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</si>
  <si>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</si>
  <si>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</si>
  <si>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</si>
  <si>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</si>
  <si>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</si>
  <si>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</si>
  <si>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</si>
  <si>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</si>
  <si>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</si>
  <si>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</si>
  <si>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</si>
  <si>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</si>
  <si>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</si>
  <si>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</si>
  <si>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</si>
  <si>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</si>
  <si>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</si>
  <si>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</si>
  <si>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</si>
  <si>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</si>
  <si>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</si>
  <si>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</si>
  <si>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</si>
  <si>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</si>
  <si>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</si>
  <si>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</si>
  <si>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</si>
  <si>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</si>
  <si>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</si>
  <si>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</si>
  <si>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</si>
  <si>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</si>
  <si>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</si>
  <si>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</si>
  <si>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</si>
  <si>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</si>
  <si>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</si>
  <si>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</si>
  <si>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</si>
  <si>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</si>
  <si>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</si>
  <si>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</si>
  <si>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</si>
  <si>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</si>
  <si>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</si>
  <si>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</si>
  <si>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</si>
  <si>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</si>
  <si>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</si>
  <si>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</si>
  <si>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</si>
  <si>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</si>
  <si>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</si>
  <si>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</si>
  <si>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</si>
  <si>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</si>
  <si>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</si>
  <si>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</si>
  <si>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</si>
  <si>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</si>
  <si>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</si>
  <si>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</si>
  <si>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</si>
  <si>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</si>
  <si>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</si>
  <si>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</si>
  <si>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</si>
  <si>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</si>
  <si>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</si>
  <si>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</si>
  <si>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</si>
  <si>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</si>
  <si>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</si>
  <si>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</si>
  <si>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</si>
  <si>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</si>
  <si>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</si>
  <si>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</si>
  <si>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</si>
  <si>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</si>
  <si>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</si>
  <si>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</si>
  <si>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</si>
  <si>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</si>
  <si>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</si>
  <si>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</si>
  <si>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</si>
  <si>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</si>
  <si>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</si>
  <si>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</si>
  <si>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</si>
  <si>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</si>
  <si>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</si>
  <si>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</si>
  <si>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</si>
  <si>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</si>
  <si>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</si>
  <si>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</si>
  <si>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</si>
  <si>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</si>
  <si>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</si>
  <si>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</si>
  <si>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</si>
  <si>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</si>
  <si>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</si>
  <si>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</si>
  <si>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</si>
  <si>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</si>
  <si>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</si>
  <si>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</si>
  <si>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</si>
  <si>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</si>
  <si>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</si>
  <si>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</si>
  <si>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</si>
  <si>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</si>
  <si>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</si>
  <si>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</si>
  <si>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</si>
  <si>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</si>
  <si>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</si>
  <si>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</si>
  <si>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</si>
  <si>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</si>
  <si>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</si>
  <si>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</si>
  <si>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</si>
  <si>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</si>
  <si>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</si>
  <si>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</si>
  <si>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</si>
  <si>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</si>
  <si>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</si>
  <si>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</si>
  <si>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</si>
  <si>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</si>
  <si>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</si>
  <si>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</si>
  <si>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</si>
  <si>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</si>
  <si>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</si>
  <si>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</si>
  <si>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</si>
  <si>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</si>
  <si>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</si>
  <si>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</si>
  <si>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</si>
  <si>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</si>
  <si>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</si>
  <si>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</si>
  <si>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</si>
  <si>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</si>
  <si>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</si>
  <si>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</si>
  <si>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</si>
  <si>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</si>
  <si>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</si>
  <si>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</si>
  <si>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</si>
  <si>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</si>
  <si>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</si>
  <si>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</si>
  <si>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</si>
  <si>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</si>
  <si>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</si>
  <si>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</si>
  <si>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</si>
  <si>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</si>
  <si>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</si>
  <si>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</si>
  <si>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</si>
  <si>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</si>
  <si>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</si>
  <si>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</si>
  <si>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</si>
  <si>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</si>
  <si>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</si>
  <si>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</si>
  <si>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</si>
  <si>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</si>
  <si>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</si>
  <si>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</si>
  <si>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</si>
  <si>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</si>
  <si>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</si>
  <si>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</si>
  <si>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</si>
  <si>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</si>
  <si>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</si>
  <si>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</si>
  <si>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</si>
  <si>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</si>
  <si>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</si>
  <si>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</si>
  <si>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</si>
  <si>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</si>
  <si>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</si>
  <si>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</si>
  <si>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</si>
  <si>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</si>
  <si>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</si>
  <si>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</si>
  <si>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</si>
  <si>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</si>
  <si>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</si>
  <si>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</si>
  <si>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</si>
  <si>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</si>
  <si>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</si>
  <si>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</si>
  <si>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</si>
  <si>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</si>
  <si>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</si>
  <si>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</si>
  <si>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</si>
  <si>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</si>
  <si>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</si>
  <si>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</si>
  <si>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</si>
  <si>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</si>
  <si>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</si>
  <si>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</si>
  <si>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</si>
  <si>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</si>
  <si>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</si>
  <si>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</si>
  <si>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</si>
  <si>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</si>
  <si>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</si>
  <si>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</si>
  <si>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</si>
  <si>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</si>
  <si>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</si>
  <si>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</si>
  <si>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</si>
  <si>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</si>
  <si>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</si>
  <si>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</si>
  <si>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</si>
  <si>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</si>
  <si>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</si>
  <si>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</si>
  <si>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</si>
  <si>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</si>
  <si>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</si>
  <si>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</si>
  <si>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</si>
  <si>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</si>
  <si>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</si>
  <si>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</si>
  <si>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</si>
  <si>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</si>
  <si>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</si>
  <si>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</si>
  <si>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</si>
  <si>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</si>
  <si>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</si>
  <si>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</si>
  <si>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</si>
  <si>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</si>
  <si>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</si>
  <si>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</si>
  <si>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</si>
  <si>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</si>
  <si>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</si>
  <si>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</si>
  <si>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</si>
  <si>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</si>
  <si>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</si>
  <si>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</si>
  <si>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</si>
  <si>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</si>
  <si>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</si>
  <si>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</si>
  <si>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</si>
  <si>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</si>
  <si>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</si>
  <si>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</si>
  <si>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</si>
  <si>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</si>
  <si>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</si>
  <si>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</si>
  <si>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</si>
  <si>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</si>
  <si>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</si>
  <si>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</si>
  <si>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</si>
  <si>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</si>
  <si>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</si>
  <si>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</si>
  <si>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</si>
  <si>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</si>
  <si>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</si>
  <si>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</si>
  <si>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</si>
  <si>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</si>
  <si>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</si>
  <si>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</si>
  <si>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</si>
  <si>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</si>
  <si>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</si>
  <si>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</si>
  <si>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</si>
  <si>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</si>
  <si>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</si>
  <si>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</si>
  <si>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</si>
  <si>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</si>
  <si>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</si>
  <si>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</si>
  <si>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</si>
  <si>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</si>
  <si>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</si>
  <si>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</si>
  <si>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</si>
  <si>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</si>
  <si>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</si>
  <si>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</si>
  <si>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</si>
  <si>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</si>
  <si>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</si>
  <si>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</si>
  <si>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</si>
  <si>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</si>
  <si>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</si>
  <si>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</si>
  <si>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</si>
  <si>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</si>
  <si>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</si>
  <si>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</si>
  <si>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</si>
  <si>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</si>
  <si>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</si>
  <si>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</si>
  <si>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</si>
  <si>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</si>
  <si>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</si>
  <si>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</si>
  <si>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</si>
  <si>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</si>
  <si>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</si>
  <si>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</si>
  <si>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</si>
  <si>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</si>
  <si>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</si>
  <si>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</si>
  <si>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</si>
  <si>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</si>
  <si>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</si>
  <si>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</si>
  <si>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</si>
  <si>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</si>
  <si>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</si>
  <si>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</si>
  <si>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</si>
  <si>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</si>
  <si>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</si>
  <si>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</si>
  <si>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</si>
  <si>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</si>
  <si>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</si>
  <si>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</si>
  <si>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</si>
  <si>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</si>
  <si>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</si>
  <si>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</si>
  <si>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</si>
  <si>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</si>
  <si>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</si>
  <si>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</si>
  <si>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</si>
  <si>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</si>
  <si>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</si>
  <si>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</si>
  <si>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</si>
  <si>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</si>
  <si>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</si>
  <si>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</si>
  <si>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</si>
  <si>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</si>
  <si>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</si>
  <si>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</si>
  <si>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</si>
  <si>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</si>
  <si>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</si>
  <si>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</si>
  <si>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</si>
  <si>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</si>
  <si>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</si>
  <si>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</si>
  <si>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</si>
  <si>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</si>
  <si>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</si>
  <si>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</si>
  <si>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</si>
  <si>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</si>
  <si>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</si>
  <si>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</si>
  <si>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</si>
  <si>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</si>
  <si>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</si>
  <si>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</si>
  <si>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</si>
  <si>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</si>
  <si>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</si>
  <si>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</si>
  <si>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</si>
  <si>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</si>
  <si>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</si>
  <si>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</si>
  <si>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</si>
  <si>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</si>
  <si>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</si>
  <si>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</si>
  <si>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</si>
  <si>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</si>
  <si>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</si>
  <si>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</si>
  <si>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</si>
  <si>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</si>
  <si>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</si>
  <si>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</si>
  <si>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</si>
  <si>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</si>
  <si>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</si>
  <si>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</si>
  <si>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</si>
  <si>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</si>
  <si>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</si>
  <si>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</si>
  <si>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</si>
  <si>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</si>
  <si>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</si>
  <si>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</si>
  <si>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</si>
  <si>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</si>
  <si>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</si>
  <si>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</si>
  <si>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</si>
  <si>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</si>
  <si>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</si>
  <si>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</si>
  <si>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</si>
  <si>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</si>
  <si>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</si>
  <si>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</si>
  <si>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</si>
  <si>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</si>
  <si>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</si>
  <si>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</si>
  <si>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</si>
  <si>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</si>
  <si>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</si>
  <si>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</si>
  <si>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</si>
  <si>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</si>
  <si>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</si>
  <si>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</si>
  <si>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</si>
  <si>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</si>
  <si>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</si>
  <si>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</si>
  <si>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</si>
  <si>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</si>
  <si>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</si>
  <si>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</si>
  <si>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</si>
  <si>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</si>
  <si>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</si>
  <si>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</si>
  <si>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</si>
  <si>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</si>
  <si>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</si>
  <si>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</si>
  <si>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</si>
  <si>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</si>
  <si>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</si>
  <si>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</si>
  <si>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</si>
  <si>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</si>
  <si>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</si>
  <si>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</si>
  <si>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</si>
  <si>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</si>
  <si>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</si>
  <si>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</si>
  <si>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</si>
  <si>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</si>
  <si>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</si>
  <si>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</si>
  <si>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</si>
  <si>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</si>
  <si>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</si>
  <si>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</si>
  <si>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</si>
  <si>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</si>
  <si>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</si>
  <si>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</si>
  <si>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</si>
  <si>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</si>
  <si>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</si>
  <si>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</si>
  <si>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</si>
  <si>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</si>
  <si>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</si>
  <si>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</si>
  <si>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</si>
  <si>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</si>
  <si>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</si>
  <si>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</si>
  <si>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</si>
  <si>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</si>
  <si>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</si>
  <si>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</si>
  <si>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</si>
  <si>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</si>
  <si>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</si>
  <si>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</si>
  <si>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</si>
  <si>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</si>
  <si>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王鹏</t>
  </si>
  <si>
    <t>郑燚</t>
  </si>
  <si>
    <t>抵押</t>
  </si>
  <si>
    <t>房地产抵押价值</t>
  </si>
  <si>
    <t>其他：</t>
  </si>
  <si>
    <t>天津市</t>
    <phoneticPr fontId="6" type="noConversion"/>
  </si>
  <si>
    <t>企业</t>
  </si>
  <si>
    <t>出让</t>
  </si>
  <si>
    <t>否</t>
  </si>
  <si>
    <t>现房</t>
  </si>
  <si>
    <t>无</t>
  </si>
  <si>
    <t>通路</t>
  </si>
  <si>
    <t>通电</t>
  </si>
  <si>
    <t>通讯</t>
  </si>
  <si>
    <t>通上水</t>
  </si>
  <si>
    <t>通下水</t>
  </si>
  <si>
    <t>通热</t>
  </si>
  <si>
    <t>燃气</t>
  </si>
  <si>
    <t>是</t>
  </si>
  <si>
    <t>地上</t>
  </si>
  <si>
    <t>公寓</t>
  </si>
  <si>
    <t>底商</t>
  </si>
  <si>
    <t>成新度</t>
  </si>
  <si>
    <t>押一</t>
  </si>
  <si>
    <t>钢混</t>
  </si>
  <si>
    <t>非生产用房</t>
  </si>
  <si>
    <t>收益法-公寓</t>
  </si>
  <si>
    <t>收益法-公寓</t>
    <phoneticPr fontId="16" type="noConversion"/>
  </si>
  <si>
    <t>收益法-车库</t>
    <phoneticPr fontId="16" type="noConversion"/>
  </si>
  <si>
    <t>收益法-商业</t>
  </si>
  <si>
    <t>收益法-商业</t>
    <phoneticPr fontId="16" type="noConversion"/>
  </si>
  <si>
    <t>公寓</t>
    <phoneticPr fontId="25" type="noConversion"/>
  </si>
  <si>
    <t>30-40（含）</t>
  </si>
  <si>
    <t>一般</t>
  </si>
  <si>
    <t>较好</t>
  </si>
  <si>
    <t>七通</t>
  </si>
  <si>
    <t>高层塔楼</t>
    <phoneticPr fontId="3" type="noConversion"/>
  </si>
  <si>
    <t>小高层</t>
    <phoneticPr fontId="3" type="noConversion"/>
  </si>
  <si>
    <t>砖混</t>
    <phoneticPr fontId="25" type="noConversion"/>
  </si>
  <si>
    <t>高档</t>
  </si>
  <si>
    <t>高档</t>
    <phoneticPr fontId="25" type="noConversion"/>
  </si>
  <si>
    <t>专业</t>
    <phoneticPr fontId="3" type="noConversion"/>
  </si>
  <si>
    <t>七通</t>
    <phoneticPr fontId="3" type="noConversion"/>
  </si>
  <si>
    <t>六通</t>
    <phoneticPr fontId="3" type="noConversion"/>
  </si>
  <si>
    <t>精装修</t>
    <phoneticPr fontId="3" type="noConversion"/>
  </si>
  <si>
    <t>普通装修</t>
    <phoneticPr fontId="3" type="noConversion"/>
  </si>
  <si>
    <t>简单装修</t>
    <phoneticPr fontId="3" type="noConversion"/>
  </si>
  <si>
    <t>毛坯</t>
    <phoneticPr fontId="3" type="noConversion"/>
  </si>
  <si>
    <t>正常</t>
  </si>
  <si>
    <t>高层塔楼</t>
  </si>
  <si>
    <t>精装修</t>
  </si>
  <si>
    <t>专业</t>
  </si>
  <si>
    <t>六通</t>
  </si>
  <si>
    <t>毛坯</t>
  </si>
  <si>
    <t>平层</t>
    <phoneticPr fontId="25" type="noConversion"/>
  </si>
  <si>
    <t>LOFT</t>
    <phoneticPr fontId="25" type="noConversion"/>
  </si>
  <si>
    <t>融创中心</t>
    <phoneticPr fontId="3" type="noConversion"/>
  </si>
  <si>
    <t>北大资源·阅城</t>
    <phoneticPr fontId="3" type="noConversion"/>
  </si>
  <si>
    <t>项目局部</t>
  </si>
  <si>
    <t>收益比率</t>
  </si>
  <si>
    <t>比较法-公寓</t>
  </si>
  <si>
    <t>比较法-公寓</t>
    <phoneticPr fontId="16" type="noConversion"/>
  </si>
  <si>
    <t>比较法-商业</t>
  </si>
  <si>
    <t>商业跃层</t>
    <phoneticPr fontId="143" type="noConversion"/>
  </si>
  <si>
    <t>商业</t>
    <phoneticPr fontId="143" type="noConversion"/>
  </si>
  <si>
    <t>公寓</t>
    <phoneticPr fontId="143" type="noConversion"/>
  </si>
  <si>
    <r>
      <t>1</t>
    </r>
    <r>
      <rPr>
        <sz val="11"/>
        <color theme="1"/>
        <rFont val="宋体"/>
        <family val="3"/>
        <charset val="134"/>
        <scheme val="minor"/>
      </rPr>
      <t>~2</t>
    </r>
    <phoneticPr fontId="143" type="noConversion"/>
  </si>
  <si>
    <r>
      <t>w</t>
    </r>
    <r>
      <rPr>
        <sz val="11"/>
        <color theme="1"/>
        <rFont val="宋体"/>
        <family val="3"/>
        <charset val="134"/>
        <scheme val="minor"/>
      </rPr>
      <t>t1</t>
    </r>
    <phoneticPr fontId="143" type="noConversion"/>
  </si>
  <si>
    <r>
      <t>w</t>
    </r>
    <r>
      <rPr>
        <sz val="11"/>
        <color theme="1"/>
        <rFont val="宋体"/>
        <family val="3"/>
        <charset val="134"/>
        <scheme val="minor"/>
      </rPr>
      <t>t2</t>
    </r>
    <phoneticPr fontId="143" type="noConversion"/>
  </si>
  <si>
    <r>
      <t>w</t>
    </r>
    <r>
      <rPr>
        <sz val="11"/>
        <color theme="1"/>
        <rFont val="宋体"/>
        <family val="3"/>
        <charset val="134"/>
        <scheme val="minor"/>
      </rPr>
      <t>t3</t>
    </r>
    <phoneticPr fontId="143" type="noConversion"/>
  </si>
  <si>
    <t>物业管理用房</t>
    <phoneticPr fontId="143" type="noConversion"/>
  </si>
  <si>
    <t>配电站</t>
    <phoneticPr fontId="143" type="noConversion"/>
  </si>
  <si>
    <t>1层商业</t>
    <phoneticPr fontId="143" type="noConversion"/>
  </si>
  <si>
    <r>
      <t>1</t>
    </r>
    <r>
      <rPr>
        <sz val="11"/>
        <color theme="1"/>
        <rFont val="宋体"/>
        <family val="3"/>
        <charset val="134"/>
        <scheme val="minor"/>
      </rPr>
      <t>-2层商业</t>
    </r>
    <phoneticPr fontId="143" type="noConversion"/>
  </si>
  <si>
    <t>物业管理用房</t>
    <phoneticPr fontId="143" type="noConversion"/>
  </si>
  <si>
    <t>其他</t>
    <phoneticPr fontId="143" type="noConversion"/>
  </si>
  <si>
    <t>人防</t>
    <phoneticPr fontId="143" type="noConversion"/>
  </si>
  <si>
    <t>40-65</t>
    <phoneticPr fontId="25" type="noConversion"/>
  </si>
  <si>
    <t>52-77</t>
    <phoneticPr fontId="25" type="noConversion"/>
  </si>
  <si>
    <t>典型户型修正-公寓</t>
    <phoneticPr fontId="16" type="noConversion"/>
  </si>
  <si>
    <t>典型户型修正-商业</t>
    <phoneticPr fontId="16" type="noConversion"/>
  </si>
  <si>
    <t>建筑面积</t>
  </si>
  <si>
    <t>分摊土地面积</t>
  </si>
  <si>
    <t>南开区红旗路与楚雄道交口西北侧</t>
    <phoneticPr fontId="6" type="noConversion"/>
  </si>
  <si>
    <t>其他商服用地</t>
    <phoneticPr fontId="6" type="noConversion"/>
  </si>
  <si>
    <r>
      <rPr>
        <sz val="12"/>
        <color theme="9" tint="-0.249977111117893"/>
        <rFont val="宋体"/>
        <family val="3"/>
        <charset val="134"/>
      </rPr>
      <t>办公</t>
    </r>
    <r>
      <rPr>
        <sz val="12"/>
        <color theme="9" tint="-0.249977111117893"/>
        <rFont val="Arial"/>
        <family val="2"/>
      </rPr>
      <t>41.28</t>
    </r>
    <r>
      <rPr>
        <sz val="12"/>
        <color theme="9" tint="-0.249977111117893"/>
        <rFont val="宋体"/>
        <family val="3"/>
        <charset val="134"/>
      </rPr>
      <t>年</t>
    </r>
    <phoneticPr fontId="6" type="noConversion"/>
  </si>
  <si>
    <r>
      <rPr>
        <sz val="12"/>
        <color theme="9" tint="-0.249977111117893"/>
        <rFont val="宋体"/>
        <family val="3"/>
        <charset val="134"/>
      </rPr>
      <t>《测绘报告》</t>
    </r>
    <r>
      <rPr>
        <sz val="12"/>
        <color theme="9" tint="-0.249977111117893"/>
        <rFont val="Arial"/>
        <family val="2"/>
      </rPr>
      <t>[]</t>
    </r>
    <phoneticPr fontId="6" type="noConversion"/>
  </si>
  <si>
    <t>《国有土地使用权》</t>
  </si>
  <si>
    <t>复印件</t>
  </si>
  <si>
    <t>北大资源·阅城</t>
    <phoneticPr fontId="3" type="noConversion"/>
  </si>
  <si>
    <t>河西区</t>
    <phoneticPr fontId="31" type="noConversion"/>
  </si>
  <si>
    <t>40-50（含）</t>
  </si>
  <si>
    <t>南开区</t>
    <phoneticPr fontId="25" type="noConversion"/>
  </si>
  <si>
    <t>河西区</t>
    <phoneticPr fontId="25" type="noConversion"/>
  </si>
  <si>
    <t>商业</t>
    <phoneticPr fontId="31" type="noConversion"/>
  </si>
  <si>
    <t>售价</t>
  </si>
  <si>
    <t>天拖红坊</t>
    <phoneticPr fontId="3" type="noConversion"/>
  </si>
  <si>
    <t>南开区</t>
    <phoneticPr fontId="31" type="noConversion"/>
  </si>
  <si>
    <t>海河大观中环广场</t>
    <phoneticPr fontId="3"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</si>
  <si>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</si>
  <si>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</si>
  <si>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</si>
  <si>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</si>
  <si>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</si>
  <si>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</si>
  <si>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</si>
  <si>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</si>
  <si>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</si>
  <si>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</si>
  <si>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</si>
  <si>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</si>
  <si>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底商</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</si>
  <si>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</si>
  <si>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</si>
  <si>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</si>
  <si>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</si>
  <si>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</si>
  <si>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</si>
  <si>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</si>
  <si>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</si>
  <si>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</si>
  <si>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</si>
  <si>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</si>
  <si>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</si>
  <si>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</si>
  <si>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</si>
  <si>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</si>
  <si>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比例适宜</t>
    <phoneticPr fontId="31" type="noConversion"/>
  </si>
  <si>
    <t>比例较适宜</t>
  </si>
  <si>
    <t>比例较适宜</t>
    <phoneticPr fontId="31" type="noConversion"/>
  </si>
  <si>
    <t>比例较不适宜</t>
    <phoneticPr fontId="31" type="noConversion"/>
  </si>
  <si>
    <t>比例不适宜</t>
    <phoneticPr fontId="31" type="noConversion"/>
  </si>
  <si>
    <t>中海学府公馆</t>
    <phoneticPr fontId="3" type="noConversion"/>
  </si>
  <si>
    <t>50-80</t>
    <phoneticPr fontId="25" type="noConversion"/>
  </si>
  <si>
    <t>天津丽津嘉业房地产有限公司</t>
    <phoneticPr fontId="6" type="noConversion"/>
  </si>
  <si>
    <t>昆仑信托有限责任公司</t>
    <phoneticPr fontId="6" type="noConversion"/>
  </si>
  <si>
    <t>天津市王顶堤工贸集团有限公司</t>
    <phoneticPr fontId="6"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</si>
  <si>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房地证津字第</t>
    </r>
    <r>
      <rPr>
        <sz val="12"/>
        <color theme="9" tint="-0.249977111117893"/>
        <rFont val="Arial"/>
        <family val="2"/>
      </rPr>
      <t>104051500052</t>
    </r>
    <r>
      <rPr>
        <sz val="12"/>
        <color theme="9" tint="-0.249977111117893"/>
        <rFont val="宋体"/>
        <family val="3"/>
        <charset val="134"/>
      </rPr>
      <t>号</t>
    </r>
    <r>
      <rPr>
        <sz val="12"/>
        <color theme="9" tint="-0.249977111117893"/>
        <rFont val="Arial"/>
        <family val="2"/>
      </rPr>
      <t>]</t>
    </r>
    <phoneticPr fontId="6" type="noConversion"/>
  </si>
  <si>
    <t>商业项目</t>
  </si>
  <si>
    <t>建筑物价值</t>
  </si>
  <si>
    <t>序号</t>
    <phoneticPr fontId="143" type="noConversion"/>
  </si>
  <si>
    <t>楼号</t>
    <phoneticPr fontId="143" type="noConversion"/>
  </si>
  <si>
    <t>户号</t>
    <phoneticPr fontId="143" type="noConversion"/>
  </si>
  <si>
    <t>建筑面积</t>
    <phoneticPr fontId="143" type="noConversion"/>
  </si>
  <si>
    <t>用途</t>
    <phoneticPr fontId="143" type="noConversion"/>
  </si>
  <si>
    <t>配电站</t>
    <phoneticPr fontId="143" type="noConversion"/>
  </si>
  <si>
    <t>——</t>
    <phoneticPr fontId="143" type="noConversion"/>
  </si>
  <si>
    <t>所在楼层</t>
    <phoneticPr fontId="143" type="noConversion"/>
  </si>
  <si>
    <t>工具间</t>
    <phoneticPr fontId="143" type="noConversion"/>
  </si>
  <si>
    <t>地下室 跃层</t>
    <phoneticPr fontId="143" type="noConversion"/>
  </si>
  <si>
    <t>地下室</t>
    <phoneticPr fontId="143" type="noConversion"/>
  </si>
  <si>
    <t>人防</t>
    <phoneticPr fontId="143" type="noConversion"/>
  </si>
  <si>
    <t>——</t>
    <phoneticPr fontId="143" type="noConversion"/>
  </si>
  <si>
    <t>公寓建筑面积总计</t>
    <phoneticPr fontId="143" type="noConversion"/>
  </si>
  <si>
    <t>商业建筑面积总计</t>
    <phoneticPr fontId="143" type="noConversion"/>
  </si>
  <si>
    <t>设备及其他用房建筑面积合计</t>
    <phoneticPr fontId="143" type="noConversion"/>
  </si>
  <si>
    <t>建筑面积总计（不含人防）</t>
    <phoneticPr fontId="143" type="noConversion"/>
  </si>
  <si>
    <t>wt1</t>
    <phoneticPr fontId="143" type="noConversion"/>
  </si>
  <si>
    <t>wt2</t>
    <phoneticPr fontId="143" type="noConversion"/>
  </si>
  <si>
    <t>wt3</t>
    <phoneticPr fontId="143" type="noConversion"/>
  </si>
  <si>
    <t>1~2</t>
    <phoneticPr fontId="143" type="noConversion"/>
  </si>
  <si>
    <t>1号楼</t>
    <phoneticPr fontId="3" type="noConversion"/>
  </si>
  <si>
    <t>底商</t>
    <phoneticPr fontId="7" type="noConversion"/>
  </si>
  <si>
    <t>公寓</t>
    <phoneticPr fontId="7" type="noConversion"/>
  </si>
  <si>
    <t>303号公寓</t>
  </si>
  <si>
    <t>303号公寓</t>
    <phoneticPr fontId="7" type="noConversion"/>
  </si>
  <si>
    <t>收益法 (元)</t>
  </si>
  <si>
    <t>按租金收入计税</t>
  </si>
  <si>
    <t>——</t>
    <phoneticPr fontId="143" type="noConversion"/>
  </si>
  <si>
    <t>成本比率</t>
  </si>
  <si>
    <t>低层</t>
    <phoneticPr fontId="25" type="noConversion"/>
  </si>
  <si>
    <t>中层</t>
    <phoneticPr fontId="25" type="noConversion"/>
  </si>
  <si>
    <t>高层</t>
    <phoneticPr fontId="25" type="noConversion"/>
  </si>
  <si>
    <t>楼层</t>
    <phoneticPr fontId="25" type="noConversion"/>
  </si>
  <si>
    <r>
      <t>1</t>
    </r>
    <r>
      <rPr>
        <sz val="11"/>
        <color indexed="8"/>
        <rFont val="宋体"/>
        <family val="3"/>
        <charset val="134"/>
      </rPr>
      <t>层及跃层</t>
    </r>
    <phoneticPr fontId="31" type="noConversion"/>
  </si>
  <si>
    <t>1层及跃层</t>
  </si>
  <si>
    <t>河西区</t>
    <phoneticPr fontId="3" type="noConversion"/>
  </si>
  <si>
    <t>商业</t>
    <phoneticPr fontId="25"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</si>
</sst>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58" fontId="99" fillId="0" borderId="0" xfId="0" applyNumberFormat="1" applyFont="1">
      <alignment vertical="center"/>
    </xf>
    <xf numFmtId="0" fontId="0" fillId="5" borderId="0" xfId="0" applyFill="1">
      <alignment vertical="center"/>
    </xf>
    <xf numFmtId="0" fontId="0" fillId="0" borderId="0" xfId="0" applyProtection="1">
      <alignment vertical="center"/>
      <protection locked="0"/>
    </xf>
    <xf numFmtId="0" fontId="137" fillId="0" borderId="83" xfId="0" applyNumberFormat="1" applyFont="1" applyFill="1" applyBorder="1" applyAlignment="1" applyProtection="1">
      <alignment horizontal="center" vertical="center"/>
      <protection locked="0"/>
    </xf>
    <xf numFmtId="0" fontId="24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255" fillId="0" borderId="1" xfId="0" applyFont="1" applyFill="1" applyBorder="1" applyAlignment="1">
      <alignment horizontal="center" vertical="center"/>
    </xf>
    <xf numFmtId="58" fontId="255" fillId="0" borderId="1" xfId="0" applyNumberFormat="1" applyFont="1" applyFill="1" applyBorder="1" applyAlignment="1">
      <alignment horizontal="center" vertical="center"/>
    </xf>
    <xf numFmtId="0" fontId="172" fillId="6" borderId="13" xfId="12" applyFont="1" applyFill="1" applyBorder="1" applyAlignment="1" applyProtection="1">
      <alignment horizontal="center" vertical="center" wrapText="1"/>
      <protection locked="0"/>
    </xf>
    <xf numFmtId="2" fontId="255" fillId="0" borderId="1" xfId="0" applyNumberFormat="1"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50" fillId="9" borderId="1" xfId="1" applyNumberFormat="1" applyFont="1" applyFill="1" applyBorder="1" applyAlignment="1" applyProtection="1">
      <alignment horizontal="center" vertical="center"/>
      <protection locked="0"/>
    </xf>
    <xf numFmtId="0" fontId="47" fillId="8" borderId="5" xfId="0" applyFont="1" applyFill="1" applyBorder="1" applyAlignment="1" applyProtection="1">
      <alignment horizontal="center" vertical="center" wrapText="1"/>
    </xf>
    <xf numFmtId="0" fontId="50" fillId="9" borderId="1" xfId="0" applyFont="1" applyFill="1" applyBorder="1" applyAlignment="1" applyProtection="1">
      <alignment horizontal="left" vertical="center" wrapText="1"/>
      <protection locked="0"/>
    </xf>
    <xf numFmtId="0" fontId="47" fillId="8" borderId="28" xfId="0" applyFont="1" applyFill="1" applyBorder="1" applyAlignment="1" applyProtection="1">
      <alignment horizontal="center" vertical="center" wrapText="1"/>
    </xf>
    <xf numFmtId="0" fontId="56" fillId="9" borderId="24" xfId="0" applyFont="1" applyFill="1" applyBorder="1" applyAlignment="1" applyProtection="1">
      <alignment horizontal="center" vertical="center"/>
      <protection locked="0"/>
    </xf>
    <xf numFmtId="0" fontId="50" fillId="9" borderId="3" xfId="0" applyFont="1" applyFill="1" applyBorder="1" applyProtection="1">
      <alignment vertical="center"/>
      <protection locked="0"/>
    </xf>
    <xf numFmtId="177" fontId="80" fillId="9" borderId="1" xfId="1" applyNumberFormat="1" applyFont="1" applyFill="1" applyBorder="1" applyAlignment="1" applyProtection="1">
      <alignment vertical="center"/>
      <protection locked="0" hidden="1"/>
    </xf>
    <xf numFmtId="181" fontId="47" fillId="9" borderId="1" xfId="0" applyNumberFormat="1" applyFont="1" applyFill="1" applyBorder="1" applyAlignment="1" applyProtection="1">
      <alignment vertical="center"/>
      <protection locked="0"/>
    </xf>
    <xf numFmtId="0" fontId="47" fillId="9" borderId="23" xfId="0" applyFont="1" applyFill="1" applyBorder="1" applyAlignment="1" applyProtection="1">
      <alignment vertical="center"/>
      <protection locked="0"/>
    </xf>
    <xf numFmtId="0" fontId="47" fillId="16" borderId="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79"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70" customWidth="1"/>
    <col min="2" max="2" width="81" style="1587" customWidth="1"/>
    <col min="3" max="16384" width="9" style="1585"/>
  </cols>
  <sheetData>
    <row r="1" spans="1:2" s="1573" customFormat="1" ht="16.5" thickBot="1">
      <c r="A1" s="1572" t="s">
        <v>1220</v>
      </c>
      <c r="B1" s="1571" t="s">
        <v>1299</v>
      </c>
    </row>
    <row r="2" spans="1:2" s="1576" customFormat="1" ht="15" thickTop="1">
      <c r="A2" s="1574" t="s">
        <v>1221</v>
      </c>
      <c r="B2" s="1575" t="str">
        <f>'预评函-封皮'!B37:I37</f>
        <v>天津市南开区红旗路与楚雄道交口西北侧房地产抵押价值预评估</v>
      </c>
    </row>
    <row r="3" spans="1:2" s="1579" customFormat="1">
      <c r="A3" s="1577" t="s">
        <v>1222</v>
      </c>
      <c r="B3" s="1578" t="str">
        <f>'预评函-封皮'!B40</f>
        <v>天津丽津嘉业房地产有限公司</v>
      </c>
    </row>
    <row r="4" spans="1:2" s="1579" customFormat="1">
      <c r="A4" s="1577" t="s">
        <v>1223</v>
      </c>
      <c r="B4" s="1578" t="str">
        <f ca="1">'预评函-封皮'!B46</f>
        <v>王鹏（注册号：1120050019)、郑燚（注册号：1120070131)</v>
      </c>
    </row>
    <row r="5" spans="1:2" s="1573" customFormat="1" ht="15" thickBot="1">
      <c r="A5" s="1580" t="s">
        <v>1224</v>
      </c>
      <c r="B5" s="1581" t="str">
        <f>'预评函-封皮'!B49</f>
        <v>康正预评字号</v>
      </c>
    </row>
    <row r="6" spans="1:2" s="1576" customFormat="1" ht="15" thickTop="1">
      <c r="A6" s="1574" t="s">
        <v>1225</v>
      </c>
      <c r="B6" s="1575" t="str">
        <f>'预评函-1'!A4</f>
        <v>受贵公司委托，我公司对天津市南开区红旗路与楚雄道交口西北侧房地产抵押价值进行了预评估。</v>
      </c>
    </row>
    <row r="7" spans="1:2" s="1579" customFormat="1">
      <c r="A7" s="1577" t="s">
        <v>1265</v>
      </c>
      <c r="B7" s="1578" t="str">
        <f>'预评函-1'!A7</f>
        <v>估价对象为天津市南开区红旗路与楚雄道交口西北侧房地产，为天津市王顶堤工贸集团有限公司所有。根据《房地产权证》[房地证津字第104051500052号]，估价对象（分摊）出让国有建设用地使用权面积为2337.9平方米，建筑面积为28703.6平方米。</v>
      </c>
    </row>
    <row r="8" spans="1:2" s="1579" customFormat="1">
      <c r="A8" s="1577" t="s">
        <v>1266</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1267</v>
      </c>
      <c r="B9" s="1578" t="str">
        <f>'预评函-1'!A10</f>
        <v>估价对象为天津市南开区红旗路与楚雄道交口西北侧房地产,属天津市王顶堤工贸集团有限公司开发建设的商业项目，该项目尚在开发建设中。根据《房地产权证》[房地证津字第104051500052号]，估价对象（分摊）出让国有建设用地使用权面积为2337.9平方米，规划建筑面积为28703.6平方米。</v>
      </c>
    </row>
    <row r="10" spans="1:2" s="1579" customFormat="1">
      <c r="A10" s="1577" t="s">
        <v>1268</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1226</v>
      </c>
      <c r="B11" s="1578" t="str">
        <f>'预评函-1'!A13</f>
        <v>为估价委托人在向昆仑信托有限责任公司办理贷款手续过程中，确定房地产抵押贷款额度提供参考依据而评估房地产抵押价值。</v>
      </c>
    </row>
    <row r="12" spans="1:2" s="1579" customFormat="1">
      <c r="A12" s="1577" t="s">
        <v>1227</v>
      </c>
      <c r="B12" s="1578" t="str">
        <f>'预评函-1'!A15</f>
        <v>2017年11月22日（评估专业人员实地查勘之日）</v>
      </c>
    </row>
    <row r="13" spans="1:2" s="1579" customFormat="1">
      <c r="A13" s="1577" t="s">
        <v>1228</v>
      </c>
      <c r="B13" s="1578" t="str">
        <f>'预评函-1'!A18</f>
        <v>本次估价的“房地产价值”是指在正常市场情况下，在价值时点2017年11月22日，估价对象规划用途为其他商服用地，土地取得方式为出让，出让国有建设用地使用权剩余土地使用年限为办公41.28年，假定未设立法定优先受偿款下的房地产市场价值。</v>
      </c>
    </row>
    <row r="14" spans="1:2" s="1579" customFormat="1">
      <c r="A14" s="1577" t="s">
        <v>1229</v>
      </c>
      <c r="B14" s="1578" t="str">
        <f>'预评函-1'!A19</f>
        <v>其中，“出让国有建设用地使用权价值”是指估价对象用途为其他商服用地，实际开发程度为宗地红线外“七通”（即通路、通电、通讯、通上水、通下水、通热、燃气）、红线内场地平整条件下，剩余土地使用年限为办公41.28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79" customFormat="1">
      <c r="A15" s="1577" t="s">
        <v>1230</v>
      </c>
      <c r="B15" s="1578" t="str">
        <f>'预评函-1'!A20</f>
        <v>本次估价的“房地产抵押价值”是指估价对象在价值时点的“房地产价值”扣减估价师于价值时点所知悉的法定优先受偿款后的余额。</v>
      </c>
    </row>
    <row r="16" spans="1:2" s="1579" customFormat="1">
      <c r="A16" s="1577" t="s">
        <v>1231</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1232</v>
      </c>
      <c r="B17" s="1578" t="str">
        <f>'预评函-1'!A22</f>
        <v/>
      </c>
    </row>
    <row r="18" spans="1:2" s="1573" customFormat="1" ht="15" thickBot="1">
      <c r="A18" s="1580" t="s">
        <v>1233</v>
      </c>
      <c r="B18" s="1581" t="str">
        <f>'预评函-1'!A24</f>
        <v>本次评估采用的主估价方法为比较法和收益法。</v>
      </c>
    </row>
    <row r="19" spans="1:2" s="1576" customFormat="1" ht="15" thickTop="1">
      <c r="A19" s="1574" t="s">
        <v>1234</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1235</v>
      </c>
      <c r="B20" s="1578">
        <f ca="1">'预评函-2'!D5</f>
        <v>134</v>
      </c>
    </row>
    <row r="21" spans="1:2" s="1579" customFormat="1">
      <c r="A21" s="1577" t="s">
        <v>1236</v>
      </c>
      <c r="B21" s="1578">
        <f ca="1">'预评函-2'!D7</f>
        <v>22491</v>
      </c>
    </row>
    <row r="22" spans="1:2" s="1579" customFormat="1">
      <c r="A22" s="1577" t="s">
        <v>1237</v>
      </c>
      <c r="B22" s="1578" t="str">
        <f ca="1">'预评函-2'!D6</f>
        <v>壹佰叁拾肆万元整</v>
      </c>
    </row>
    <row r="23" spans="1:2" s="1579" customFormat="1">
      <c r="A23" s="1577" t="s">
        <v>1288</v>
      </c>
      <c r="B23" s="1578" t="str">
        <f>'预评函-2'!B8</f>
        <v>2.估价师知悉的法定优先受偿款</v>
      </c>
    </row>
    <row r="24" spans="1:2" s="1579" customFormat="1">
      <c r="A24" s="1577" t="s">
        <v>1294</v>
      </c>
      <c r="B24" s="1578">
        <f>'预评函-2'!D8</f>
        <v>0</v>
      </c>
    </row>
    <row r="25" spans="1:2" s="1579" customFormat="1">
      <c r="A25" s="1577" t="s">
        <v>1238</v>
      </c>
      <c r="B25" s="1578" t="str">
        <f>'预评函-2'!D9</f>
        <v>零元整</v>
      </c>
    </row>
    <row r="26" spans="1:2" s="1579" customFormat="1">
      <c r="A26" s="1577" t="s">
        <v>1239</v>
      </c>
      <c r="B26" s="1578">
        <f>'预评函-2'!D10</f>
        <v>0</v>
      </c>
    </row>
    <row r="27" spans="1:2" s="1579" customFormat="1">
      <c r="A27" s="1577" t="s">
        <v>1240</v>
      </c>
      <c r="B27" s="1578">
        <f>'预评函-2'!D11</f>
        <v>0</v>
      </c>
    </row>
    <row r="28" spans="1:2" s="1579" customFormat="1">
      <c r="A28" s="1577" t="s">
        <v>1241</v>
      </c>
      <c r="B28" s="1578">
        <f>'预评函-2'!D12</f>
        <v>0</v>
      </c>
    </row>
    <row r="29" spans="1:2" s="1579" customFormat="1">
      <c r="A29" s="1577" t="s">
        <v>1292</v>
      </c>
      <c r="B29" s="1578" t="str">
        <f>'预评函-2'!B13</f>
        <v>3.房地产抵押价值</v>
      </c>
    </row>
    <row r="30" spans="1:2" s="1579" customFormat="1">
      <c r="A30" s="1577" t="s">
        <v>1293</v>
      </c>
      <c r="B30" s="1578">
        <f ca="1">'预评函-2'!D13</f>
        <v>134</v>
      </c>
    </row>
    <row r="31" spans="1:2" s="1579" customFormat="1">
      <c r="A31" s="1577" t="s">
        <v>1275</v>
      </c>
      <c r="B31" s="1578">
        <f ca="1">'预评函-2'!D15</f>
        <v>47</v>
      </c>
    </row>
    <row r="32" spans="1:2" s="1579" customFormat="1">
      <c r="A32" s="1577" t="s">
        <v>1242</v>
      </c>
      <c r="B32" s="1578" t="str">
        <f ca="1">'预评函-2'!D14</f>
        <v>壹佰叁拾肆万元整</v>
      </c>
    </row>
    <row r="33" spans="1:2" s="1579" customFormat="1">
      <c r="A33" s="1577" t="s">
        <v>1277</v>
      </c>
      <c r="B33" s="1578" t="str">
        <f>'预评函-2'!B16</f>
        <v>——</v>
      </c>
    </row>
    <row r="34" spans="1:2" s="1579" customFormat="1">
      <c r="A34" s="1577" t="s">
        <v>1295</v>
      </c>
      <c r="B34" s="1578" t="str">
        <f>'预评函-2'!D16</f>
        <v>——</v>
      </c>
    </row>
    <row r="35" spans="1:2" s="1579" customFormat="1">
      <c r="A35" s="1577" t="s">
        <v>1276</v>
      </c>
      <c r="B35" s="1578" t="str">
        <f>'预评函-2'!D18</f>
        <v>——</v>
      </c>
    </row>
    <row r="36" spans="1:2" s="1579" customFormat="1">
      <c r="A36" s="1577" t="s">
        <v>1243</v>
      </c>
      <c r="B36" s="1578" t="e">
        <f>'预评函-2'!D17</f>
        <v>#VALUE!</v>
      </c>
    </row>
    <row r="37" spans="1:2" s="1579" customFormat="1">
      <c r="A37" s="1577" t="s">
        <v>1278</v>
      </c>
      <c r="B37" s="1578" t="str">
        <f>'预评函-2'!B19</f>
        <v>——</v>
      </c>
    </row>
    <row r="38" spans="1:2" s="1579" customFormat="1">
      <c r="A38" s="1577" t="s">
        <v>1296</v>
      </c>
      <c r="B38" s="1578" t="str">
        <f>'预评函-2'!D19</f>
        <v>——</v>
      </c>
    </row>
    <row r="39" spans="1:2" s="1579" customFormat="1">
      <c r="A39" s="1577" t="s">
        <v>1244</v>
      </c>
      <c r="B39" s="1578" t="str">
        <f>'预评函-2'!D21</f>
        <v>——</v>
      </c>
    </row>
    <row r="40" spans="1:2" s="1579" customFormat="1">
      <c r="A40" s="1577" t="s">
        <v>1245</v>
      </c>
      <c r="B40" s="1578" t="e">
        <f>'预评函-2'!D20</f>
        <v>#VALUE!</v>
      </c>
    </row>
    <row r="41" spans="1:2" s="1579" customFormat="1">
      <c r="A41" s="1577" t="s">
        <v>1291</v>
      </c>
      <c r="B41" s="1578" t="str">
        <f>'预评函-3'!A4</f>
        <v>天津市南开区红旗路与楚雄道交口西北侧房地产</v>
      </c>
    </row>
    <row r="42" spans="1:2" s="1579" customFormat="1">
      <c r="A42" s="1577" t="s">
        <v>1289</v>
      </c>
      <c r="B42" s="1578" t="str">
        <f>'预评函-3'!B2</f>
        <v>建筑面积</v>
      </c>
    </row>
    <row r="43" spans="1:2" s="1579" customFormat="1">
      <c r="A43" s="1577" t="s">
        <v>1290</v>
      </c>
      <c r="B43" s="1578">
        <f>'预评函-3'!B4</f>
        <v>28703.600000000002</v>
      </c>
    </row>
    <row r="44" spans="1:2" s="1579" customFormat="1">
      <c r="A44" s="1577" t="s">
        <v>1274</v>
      </c>
      <c r="B44" s="1578" t="str">
        <f>'预评函-3'!C2</f>
        <v>(分摊)土地面积</v>
      </c>
    </row>
    <row r="45" spans="1:2" s="1579" customFormat="1">
      <c r="A45" s="1577" t="s">
        <v>1246</v>
      </c>
      <c r="B45" s="1578">
        <f>'预评函-3'!C4</f>
        <v>2337.9</v>
      </c>
    </row>
    <row r="46" spans="1:2" s="1579" customFormat="1">
      <c r="A46" s="1577" t="s">
        <v>1272</v>
      </c>
      <c r="B46" s="1578" t="str">
        <f>'预评函-3'!D2</f>
        <v>出让国有建设用地使用权价值</v>
      </c>
    </row>
    <row r="47" spans="1:2" s="1579" customFormat="1">
      <c r="A47" s="1577" t="s">
        <v>1247</v>
      </c>
      <c r="B47" s="1578">
        <f ca="1">'预评函-3'!D4</f>
        <v>72</v>
      </c>
    </row>
    <row r="48" spans="1:2" s="1579" customFormat="1">
      <c r="A48" s="1577" t="s">
        <v>1248</v>
      </c>
      <c r="B48" s="1578">
        <f ca="1">'预评函-3'!E4</f>
        <v>12085</v>
      </c>
    </row>
    <row r="49" spans="1:2" s="1579" customFormat="1">
      <c r="A49" s="1577" t="s">
        <v>1249</v>
      </c>
      <c r="B49" s="1578" t="str">
        <f ca="1">'预评函-3'!D5</f>
        <v>柒拾贰万元整</v>
      </c>
    </row>
    <row r="50" spans="1:2" s="1579" customFormat="1">
      <c r="A50" s="1577" t="s">
        <v>1273</v>
      </c>
      <c r="B50" s="1578" t="str">
        <f>'预评函-3'!F2</f>
        <v>建筑物价值</v>
      </c>
    </row>
    <row r="51" spans="1:2" s="1579" customFormat="1">
      <c r="A51" s="1577" t="s">
        <v>1250</v>
      </c>
      <c r="B51" s="1578">
        <f ca="1">'预评函-3'!F4</f>
        <v>62</v>
      </c>
    </row>
    <row r="52" spans="1:2" s="1579" customFormat="1">
      <c r="A52" s="1577" t="s">
        <v>1251</v>
      </c>
      <c r="B52" s="1578">
        <f ca="1">'预评函-3'!G4</f>
        <v>10406</v>
      </c>
    </row>
    <row r="53" spans="1:2" s="1579" customFormat="1">
      <c r="A53" s="1577" t="s">
        <v>1279</v>
      </c>
      <c r="B53" s="1578" t="str">
        <f ca="1">'预评函-3'!F5</f>
        <v>陆拾贰万元整</v>
      </c>
    </row>
    <row r="54" spans="1:2" s="1579" customFormat="1">
      <c r="A54" s="1577" t="s">
        <v>1297</v>
      </c>
      <c r="B54" s="1578" t="str">
        <f>'预评函-3'!A8</f>
        <v>房地产抵押价值</v>
      </c>
    </row>
    <row r="55" spans="1:2" s="1579" customFormat="1">
      <c r="A55" s="1577" t="s">
        <v>1280</v>
      </c>
      <c r="B55" s="1578" t="str">
        <f>'预评函-3'!A10</f>
        <v/>
      </c>
    </row>
    <row r="56" spans="1:2" s="1579" customFormat="1">
      <c r="A56" s="1577" t="s">
        <v>1281</v>
      </c>
      <c r="B56" s="1578" t="str">
        <f>'预评函-3'!A12</f>
        <v/>
      </c>
    </row>
    <row r="57" spans="1:2" s="1573" customFormat="1" ht="15" thickBot="1">
      <c r="A57" s="1580" t="s">
        <v>1298</v>
      </c>
      <c r="B57" s="1581" t="str">
        <f>'预评函-3'!A6</f>
        <v>估价师知悉的法定优先受偿款</v>
      </c>
    </row>
    <row r="58" spans="1:2" s="1576" customFormat="1" ht="15" thickTop="1">
      <c r="A58" s="1574" t="s">
        <v>1252</v>
      </c>
      <c r="B58" s="1575" t="str">
        <f>'预评函-4'!A12</f>
        <v>2.本《评估意见函》仅供金融机构进行内部审核使用，不做其他目的之用。</v>
      </c>
    </row>
    <row r="59" spans="1:2" s="1579" customFormat="1">
      <c r="A59" s="1577" t="s">
        <v>1253</v>
      </c>
      <c r="B59" s="1578" t="str">
        <f>'预评函-4'!A13</f>
        <v>3.抵押双方在办理抵押登记手续时，应使用本公司出具的正式《房地产评估报告》，特提醒报告使用者注意。</v>
      </c>
    </row>
    <row r="60" spans="1:2" s="1579" customFormat="1">
      <c r="A60" s="1577" t="s">
        <v>1254</v>
      </c>
      <c r="B60" s="1578" t="str">
        <f>'预评函-4'!A14</f>
        <v>4.本次评估估价师所知悉的法定优先受偿款情况说明如下：</v>
      </c>
    </row>
    <row r="61" spans="1:2" s="1579" customFormat="1">
      <c r="A61" s="1577" t="s">
        <v>1255</v>
      </c>
      <c r="B61" s="1578" t="str">
        <f>'预评函-4'!A15</f>
        <v>（1）根据估价对象《国有土地使用权》复印件、，截至价值时点，估价对象抵押权未见登记。</v>
      </c>
    </row>
    <row r="62" spans="1:2" s="1579" customFormat="1">
      <c r="A62" s="1577" t="s">
        <v>1256</v>
      </c>
      <c r="B62" s="1578" t="str">
        <f>'预评函-4'!A16</f>
        <v>（2）根据《工程款支付情况说明》，截至价值时点，估价对象不存在应付未付工程款项。（只要没有施工方盖章的，均“设定”进行表述）</v>
      </c>
    </row>
    <row r="63" spans="1:2" s="1579" customFormat="1">
      <c r="A63" s="1577" t="s">
        <v>1257</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1269</v>
      </c>
      <c r="B64" s="1578" t="str">
        <f>'预评函-4'!A18</f>
        <v>故，本次评估不存在估价师知悉的法定优先受偿款</v>
      </c>
    </row>
    <row r="65" spans="1:2" s="1579" customFormat="1">
      <c r="A65" s="1577" t="s">
        <v>1258</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1259</v>
      </c>
      <c r="B66" s="1578" t="str">
        <f>'预评函-4'!A20</f>
        <v>——</v>
      </c>
    </row>
    <row r="67" spans="1:2" s="1579" customFormat="1">
      <c r="A67" s="1577" t="s">
        <v>1270</v>
      </c>
      <c r="B67" s="1578" t="str">
        <f>'预评函-4'!A21</f>
        <v>——</v>
      </c>
    </row>
    <row r="68" spans="1:2" s="1579" customFormat="1">
      <c r="A68" s="1577" t="s">
        <v>1271</v>
      </c>
      <c r="B68" s="1578" t="str">
        <f>'预评函-4'!A22</f>
        <v>8.其他需特殊说明事项：无（注意调整序号）</v>
      </c>
    </row>
    <row r="69" spans="1:2" s="1573" customFormat="1" ht="15" thickBot="1">
      <c r="A69" s="1580" t="s">
        <v>1260</v>
      </c>
      <c r="B69" s="1582">
        <f>'预评函-4'!C31</f>
        <v>42551</v>
      </c>
    </row>
    <row r="70" spans="1:2" ht="15" thickTop="1">
      <c r="A70" s="1583" t="s">
        <v>1261</v>
      </c>
      <c r="B70" s="1584" t="str">
        <f>'预评函-4'!A4</f>
        <v>王鹏</v>
      </c>
    </row>
    <row r="71" spans="1:2">
      <c r="A71" s="1577" t="s">
        <v>1262</v>
      </c>
      <c r="B71" s="1578">
        <f ca="1">'预评函-4'!B4</f>
        <v>1120050019</v>
      </c>
    </row>
    <row r="72" spans="1:2">
      <c r="A72" s="1577" t="s">
        <v>1263</v>
      </c>
      <c r="B72" s="1586" t="str">
        <f>'预评函-4'!A5</f>
        <v>郑燚</v>
      </c>
    </row>
    <row r="73" spans="1:2" s="1573" customFormat="1" ht="15" thickBot="1">
      <c r="A73" s="1580" t="s">
        <v>1264</v>
      </c>
      <c r="B73" s="1581">
        <f ca="1">'预评函-4'!B5</f>
        <v>1120070131</v>
      </c>
    </row>
    <row r="74" spans="1:2" ht="15" thickTop="1">
      <c r="A74" s="1570" t="s">
        <v>1300</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6" sqref="X16"/>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1692</v>
      </c>
      <c r="C1" s="1995" t="s">
        <v>759</v>
      </c>
      <c r="D1" s="1996" t="s">
        <v>1693</v>
      </c>
      <c r="E1" s="1996" t="s">
        <v>1694</v>
      </c>
      <c r="F1" s="1996" t="s">
        <v>1695</v>
      </c>
      <c r="G1" s="1996" t="s">
        <v>1696</v>
      </c>
      <c r="H1" s="1996" t="s">
        <v>1697</v>
      </c>
      <c r="I1" s="1996" t="s">
        <v>1698</v>
      </c>
      <c r="J1" s="1996" t="s">
        <v>1699</v>
      </c>
      <c r="K1" s="1996" t="s">
        <v>1700</v>
      </c>
      <c r="L1" s="1996" t="s">
        <v>1701</v>
      </c>
      <c r="M1" s="1996" t="s">
        <v>1702</v>
      </c>
      <c r="N1" s="1996" t="s">
        <v>1703</v>
      </c>
      <c r="O1" s="1996" t="s">
        <v>1704</v>
      </c>
      <c r="P1" s="1997" t="s">
        <v>753</v>
      </c>
      <c r="Q1" s="1997" t="s">
        <v>1144</v>
      </c>
      <c r="R1" s="1996" t="s">
        <v>1138</v>
      </c>
      <c r="S1" s="1996" t="s">
        <v>1705</v>
      </c>
      <c r="T1" s="1998" t="s">
        <v>1706</v>
      </c>
      <c r="U1" s="1996" t="s">
        <v>1707</v>
      </c>
      <c r="V1" s="1996" t="s">
        <v>1708</v>
      </c>
      <c r="W1" s="1996" t="s">
        <v>755</v>
      </c>
    </row>
    <row r="2" spans="1:23">
      <c r="A2" s="2000" t="s">
        <v>22</v>
      </c>
      <c r="B2" s="2000" t="s">
        <v>1709</v>
      </c>
      <c r="C2" s="2001" t="s">
        <v>760</v>
      </c>
      <c r="D2" s="2002" t="s">
        <v>1710</v>
      </c>
      <c r="E2" s="2002" t="s">
        <v>1711</v>
      </c>
      <c r="F2" s="2002" t="s">
        <v>1712</v>
      </c>
      <c r="G2" s="2002">
        <v>40</v>
      </c>
      <c r="H2" s="2002" t="s">
        <v>1712</v>
      </c>
      <c r="I2" s="2002" t="s">
        <v>1713</v>
      </c>
      <c r="J2" s="2002" t="s">
        <v>1714</v>
      </c>
      <c r="K2" s="2002" t="s">
        <v>1715</v>
      </c>
      <c r="L2" s="2002" t="s">
        <v>1715</v>
      </c>
      <c r="M2" s="2002" t="s">
        <v>1715</v>
      </c>
      <c r="N2" s="2002" t="s">
        <v>1715</v>
      </c>
      <c r="O2" s="2002" t="s">
        <v>1715</v>
      </c>
      <c r="P2" s="2002" t="s">
        <v>1715</v>
      </c>
      <c r="Q2" s="2002" t="s">
        <v>1715</v>
      </c>
      <c r="R2" s="2002" t="s">
        <v>1140</v>
      </c>
      <c r="S2" s="2002" t="s">
        <v>1715</v>
      </c>
      <c r="T2" s="2002" t="s">
        <v>1716</v>
      </c>
      <c r="U2" s="2002" t="s">
        <v>1715</v>
      </c>
      <c r="V2" s="2002" t="s">
        <v>1717</v>
      </c>
      <c r="W2" s="2002" t="s">
        <v>1715</v>
      </c>
    </row>
    <row r="3" spans="1:23">
      <c r="A3" s="2000" t="s">
        <v>1718</v>
      </c>
      <c r="B3" s="2003" t="s">
        <v>1145</v>
      </c>
      <c r="C3" s="2004" t="s">
        <v>761</v>
      </c>
      <c r="D3" s="2002" t="s">
        <v>1719</v>
      </c>
      <c r="E3" s="2002" t="s">
        <v>16</v>
      </c>
      <c r="F3" s="2002" t="s">
        <v>1720</v>
      </c>
      <c r="G3" s="2002">
        <v>50</v>
      </c>
      <c r="H3" s="2002" t="s">
        <v>1720</v>
      </c>
      <c r="I3" s="2002" t="s">
        <v>1721</v>
      </c>
      <c r="J3" s="2002" t="s">
        <v>1722</v>
      </c>
      <c r="K3" s="2002" t="s">
        <v>1723</v>
      </c>
      <c r="L3" s="2002" t="s">
        <v>1723</v>
      </c>
      <c r="M3" s="2002" t="s">
        <v>1723</v>
      </c>
      <c r="N3" s="2002" t="s">
        <v>1723</v>
      </c>
      <c r="O3" s="2002" t="s">
        <v>1723</v>
      </c>
      <c r="P3" s="2002" t="s">
        <v>1723</v>
      </c>
      <c r="Q3" s="2002" t="s">
        <v>1723</v>
      </c>
      <c r="R3" s="2002" t="s">
        <v>1139</v>
      </c>
      <c r="S3" s="2002" t="s">
        <v>1723</v>
      </c>
      <c r="T3" s="2002" t="s">
        <v>1724</v>
      </c>
      <c r="U3" s="2002" t="s">
        <v>1723</v>
      </c>
      <c r="V3" s="2002" t="s">
        <v>1725</v>
      </c>
      <c r="W3" s="2002" t="s">
        <v>1723</v>
      </c>
    </row>
    <row r="4" spans="1:23">
      <c r="A4" s="2000" t="s">
        <v>1726</v>
      </c>
      <c r="B4" s="2000" t="s">
        <v>1727</v>
      </c>
      <c r="C4" s="2001" t="s">
        <v>762</v>
      </c>
      <c r="D4" s="2002" t="s">
        <v>868</v>
      </c>
      <c r="E4" s="2002" t="s">
        <v>1728</v>
      </c>
      <c r="F4" s="2002" t="s">
        <v>1729</v>
      </c>
      <c r="G4" s="2002">
        <v>70</v>
      </c>
      <c r="H4" s="2002" t="s">
        <v>1729</v>
      </c>
      <c r="I4" s="2002" t="s">
        <v>1730</v>
      </c>
      <c r="K4" s="2002" t="s">
        <v>1731</v>
      </c>
      <c r="L4" s="2002" t="s">
        <v>1731</v>
      </c>
      <c r="M4" s="2002" t="s">
        <v>1731</v>
      </c>
      <c r="N4" s="2002" t="s">
        <v>1731</v>
      </c>
      <c r="O4" s="2002" t="s">
        <v>1731</v>
      </c>
      <c r="P4" s="2002" t="s">
        <v>1731</v>
      </c>
      <c r="Q4" s="2002" t="s">
        <v>1731</v>
      </c>
      <c r="R4" s="2002" t="s">
        <v>1141</v>
      </c>
      <c r="S4" s="2002" t="s">
        <v>1731</v>
      </c>
      <c r="T4" s="2002" t="s">
        <v>1732</v>
      </c>
      <c r="U4" s="2002" t="s">
        <v>1731</v>
      </c>
      <c r="W4" s="2002" t="s">
        <v>1731</v>
      </c>
    </row>
    <row r="5" spans="1:23">
      <c r="A5" s="2000" t="s">
        <v>1733</v>
      </c>
      <c r="B5" s="2000" t="s">
        <v>1734</v>
      </c>
      <c r="C5" s="2001" t="s">
        <v>763</v>
      </c>
      <c r="F5" s="2002" t="s">
        <v>1735</v>
      </c>
      <c r="H5" s="2002" t="s">
        <v>1736</v>
      </c>
      <c r="I5" s="2002" t="s">
        <v>1737</v>
      </c>
      <c r="K5" s="2002" t="s">
        <v>1738</v>
      </c>
      <c r="L5" s="2002" t="s">
        <v>1738</v>
      </c>
      <c r="M5" s="2002" t="s">
        <v>1738</v>
      </c>
      <c r="N5" s="2002" t="s">
        <v>1738</v>
      </c>
      <c r="O5" s="2002" t="s">
        <v>1738</v>
      </c>
      <c r="P5" s="2002" t="s">
        <v>1738</v>
      </c>
      <c r="Q5" s="2002" t="s">
        <v>1738</v>
      </c>
      <c r="R5" s="2002" t="s">
        <v>1142</v>
      </c>
      <c r="S5" s="2002" t="s">
        <v>1738</v>
      </c>
      <c r="T5" s="2002" t="s">
        <v>1739</v>
      </c>
      <c r="U5" s="2002" t="s">
        <v>1738</v>
      </c>
      <c r="W5" s="2002" t="s">
        <v>1738</v>
      </c>
    </row>
    <row r="6" spans="1:23">
      <c r="A6" s="2000" t="s">
        <v>1740</v>
      </c>
      <c r="B6" s="2003" t="s">
        <v>1146</v>
      </c>
      <c r="C6" s="2006" t="s">
        <v>30</v>
      </c>
      <c r="F6" s="2002" t="s">
        <v>1736</v>
      </c>
      <c r="H6" s="2002" t="s">
        <v>1741</v>
      </c>
      <c r="I6" s="2002" t="s">
        <v>1742</v>
      </c>
      <c r="K6" s="2002" t="s">
        <v>1743</v>
      </c>
      <c r="L6" s="2002" t="s">
        <v>1743</v>
      </c>
      <c r="M6" s="2002" t="s">
        <v>1743</v>
      </c>
      <c r="N6" s="2002" t="s">
        <v>1743</v>
      </c>
      <c r="O6" s="2002" t="s">
        <v>1743</v>
      </c>
      <c r="P6" s="2002" t="s">
        <v>1743</v>
      </c>
      <c r="Q6" s="2002" t="s">
        <v>1743</v>
      </c>
      <c r="R6" s="2002" t="s">
        <v>1143</v>
      </c>
      <c r="S6" s="2002" t="s">
        <v>1743</v>
      </c>
      <c r="T6" s="2002"/>
      <c r="U6" s="2002" t="s">
        <v>1743</v>
      </c>
      <c r="W6" s="2002" t="s">
        <v>1743</v>
      </c>
    </row>
    <row r="7" spans="1:23">
      <c r="A7" s="2000" t="s">
        <v>1744</v>
      </c>
      <c r="B7" s="2003" t="s">
        <v>1147</v>
      </c>
      <c r="C7" s="2001" t="s">
        <v>31</v>
      </c>
      <c r="F7" s="2002" t="s">
        <v>1745</v>
      </c>
      <c r="H7" s="2002" t="s">
        <v>1746</v>
      </c>
      <c r="I7" s="2002" t="s">
        <v>1747</v>
      </c>
    </row>
    <row r="8" spans="1:23">
      <c r="A8" s="2000" t="s">
        <v>1748</v>
      </c>
      <c r="B8" s="2003" t="s">
        <v>3098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0" t="s">
        <v>1758</v>
      </c>
      <c r="B12" s="2000" t="s">
        <v>1759</v>
      </c>
      <c r="C12" s="2001" t="s">
        <v>768</v>
      </c>
    </row>
    <row r="13" spans="1:23">
      <c r="A13" s="2000" t="s">
        <v>1760</v>
      </c>
      <c r="B13" s="2000" t="s">
        <v>1761</v>
      </c>
      <c r="C13" s="2001" t="s">
        <v>769</v>
      </c>
    </row>
    <row r="14" spans="1:23">
      <c r="A14" s="2000" t="s">
        <v>1762</v>
      </c>
      <c r="B14" s="2000" t="s">
        <v>1763</v>
      </c>
      <c r="C14" s="2002" t="s">
        <v>16</v>
      </c>
    </row>
    <row r="15" spans="1:23">
      <c r="A15" s="2000" t="s">
        <v>1764</v>
      </c>
      <c r="B15" s="2000" t="s">
        <v>1765</v>
      </c>
      <c r="C15" s="2001"/>
    </row>
    <row r="16" spans="1:23">
      <c r="A16" s="2000" t="s">
        <v>1766</v>
      </c>
      <c r="B16" s="2000" t="s">
        <v>756</v>
      </c>
      <c r="C16" s="2001"/>
    </row>
    <row r="17" spans="1:3">
      <c r="A17" s="2000" t="s">
        <v>1767</v>
      </c>
      <c r="B17" s="2003" t="s">
        <v>3064</v>
      </c>
      <c r="C17" s="2001"/>
    </row>
    <row r="18" spans="1:3">
      <c r="A18" s="2000" t="s">
        <v>1768</v>
      </c>
      <c r="B18" s="2003" t="s">
        <v>3067</v>
      </c>
      <c r="C18" s="2001"/>
    </row>
    <row r="19" spans="1:3">
      <c r="A19" s="2000" t="s">
        <v>1769</v>
      </c>
      <c r="B19" s="2003" t="s">
        <v>3065</v>
      </c>
      <c r="C19" s="2001"/>
    </row>
    <row r="20" spans="1:3">
      <c r="A20" s="2000" t="s">
        <v>1770</v>
      </c>
      <c r="B20" s="2000" t="s">
        <v>3116</v>
      </c>
      <c r="C20" s="2001"/>
    </row>
    <row r="21" spans="1:3">
      <c r="A21" s="2000" t="s">
        <v>1771</v>
      </c>
      <c r="B21" s="2000" t="s">
        <v>3117</v>
      </c>
      <c r="C21" s="2001"/>
    </row>
    <row r="22" spans="1:3">
      <c r="A22" s="2000" t="s">
        <v>1772</v>
      </c>
      <c r="B22" s="2000" t="s">
        <v>757</v>
      </c>
      <c r="C22" s="2001"/>
    </row>
    <row r="23" spans="1:3">
      <c r="A23" s="2000" t="s">
        <v>1773</v>
      </c>
      <c r="B23" s="2000" t="s">
        <v>757</v>
      </c>
      <c r="C23" s="2001"/>
    </row>
    <row r="24" spans="1:3">
      <c r="A24" s="2000" t="s">
        <v>1774</v>
      </c>
      <c r="B24" s="2000" t="s">
        <v>757</v>
      </c>
      <c r="C24" s="2001"/>
    </row>
    <row r="25" spans="1:3">
      <c r="A25" s="2000" t="s">
        <v>1775</v>
      </c>
      <c r="B25" s="2000" t="s">
        <v>757</v>
      </c>
      <c r="C25" s="2001"/>
    </row>
    <row r="26" spans="1:3">
      <c r="A26" s="2000" t="s">
        <v>1776</v>
      </c>
      <c r="B26" s="2000" t="s">
        <v>757</v>
      </c>
      <c r="C26" s="2001"/>
    </row>
    <row r="27" spans="1:3">
      <c r="A27" s="2000" t="s">
        <v>757</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天津市南开区红旗路与楚雄道交口西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08" t="s">
        <v>1285</v>
      </c>
    </row>
    <row r="52" spans="1:4">
      <c r="A52" s="2007" t="s">
        <v>858</v>
      </c>
      <c r="B52" s="2007" t="s">
        <v>859</v>
      </c>
      <c r="C52" s="2005" t="s">
        <v>860</v>
      </c>
      <c r="D52" s="2005" t="s">
        <v>861</v>
      </c>
    </row>
    <row r="53" spans="1:4">
      <c r="A53" s="3006"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其他商服用地土地取得方式为出让，出让国有建设用地使用权剩余土地使用年限为XX年(多用途剩余年限尾数不同时，可只体现小数点后一位)，假定未设立法定优先受偿款下的房地产市场价值。</v>
      </c>
    </row>
    <row r="54" spans="1:4">
      <c r="A54" s="3006"/>
      <c r="B54" s="2008" t="s">
        <v>864</v>
      </c>
      <c r="C54" s="2005" t="s">
        <v>1282</v>
      </c>
    </row>
    <row r="55" spans="1:4">
      <c r="A55" s="3006"/>
      <c r="B55" s="2008" t="s">
        <v>865</v>
      </c>
      <c r="C55" s="2005" t="s">
        <v>1283</v>
      </c>
    </row>
    <row r="56" spans="1:4">
      <c r="A56" s="3006"/>
      <c r="B56" s="2008" t="s">
        <v>866</v>
      </c>
      <c r="C56" s="2005" t="s">
        <v>1287</v>
      </c>
    </row>
    <row r="57" spans="1:4">
      <c r="A57" s="3006"/>
      <c r="B57" s="2008" t="s">
        <v>867</v>
      </c>
      <c r="C57" s="2005" t="s">
        <v>1284</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I23" sqref="I23"/>
    </sheetView>
  </sheetViews>
  <sheetFormatPr defaultColWidth="10" defaultRowHeight="18" customHeight="1"/>
  <cols>
    <col min="1" max="1" width="14.875" style="2018" customWidth="1"/>
    <col min="2" max="2" width="12.25" style="2018" customWidth="1"/>
    <col min="3" max="3" width="11.5" style="2018" customWidth="1"/>
    <col min="4" max="4" width="12.625" style="2018" customWidth="1"/>
    <col min="5" max="6" width="10" style="2018" customWidth="1"/>
    <col min="7" max="7" width="10.75" style="2018" customWidth="1"/>
    <col min="8" max="8" width="10" style="2018" customWidth="1"/>
    <col min="9" max="9" width="11.125" style="2140" customWidth="1"/>
    <col min="10" max="10" width="10" style="2018" customWidth="1"/>
    <col min="11" max="11" width="10" style="2141" customWidth="1"/>
    <col min="12" max="13" width="10" style="2142" customWidth="1"/>
    <col min="14" max="14" width="10" style="2018" customWidth="1"/>
    <col min="15" max="15" width="10" style="2140" customWidth="1"/>
    <col min="16" max="17" width="10" style="2018"/>
    <col min="18" max="18" width="10" style="2018" customWidth="1"/>
    <col min="19" max="16384" width="10" style="2018"/>
  </cols>
  <sheetData>
    <row r="1" spans="1:19" ht="38.25" customHeight="1" thickBot="1">
      <c r="A1" s="2011" t="s">
        <v>1777</v>
      </c>
      <c r="B1" s="3007" t="str">
        <f>IF(B10="北京市","北京市",C10)&amp;F10&amp;IF('结果表-公寓'!G1="在建","出让国有建设用地使用权及在建建筑物",IF('结果表-公寓'!G1="土地","出让国有建设用地使用权",))&amp;B9&amp;"预评估"</f>
        <v>天津市南开区红旗路与楚雄道交口西北侧房地产抵押价值预评估</v>
      </c>
      <c r="C1" s="3008"/>
      <c r="D1" s="3008"/>
      <c r="E1" s="3008"/>
      <c r="F1" s="3008"/>
      <c r="G1" s="3008"/>
      <c r="H1" s="3008"/>
      <c r="I1" s="3009"/>
      <c r="J1" s="2012"/>
      <c r="K1" s="2013"/>
      <c r="L1" s="2014"/>
      <c r="M1" s="2014"/>
      <c r="N1" s="2015"/>
      <c r="O1" s="2016"/>
      <c r="P1" s="2015"/>
      <c r="Q1" s="2015"/>
      <c r="R1" s="2015"/>
      <c r="S1" s="2017" t="str">
        <f>IF(B10="北京市","北京市",C10)&amp;F10&amp;IF('结果表-公寓'!G1="在建","出让国有建设用地使用权及在建建筑物房地产抵押价值",IF('结果表-公寓'!G1="土地","出让国有建设用地使用权抵押价值",B9))</f>
        <v>天津市南开区红旗路与楚雄道交口西北侧房地产抵押价值</v>
      </c>
    </row>
    <row r="2" spans="1:19" ht="18" customHeight="1">
      <c r="A2" s="2012" t="s">
        <v>1778</v>
      </c>
      <c r="B2" s="1032"/>
      <c r="C2" s="2019"/>
      <c r="D2" s="2012"/>
      <c r="E2" s="2020"/>
      <c r="F2" s="2020"/>
      <c r="G2" s="2012"/>
      <c r="H2" s="2012"/>
      <c r="I2" s="2012"/>
      <c r="J2" s="2012"/>
      <c r="K2" s="2013"/>
      <c r="L2" s="2014"/>
      <c r="M2" s="2014"/>
      <c r="N2" s="2015"/>
      <c r="O2" s="2016"/>
      <c r="P2" s="2015"/>
      <c r="Q2" s="2015"/>
      <c r="R2" s="2015"/>
      <c r="S2" s="2017" t="str">
        <f>IF(B10="北京市","北京市",C10)&amp;F10&amp;IF('结果表-公寓'!G1="在建","出让国有建设用地使用权及在建建筑物房地产",IF('结果表-公寓'!G1="土地","出让国有建设用地使用权","房地产"))</f>
        <v>天津市南开区红旗路与楚雄道交口西北侧房地产</v>
      </c>
    </row>
    <row r="3" spans="1:19" ht="18" customHeight="1">
      <c r="A3" s="2021" t="s">
        <v>1779</v>
      </c>
      <c r="B3" s="2022">
        <v>43061</v>
      </c>
      <c r="C3" s="2023" t="s">
        <v>1780</v>
      </c>
      <c r="D3" s="2022">
        <v>43061</v>
      </c>
      <c r="E3" s="2012"/>
      <c r="F3" s="2012"/>
      <c r="G3" s="2012"/>
      <c r="H3" s="2012"/>
      <c r="I3" s="2012"/>
      <c r="J3" s="2012"/>
      <c r="K3" s="2013"/>
      <c r="L3" s="2014"/>
      <c r="M3" s="2014"/>
      <c r="N3" s="2015"/>
      <c r="O3" s="2016"/>
      <c r="P3" s="2015"/>
      <c r="Q3" s="2015"/>
      <c r="R3" s="2015"/>
      <c r="S3" s="2017"/>
    </row>
    <row r="4" spans="1:19" ht="18" customHeight="1" thickBot="1">
      <c r="A4" s="2024" t="s">
        <v>1781</v>
      </c>
      <c r="B4" s="2025" t="s">
        <v>3037</v>
      </c>
      <c r="C4" s="1030">
        <f ca="1">SUMIF(注册房地产估价师,B4,估价师及机构信息!B3:B24)</f>
        <v>1120050019</v>
      </c>
      <c r="D4" s="2025" t="s">
        <v>3038</v>
      </c>
      <c r="E4" s="1031">
        <f ca="1">SUMIF(注册房地产估价师,D4,估价师及机构信息!B3:B24)</f>
        <v>1120070131</v>
      </c>
      <c r="F4" s="2025" t="s">
        <v>70</v>
      </c>
      <c r="G4" s="2026">
        <f>SUMIF(注册房地产估价师,F4,估价师及机构信息!B3:B24)</f>
        <v>0</v>
      </c>
      <c r="H4" s="2025" t="s">
        <v>70</v>
      </c>
      <c r="I4" s="2027">
        <f>SUMIF(注册房地产估价师,H4,估价师及机构信息!B3:B24)</f>
        <v>0</v>
      </c>
      <c r="J4" s="2028"/>
      <c r="K4" s="2029" t="str">
        <f ca="1">CONCATENATE(B4,"（注册号：",C4,")、",D4,"（注册号：",E4,")")</f>
        <v>王鹏（注册号：1120050019)、郑燚（注册号：1120070131)</v>
      </c>
      <c r="L4" s="2014"/>
      <c r="M4" s="2014"/>
      <c r="N4" s="2015"/>
      <c r="O4" s="2016"/>
      <c r="P4" s="2015"/>
      <c r="Q4" s="2015"/>
      <c r="R4" s="2015"/>
      <c r="S4" s="2017"/>
    </row>
    <row r="5" spans="1:19" ht="18" customHeight="1" thickTop="1">
      <c r="A5" s="2030" t="s">
        <v>1782</v>
      </c>
      <c r="B5" s="2942" t="s">
        <v>3171</v>
      </c>
      <c r="C5" s="2031"/>
      <c r="D5" s="2032"/>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thickBot="1">
      <c r="A6" s="2033" t="s">
        <v>1783</v>
      </c>
      <c r="B6" s="2943" t="s">
        <v>3172</v>
      </c>
      <c r="C6" s="2034"/>
      <c r="D6" s="2035"/>
      <c r="E6" s="2020"/>
      <c r="F6" s="2028"/>
      <c r="G6" s="2028"/>
      <c r="H6" s="2028"/>
      <c r="I6" s="2028"/>
      <c r="J6" s="2028"/>
      <c r="K6" s="2036" t="str">
        <f>IF(COUNTIF(B6,"*上海银行*"),"上海银行","")</f>
        <v/>
      </c>
      <c r="L6" s="2014"/>
      <c r="M6" s="2014"/>
      <c r="N6" s="2015"/>
      <c r="O6" s="2016"/>
      <c r="P6" s="2015"/>
      <c r="Q6" s="2015"/>
      <c r="R6" s="2015"/>
    </row>
    <row r="7" spans="1:19" ht="18" customHeight="1" thickTop="1">
      <c r="A7" s="2033" t="s">
        <v>1784</v>
      </c>
      <c r="B7" s="2942" t="s">
        <v>3171</v>
      </c>
      <c r="C7" s="2034"/>
      <c r="D7" s="2035"/>
      <c r="E7" s="2020"/>
      <c r="F7" s="2028"/>
      <c r="G7" s="2028"/>
      <c r="H7" s="2028"/>
      <c r="I7" s="2028"/>
      <c r="J7" s="2028"/>
      <c r="K7" s="2037"/>
      <c r="L7" s="2014"/>
      <c r="M7" s="2014"/>
      <c r="N7" s="2015"/>
      <c r="O7" s="2016"/>
      <c r="P7" s="2015"/>
      <c r="Q7" s="2015"/>
      <c r="R7" s="2015"/>
    </row>
    <row r="8" spans="1:19" ht="18" customHeight="1">
      <c r="A8" s="2033" t="s">
        <v>1785</v>
      </c>
      <c r="B8" s="2038" t="s">
        <v>3039</v>
      </c>
      <c r="C8" s="2039"/>
      <c r="D8" s="3010" t="s">
        <v>1786</v>
      </c>
      <c r="E8" s="2040" t="s">
        <v>3040</v>
      </c>
      <c r="F8" s="2041"/>
      <c r="G8" s="2012"/>
      <c r="H8" s="2012"/>
      <c r="I8" s="2012"/>
      <c r="J8" s="2028"/>
      <c r="K8" s="2029"/>
      <c r="L8" s="2014"/>
      <c r="M8" s="2014"/>
      <c r="N8" s="2015"/>
      <c r="O8" s="2016"/>
      <c r="P8" s="2015"/>
      <c r="Q8" s="2015"/>
      <c r="R8" s="2015"/>
    </row>
    <row r="9" spans="1:19" ht="18" customHeight="1" thickBot="1">
      <c r="A9" s="2026" t="s">
        <v>1787</v>
      </c>
      <c r="B9" s="2042" t="s">
        <v>3040</v>
      </c>
      <c r="C9" s="2043"/>
      <c r="D9" s="3011"/>
      <c r="E9" s="2042" t="s">
        <v>70</v>
      </c>
      <c r="F9" s="2044"/>
      <c r="G9" s="2045"/>
      <c r="H9" s="2045"/>
      <c r="I9" s="2045"/>
      <c r="J9" s="2028"/>
      <c r="K9" s="2037"/>
      <c r="L9" s="2014"/>
      <c r="M9" s="2014"/>
      <c r="N9" s="2015"/>
      <c r="O9" s="2016"/>
      <c r="P9" s="2015"/>
      <c r="Q9" s="2015"/>
      <c r="R9" s="2015"/>
    </row>
    <row r="10" spans="1:19" ht="18" customHeight="1" thickTop="1">
      <c r="A10" s="2046" t="s">
        <v>1788</v>
      </c>
      <c r="B10" s="2047" t="s">
        <v>3041</v>
      </c>
      <c r="C10" s="2927" t="s">
        <v>3042</v>
      </c>
      <c r="D10" s="2032"/>
      <c r="E10" s="2048" t="s">
        <v>1789</v>
      </c>
      <c r="F10" s="2928" t="s">
        <v>3120</v>
      </c>
      <c r="G10" s="2049"/>
      <c r="H10" s="2050"/>
      <c r="I10" s="2032"/>
      <c r="J10" s="2028"/>
      <c r="K10" s="2037"/>
      <c r="L10" s="2014"/>
      <c r="M10" s="2014"/>
      <c r="N10" s="2015"/>
      <c r="O10" s="2016"/>
      <c r="P10" s="2015"/>
      <c r="Q10" s="2015"/>
      <c r="R10" s="2015"/>
    </row>
    <row r="11" spans="1:19" ht="18" customHeight="1">
      <c r="A11" s="2051" t="s">
        <v>1790</v>
      </c>
      <c r="B11" s="2052" t="s">
        <v>3043</v>
      </c>
      <c r="C11" s="2944" t="s">
        <v>3173</v>
      </c>
      <c r="D11" s="2053"/>
      <c r="E11" s="2028"/>
      <c r="F11" s="2028"/>
      <c r="G11" s="2028"/>
      <c r="H11" s="2028"/>
      <c r="I11" s="2028"/>
      <c r="J11" s="2028"/>
      <c r="K11" s="2037"/>
      <c r="L11" s="2014"/>
      <c r="M11" s="2014"/>
      <c r="N11" s="2015"/>
      <c r="O11" s="2016"/>
      <c r="P11" s="2015"/>
      <c r="Q11" s="2015"/>
      <c r="R11" s="2015"/>
    </row>
    <row r="12" spans="1:19" ht="18" customHeight="1">
      <c r="A12" s="2054" t="s">
        <v>1791</v>
      </c>
      <c r="B12" s="2052" t="s">
        <v>3044</v>
      </c>
      <c r="C12" s="2055" t="s">
        <v>1792</v>
      </c>
      <c r="D12" s="2056" t="s">
        <v>1793</v>
      </c>
      <c r="E12" s="2056" t="s">
        <v>1794</v>
      </c>
      <c r="F12" s="2056" t="s">
        <v>1795</v>
      </c>
      <c r="G12" s="2056" t="s">
        <v>1796</v>
      </c>
      <c r="H12" s="2056" t="s">
        <v>1797</v>
      </c>
      <c r="I12" s="2056" t="s">
        <v>1798</v>
      </c>
      <c r="J12" s="2028"/>
      <c r="K12" s="2037"/>
      <c r="L12" s="2014"/>
      <c r="M12" s="2014"/>
      <c r="N12" s="2015"/>
      <c r="O12" s="2016"/>
      <c r="P12" s="2015"/>
      <c r="Q12" s="2015"/>
      <c r="R12" s="2015"/>
    </row>
    <row r="13" spans="1:19" ht="18" customHeight="1">
      <c r="A13" s="2057"/>
      <c r="B13" s="2058"/>
      <c r="C13" s="2059" t="s">
        <v>1799</v>
      </c>
      <c r="D13" s="2060"/>
      <c r="E13" s="2060">
        <v>54479</v>
      </c>
      <c r="F13" s="2060">
        <v>58131</v>
      </c>
      <c r="G13" s="2060"/>
      <c r="H13" s="2060"/>
      <c r="I13" s="1040"/>
      <c r="J13" s="2028"/>
      <c r="K13" s="2037"/>
      <c r="L13" s="2014"/>
      <c r="M13" s="2014"/>
      <c r="N13" s="2015"/>
      <c r="O13" s="2016"/>
      <c r="P13" s="2015"/>
      <c r="Q13" s="2015"/>
      <c r="R13" s="2015"/>
    </row>
    <row r="14" spans="1:19" ht="18" customHeight="1">
      <c r="A14" s="2057"/>
      <c r="B14" s="2058"/>
      <c r="C14" s="2059" t="s">
        <v>1800</v>
      </c>
      <c r="D14" s="1043"/>
      <c r="E14" s="1043">
        <v>40</v>
      </c>
      <c r="F14" s="1043">
        <v>50</v>
      </c>
      <c r="G14" s="1043"/>
      <c r="H14" s="1043"/>
      <c r="I14" s="1043"/>
      <c r="J14" s="2028"/>
      <c r="K14" s="2061"/>
      <c r="L14" s="2014"/>
      <c r="M14" s="2014"/>
      <c r="N14" s="2015"/>
      <c r="O14" s="2016"/>
      <c r="P14" s="2015"/>
      <c r="Q14" s="2015"/>
      <c r="R14" s="2015"/>
    </row>
    <row r="15" spans="1:19" ht="18" customHeight="1">
      <c r="A15" s="2046"/>
      <c r="B15" s="2062"/>
      <c r="C15" s="2059" t="s">
        <v>1801</v>
      </c>
      <c r="D15" s="1042" t="str">
        <f>IF(B12="出让",IF(D13="","",ROUNDDOWN(MIN((D13-$D$3)/365,D14),2)),D14)</f>
        <v/>
      </c>
      <c r="E15" s="1042">
        <f>IF(B12="出让",IF(E13="","",ROUNDDOWN(MIN((E13-$D$3)/365,E14),2)),E14)</f>
        <v>31.28</v>
      </c>
      <c r="F15" s="1042">
        <f>IF(B12="出让",IF(F13="","",ROUNDDOWN(MIN((F13-$D$3)/365,F14),2)),F14)</f>
        <v>41.28</v>
      </c>
      <c r="G15" s="1042" t="str">
        <f>IF(B12="出让",IF(G13="","",ROUNDDOWN(MIN((G13-$D$3)/365,G14),2)),G14)</f>
        <v/>
      </c>
      <c r="H15" s="1042" t="str">
        <f>IF(B12="出让",IF(H13="","",ROUNDDOWN(MIN((H13-$D$3)/365,H14),2)),H14)</f>
        <v/>
      </c>
      <c r="I15" s="1042" t="str">
        <f>IF(B12="出让",IF(I13="","",ROUNDDOWN(MIN((I13-$D$3)/365,I14),2)),I14)</f>
        <v/>
      </c>
      <c r="J15" s="2028"/>
      <c r="K15" s="2063"/>
      <c r="L15" s="2064"/>
      <c r="M15" s="2064"/>
      <c r="N15" s="2065"/>
      <c r="O15" s="2064"/>
      <c r="P15" s="2065"/>
      <c r="Q15" s="2015"/>
      <c r="R15" s="2015"/>
    </row>
    <row r="16" spans="1:19" ht="30.75" customHeight="1">
      <c r="A16" s="2048" t="s">
        <v>1802</v>
      </c>
      <c r="B16" s="3017" t="s">
        <v>3121</v>
      </c>
      <c r="C16" s="3018"/>
      <c r="D16" s="3019"/>
      <c r="E16" s="2066" t="s">
        <v>1803</v>
      </c>
      <c r="F16" s="3020" t="s">
        <v>3122</v>
      </c>
      <c r="G16" s="3021"/>
      <c r="H16" s="3021"/>
      <c r="I16" s="3022"/>
      <c r="J16" s="2015"/>
      <c r="K16" s="2063"/>
      <c r="L16" s="2064"/>
      <c r="M16" s="2064"/>
      <c r="N16" s="2065"/>
      <c r="O16" s="2064"/>
      <c r="P16" s="2065"/>
      <c r="Q16" s="2015"/>
      <c r="R16" s="2015"/>
    </row>
    <row r="17" spans="1:22" ht="18" customHeight="1">
      <c r="A17" s="2067" t="s">
        <v>1804</v>
      </c>
      <c r="B17" s="2021" t="s">
        <v>1805</v>
      </c>
      <c r="C17" s="1047">
        <f>'数据-汇总表'!E3</f>
        <v>28703.600000000002</v>
      </c>
      <c r="D17" s="2068" t="s">
        <v>1806</v>
      </c>
      <c r="E17" s="3023" t="s">
        <v>3123</v>
      </c>
      <c r="F17" s="3024"/>
      <c r="G17" s="3024"/>
      <c r="H17" s="3024"/>
      <c r="I17" s="3025"/>
      <c r="J17" s="2015"/>
      <c r="K17" s="2069"/>
      <c r="L17" s="2064"/>
      <c r="M17" s="2064"/>
      <c r="N17" s="2065"/>
      <c r="O17" s="2064"/>
      <c r="P17" s="2065"/>
      <c r="Q17" s="2015"/>
      <c r="R17" s="2015"/>
      <c r="S17" s="2015"/>
      <c r="T17" s="2015"/>
      <c r="U17" s="2015"/>
      <c r="V17" s="2015"/>
    </row>
    <row r="18" spans="1:22" ht="36" customHeight="1" thickBot="1">
      <c r="A18" s="2070" t="s">
        <v>1807</v>
      </c>
      <c r="B18" s="2024" t="s">
        <v>1808</v>
      </c>
      <c r="C18" s="1429">
        <f>'数据-汇总表'!D3</f>
        <v>2337.9</v>
      </c>
      <c r="D18" s="2071" t="s">
        <v>1806</v>
      </c>
      <c r="E18" s="3026" t="s">
        <v>3174</v>
      </c>
      <c r="F18" s="3027"/>
      <c r="G18" s="3027"/>
      <c r="H18" s="3027"/>
      <c r="I18" s="3028"/>
      <c r="J18" s="2015"/>
      <c r="K18" s="2069"/>
      <c r="L18" s="2064"/>
      <c r="M18" s="2064"/>
      <c r="N18" s="2065"/>
      <c r="O18" s="2064"/>
      <c r="P18" s="2065"/>
      <c r="Q18" s="2015"/>
      <c r="R18" s="2015"/>
      <c r="S18" s="2015"/>
      <c r="T18" s="2015"/>
      <c r="U18" s="2015"/>
      <c r="V18" s="2015"/>
    </row>
    <row r="19" spans="1:22" ht="37.5" customHeight="1" thickTop="1" thickBot="1">
      <c r="A19" s="371" t="s">
        <v>1809</v>
      </c>
      <c r="B19" s="350" t="s">
        <v>1810</v>
      </c>
      <c r="C19" s="2072" t="s">
        <v>3045</v>
      </c>
      <c r="D19" s="2073" t="s">
        <v>1811</v>
      </c>
      <c r="E19" s="2074"/>
      <c r="F19" s="2075" t="str">
        <f>IF(AND(C19="是",E19="否"),"是否提供他项权证或相关说明","")</f>
        <v/>
      </c>
      <c r="G19" s="2076"/>
      <c r="H19" s="2028"/>
      <c r="I19" s="2028"/>
      <c r="J19" s="2028"/>
      <c r="K19" s="2037"/>
      <c r="L19" s="2014"/>
      <c r="M19" s="2014"/>
      <c r="N19" s="2065"/>
      <c r="O19" s="2064"/>
      <c r="P19" s="2065"/>
      <c r="Q19" s="2015"/>
      <c r="R19" s="2015"/>
      <c r="S19" s="2015"/>
      <c r="T19" s="2015"/>
      <c r="U19" s="2015"/>
      <c r="V19" s="2015"/>
    </row>
    <row r="20" spans="1:22" ht="18" customHeight="1">
      <c r="A20" s="2077" t="s">
        <v>1812</v>
      </c>
      <c r="B20" s="3013" t="s">
        <v>1813</v>
      </c>
      <c r="C20" s="3014"/>
      <c r="D20" s="3015" t="s">
        <v>1814</v>
      </c>
      <c r="E20" s="3016"/>
      <c r="F20" s="2078" t="s">
        <v>1815</v>
      </c>
      <c r="G20" s="2028"/>
      <c r="H20" s="2028"/>
      <c r="I20" s="2028"/>
      <c r="J20" s="2028"/>
      <c r="K20" s="3012" t="s">
        <v>1816</v>
      </c>
      <c r="L20" s="745"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14"/>
      <c r="N20" s="2065"/>
      <c r="O20" s="2064"/>
      <c r="P20" s="2065"/>
      <c r="Q20" s="2015"/>
      <c r="R20" s="2015"/>
      <c r="S20" s="2015"/>
      <c r="T20" s="2015"/>
      <c r="U20" s="2015"/>
      <c r="V20" s="2015"/>
    </row>
    <row r="21" spans="1:22" ht="24.75" customHeight="1">
      <c r="A21" s="2077"/>
      <c r="B21" s="2079" t="s">
        <v>3124</v>
      </c>
      <c r="C21" s="2080" t="s">
        <v>3125</v>
      </c>
      <c r="D21" s="2081"/>
      <c r="E21" s="2082"/>
      <c r="F21" s="2083"/>
      <c r="G21" s="2028"/>
      <c r="H21" s="2028"/>
      <c r="I21" s="2028"/>
      <c r="J21" s="2028"/>
      <c r="K21" s="301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4"/>
      <c r="N21" s="2065"/>
      <c r="O21" s="2064"/>
      <c r="P21" s="2065"/>
      <c r="Q21" s="2015"/>
      <c r="R21" s="2015"/>
      <c r="S21" s="2015"/>
      <c r="T21" s="2015"/>
      <c r="U21" s="2015"/>
      <c r="V21" s="2015"/>
    </row>
    <row r="22" spans="1:22" ht="24.75" customHeight="1" thickBot="1">
      <c r="A22" s="2077"/>
      <c r="B22" s="2084"/>
      <c r="C22" s="2080"/>
      <c r="D22" s="2012"/>
      <c r="E22" s="2012"/>
      <c r="F22" s="2085"/>
      <c r="G22" s="2028"/>
      <c r="H22" s="2028"/>
      <c r="I22" s="2028"/>
      <c r="J22" s="2028"/>
      <c r="K22" s="3012"/>
      <c r="L22" s="74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65"/>
      <c r="O22" s="2064"/>
      <c r="P22" s="2065"/>
      <c r="Q22" s="2015"/>
      <c r="R22" s="2015"/>
      <c r="S22" s="2015"/>
      <c r="T22" s="2015"/>
      <c r="U22" s="2015"/>
      <c r="V22" s="2015"/>
    </row>
    <row r="23" spans="1:22" ht="18" customHeight="1">
      <c r="A23" s="2086" t="s">
        <v>1817</v>
      </c>
      <c r="B23" s="181" t="s">
        <v>1818</v>
      </c>
      <c r="C23" s="2087"/>
      <c r="D23" s="2088" t="s">
        <v>1818</v>
      </c>
      <c r="E23" s="2089"/>
      <c r="F23" s="2085"/>
      <c r="G23" s="2028"/>
      <c r="H23" s="2028"/>
      <c r="I23" s="2028"/>
      <c r="J23" s="2028"/>
      <c r="K23" s="2090"/>
      <c r="L23" s="745"/>
      <c r="M23" s="2014"/>
      <c r="N23" s="2065"/>
      <c r="O23" s="2064"/>
      <c r="P23" s="2065"/>
      <c r="Q23" s="2015"/>
      <c r="R23" s="2015"/>
      <c r="S23" s="2015"/>
      <c r="T23" s="2015"/>
      <c r="U23" s="2015"/>
      <c r="V23" s="2015"/>
    </row>
    <row r="24" spans="1:22" ht="18" customHeight="1">
      <c r="A24" s="2091"/>
      <c r="B24" s="181" t="s">
        <v>1819</v>
      </c>
      <c r="C24" s="2092"/>
      <c r="D24" s="2086" t="s">
        <v>1819</v>
      </c>
      <c r="E24" s="2093"/>
      <c r="F24" s="2085"/>
      <c r="G24" s="2028"/>
      <c r="H24" s="2028"/>
      <c r="I24" s="2028"/>
      <c r="J24" s="2028"/>
      <c r="K24" s="2090"/>
      <c r="L24" s="745"/>
      <c r="M24" s="2014"/>
      <c r="N24" s="2065"/>
      <c r="O24" s="2064"/>
      <c r="P24" s="2065"/>
      <c r="Q24" s="2015"/>
      <c r="R24" s="2015"/>
      <c r="S24" s="2015"/>
      <c r="T24" s="2015"/>
      <c r="U24" s="2015"/>
      <c r="V24" s="2015"/>
    </row>
    <row r="25" spans="1:22" ht="18" customHeight="1">
      <c r="A25" s="2091"/>
      <c r="B25" s="181" t="s">
        <v>1820</v>
      </c>
      <c r="C25" s="2092"/>
      <c r="D25" s="2086" t="s">
        <v>1820</v>
      </c>
      <c r="E25" s="2093"/>
      <c r="F25" s="2085"/>
      <c r="G25" s="2028"/>
      <c r="H25" s="2028"/>
      <c r="I25" s="2028"/>
      <c r="J25" s="2028"/>
      <c r="K25" s="2037"/>
      <c r="L25" s="2014"/>
      <c r="M25" s="2014"/>
      <c r="N25" s="2065"/>
      <c r="O25" s="2064"/>
      <c r="P25" s="2065"/>
      <c r="Q25" s="2015"/>
      <c r="R25" s="2015"/>
      <c r="S25" s="2015"/>
      <c r="T25" s="2015"/>
      <c r="U25" s="2015"/>
      <c r="V25" s="2015"/>
    </row>
    <row r="26" spans="1:22" ht="18" customHeight="1" thickBot="1">
      <c r="A26" s="2094"/>
      <c r="B26" s="2095" t="s">
        <v>1821</v>
      </c>
      <c r="C26" s="2096"/>
      <c r="D26" s="2097" t="s">
        <v>1822</v>
      </c>
      <c r="E26" s="2098"/>
      <c r="F26" s="2099"/>
      <c r="G26" s="2045"/>
      <c r="H26" s="2045"/>
      <c r="I26" s="2045"/>
      <c r="J26" s="2028"/>
      <c r="K26" s="2037"/>
      <c r="L26" s="2014"/>
      <c r="M26" s="2014"/>
      <c r="N26" s="2065"/>
      <c r="O26" s="2064"/>
      <c r="P26" s="2065"/>
      <c r="Q26" s="2015"/>
      <c r="R26" s="2015"/>
      <c r="S26" s="2015"/>
      <c r="T26" s="2015"/>
      <c r="U26" s="2015"/>
      <c r="V26" s="2015"/>
    </row>
    <row r="27" spans="1:22" ht="18" customHeight="1" thickTop="1">
      <c r="A27" s="3030" t="s">
        <v>1823</v>
      </c>
      <c r="B27" s="2046" t="s">
        <v>1824</v>
      </c>
      <c r="C27" s="2100" t="s">
        <v>3175</v>
      </c>
      <c r="D27" s="2101"/>
      <c r="E27" s="2028"/>
      <c r="F27" s="2028"/>
      <c r="G27" s="2028"/>
      <c r="H27" s="2028"/>
      <c r="I27" s="2028"/>
      <c r="J27" s="2015"/>
      <c r="K27" s="2063"/>
      <c r="L27" s="2064"/>
      <c r="M27" s="2064"/>
      <c r="N27" s="2065"/>
      <c r="O27" s="2064"/>
      <c r="P27" s="2065"/>
      <c r="Q27" s="2015"/>
      <c r="R27" s="2015"/>
      <c r="S27" s="2015"/>
      <c r="T27" s="2015"/>
      <c r="U27" s="2015"/>
      <c r="V27" s="2015"/>
    </row>
    <row r="28" spans="1:22" ht="18" customHeight="1">
      <c r="A28" s="3030"/>
      <c r="B28" s="2021" t="s">
        <v>1825</v>
      </c>
      <c r="C28" s="2102" t="s">
        <v>3047</v>
      </c>
      <c r="D28" s="2103"/>
      <c r="E28" s="2028"/>
      <c r="F28" s="2028"/>
      <c r="G28" s="2028"/>
      <c r="H28" s="2028"/>
      <c r="I28" s="2028"/>
      <c r="J28" s="2015"/>
      <c r="K28" s="2104"/>
      <c r="L28" s="2014"/>
      <c r="M28" s="2014"/>
      <c r="N28" s="2015"/>
      <c r="O28" s="2016"/>
      <c r="P28" s="2015"/>
      <c r="Q28" s="2015"/>
      <c r="R28" s="2015"/>
      <c r="S28" s="2015"/>
      <c r="T28" s="2015"/>
      <c r="U28" s="2015"/>
      <c r="V28" s="2015"/>
    </row>
    <row r="29" spans="1:22" ht="18" customHeight="1">
      <c r="A29" s="3030"/>
      <c r="B29" s="2021" t="s">
        <v>1826</v>
      </c>
      <c r="C29" s="2105" t="s">
        <v>3045</v>
      </c>
      <c r="D29" s="2106"/>
      <c r="E29" s="2028"/>
      <c r="F29" s="2028"/>
      <c r="G29" s="2028"/>
      <c r="H29" s="2028"/>
      <c r="I29" s="2028"/>
      <c r="J29" s="2015"/>
      <c r="K29" s="2104"/>
      <c r="L29" s="2014"/>
      <c r="M29" s="2014"/>
      <c r="N29" s="2015"/>
      <c r="O29" s="2016"/>
      <c r="P29" s="2015"/>
      <c r="Q29" s="2015"/>
      <c r="R29" s="2015"/>
      <c r="S29" s="2015"/>
      <c r="T29" s="2015"/>
      <c r="U29" s="2015"/>
      <c r="V29" s="2015"/>
    </row>
    <row r="30" spans="1:22" ht="18" customHeight="1">
      <c r="A30" s="3031"/>
      <c r="B30" s="2021" t="s">
        <v>1827</v>
      </c>
      <c r="C30" s="3032"/>
      <c r="D30" s="3033"/>
      <c r="E30" s="2028"/>
      <c r="F30" s="2028"/>
      <c r="G30" s="2028"/>
      <c r="H30" s="2028"/>
      <c r="I30" s="2028"/>
      <c r="J30" s="2015"/>
      <c r="K30" s="2104"/>
      <c r="L30" s="2014"/>
      <c r="M30" s="2014"/>
      <c r="N30" s="2015"/>
      <c r="O30" s="2016"/>
      <c r="P30" s="2015"/>
      <c r="Q30" s="2015"/>
      <c r="R30" s="2015"/>
      <c r="S30" s="2015"/>
      <c r="T30" s="2015"/>
      <c r="U30" s="2015"/>
      <c r="V30" s="2015"/>
    </row>
    <row r="31" spans="1:22" ht="18" customHeight="1">
      <c r="A31" s="3034" t="s">
        <v>1828</v>
      </c>
      <c r="B31" s="2107" t="s">
        <v>3046</v>
      </c>
      <c r="C31" s="2108" t="str">
        <f>IF(B31="现房","成新及维护状况正常否",IF(B31="在建","工程状态是否正常",IF(B31="土地","是否闲置","-")))</f>
        <v>成新及维护状况正常否</v>
      </c>
      <c r="D31" s="2109"/>
      <c r="E31" s="2110"/>
      <c r="F31" s="2028"/>
      <c r="G31" s="2028"/>
      <c r="H31" s="2028"/>
      <c r="I31" s="2028"/>
      <c r="J31" s="2028"/>
      <c r="K31" s="2036"/>
      <c r="L31" s="2014"/>
      <c r="M31" s="2014"/>
      <c r="N31" s="2015"/>
      <c r="O31" s="2016"/>
      <c r="P31" s="2015"/>
      <c r="Q31" s="2015"/>
      <c r="R31" s="2015"/>
      <c r="S31" s="2015"/>
      <c r="T31" s="2015"/>
      <c r="U31" s="2015"/>
      <c r="V31" s="2015"/>
    </row>
    <row r="32" spans="1:22" ht="18" customHeight="1">
      <c r="A32" s="3035"/>
      <c r="B32" s="2107"/>
      <c r="C32" s="2108" t="str">
        <f>IF(B32="现房","成新及维护状况是否正常",IF(B32="在建","工程状态是否正常",IF(B32="土地","是否闲置","-")))</f>
        <v>-</v>
      </c>
      <c r="D32" s="2109"/>
      <c r="E32" s="2110"/>
      <c r="F32" s="2028"/>
      <c r="G32" s="2028"/>
      <c r="H32" s="2028"/>
      <c r="I32" s="2028"/>
      <c r="J32" s="2028"/>
      <c r="K32" s="2037"/>
      <c r="L32" s="2014"/>
      <c r="M32" s="2014"/>
      <c r="N32" s="2015"/>
      <c r="O32" s="2016"/>
      <c r="P32" s="2015"/>
      <c r="Q32" s="2015"/>
      <c r="R32" s="2015"/>
      <c r="S32" s="2015"/>
      <c r="T32" s="2015"/>
      <c r="U32" s="2015"/>
      <c r="V32" s="2015"/>
    </row>
    <row r="33" spans="1:22" ht="18" customHeight="1">
      <c r="A33" s="3035"/>
      <c r="B33" s="2111"/>
      <c r="C33" s="2051" t="str">
        <f>IF(B33="现房","成新及维护状况是否正常",IF(B33="在建","工程状态是否正常",IF(B33="土地","是否闲置","-")))</f>
        <v>-</v>
      </c>
      <c r="D33" s="2112"/>
      <c r="E33" s="2113"/>
      <c r="F33" s="2028"/>
      <c r="G33" s="2028"/>
      <c r="H33" s="2028"/>
      <c r="I33" s="2028"/>
      <c r="J33" s="2028"/>
      <c r="K33" s="2037"/>
      <c r="L33" s="2014"/>
      <c r="M33" s="2014"/>
      <c r="N33" s="2015"/>
      <c r="O33" s="2016"/>
      <c r="P33" s="2015"/>
      <c r="Q33" s="2015"/>
      <c r="R33" s="2015"/>
      <c r="S33" s="2015"/>
      <c r="T33" s="2015"/>
      <c r="U33" s="2015"/>
      <c r="V33" s="2015"/>
    </row>
    <row r="34" spans="1:22" ht="18" customHeight="1">
      <c r="A34" s="2021" t="s">
        <v>1829</v>
      </c>
      <c r="B34" s="2114" t="s">
        <v>3048</v>
      </c>
      <c r="C34" s="2114" t="s">
        <v>3049</v>
      </c>
      <c r="D34" s="2114" t="s">
        <v>3050</v>
      </c>
      <c r="E34" s="2114" t="s">
        <v>3051</v>
      </c>
      <c r="F34" s="2114" t="s">
        <v>3052</v>
      </c>
      <c r="G34" s="2114" t="s">
        <v>3053</v>
      </c>
      <c r="H34" s="2114" t="s">
        <v>3054</v>
      </c>
      <c r="I34" s="2028"/>
      <c r="J34" s="2028"/>
      <c r="K34" s="1781">
        <f>COUNTIF(B34:H34,"——")</f>
        <v>0</v>
      </c>
      <c r="L34" s="2055" t="s">
        <v>1830</v>
      </c>
      <c r="M34" s="2055" t="s">
        <v>1831</v>
      </c>
      <c r="N34" s="2055" t="s">
        <v>1832</v>
      </c>
      <c r="O34" s="2055" t="s">
        <v>1833</v>
      </c>
      <c r="P34" s="2055" t="s">
        <v>1834</v>
      </c>
      <c r="Q34" s="2055" t="s">
        <v>1835</v>
      </c>
      <c r="R34" s="2055" t="s">
        <v>1836</v>
      </c>
      <c r="S34" s="3029" t="s">
        <v>1837</v>
      </c>
      <c r="T34" s="2115" t="str">
        <f>NUMBERSTRING(7-K34,1)&amp;"通"</f>
        <v>七通</v>
      </c>
      <c r="U34" s="2015"/>
      <c r="V34" s="2015"/>
    </row>
    <row r="35" spans="1:22" ht="18" customHeight="1">
      <c r="A35" s="2116"/>
      <c r="B35" s="3036" t="s">
        <v>1838</v>
      </c>
      <c r="C35" s="3036"/>
      <c r="D35" s="3036"/>
      <c r="E35" s="3036"/>
      <c r="F35" s="2117" t="str">
        <f>C10</f>
        <v>天津市</v>
      </c>
      <c r="G35" s="2028"/>
      <c r="H35" s="2028"/>
      <c r="I35" s="2028"/>
      <c r="J35" s="2028"/>
      <c r="K35" s="2055"/>
      <c r="L35" s="205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15"/>
      <c r="V35" s="2015"/>
    </row>
    <row r="36" spans="1:22" ht="18" customHeight="1">
      <c r="A36" s="2118"/>
      <c r="B36" s="2117" t="s">
        <v>1839</v>
      </c>
      <c r="C36" s="2117" t="s">
        <v>1840</v>
      </c>
      <c r="D36" s="2117" t="s">
        <v>1841</v>
      </c>
      <c r="E36" s="2117" t="s">
        <v>1842</v>
      </c>
      <c r="F36" s="2119"/>
      <c r="G36" s="2028"/>
      <c r="H36" s="2028"/>
      <c r="I36" s="2028"/>
      <c r="J36" s="2028"/>
      <c r="K36" s="2037"/>
      <c r="L36" s="2014"/>
      <c r="M36" s="2014"/>
      <c r="N36" s="2015"/>
      <c r="O36" s="2016"/>
      <c r="P36" s="2015"/>
      <c r="Q36" s="2015"/>
      <c r="R36" s="2015"/>
      <c r="S36" s="2015"/>
      <c r="T36" s="2015"/>
      <c r="U36" s="2015"/>
      <c r="V36" s="2015"/>
    </row>
    <row r="37" spans="1:22" ht="18" customHeight="1">
      <c r="A37" s="2120" t="s">
        <v>1843</v>
      </c>
      <c r="B37" s="2121"/>
      <c r="C37" s="2121"/>
      <c r="D37" s="2121"/>
      <c r="E37" s="2121"/>
      <c r="F37" s="2119"/>
      <c r="G37" s="2028"/>
      <c r="H37" s="2028"/>
      <c r="I37" s="2028"/>
      <c r="J37" s="2028"/>
      <c r="K37" s="2037"/>
      <c r="L37" s="2014"/>
      <c r="M37" s="2014"/>
      <c r="N37" s="2015"/>
      <c r="O37" s="2016"/>
      <c r="P37" s="2015"/>
      <c r="Q37" s="2015"/>
      <c r="R37" s="2015"/>
      <c r="S37" s="2015"/>
      <c r="T37" s="2015"/>
      <c r="U37" s="2015"/>
      <c r="V37" s="2015"/>
    </row>
    <row r="38" spans="1:22" ht="18" customHeight="1" thickBot="1">
      <c r="A38" s="2122" t="s">
        <v>1844</v>
      </c>
      <c r="B38" s="2123"/>
      <c r="C38" s="2123"/>
      <c r="D38" s="2123"/>
      <c r="E38" s="2123"/>
      <c r="F38" s="2124"/>
      <c r="G38" s="2045"/>
      <c r="H38" s="2045"/>
      <c r="I38" s="2045"/>
      <c r="J38" s="2028"/>
      <c r="K38" s="2037"/>
      <c r="L38" s="2014"/>
      <c r="M38" s="2014"/>
      <c r="N38" s="2015"/>
      <c r="O38" s="2016"/>
      <c r="P38" s="2015"/>
      <c r="Q38" s="2015"/>
      <c r="R38" s="2015"/>
      <c r="S38" s="2015"/>
      <c r="T38" s="2015"/>
      <c r="U38" s="2015"/>
      <c r="V38" s="2015"/>
    </row>
    <row r="39" spans="1:22" s="2129" customFormat="1" ht="18" customHeight="1" thickTop="1" thickBot="1">
      <c r="A39" s="2125" t="s">
        <v>1845</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5"/>
      <c r="B40" s="2015"/>
      <c r="C40" s="2015"/>
      <c r="D40" s="2015"/>
      <c r="E40" s="2015"/>
      <c r="F40" s="2015"/>
      <c r="G40" s="2015"/>
      <c r="H40" s="2015"/>
      <c r="I40" s="2130"/>
      <c r="J40" s="2065"/>
      <c r="K40" s="663"/>
      <c r="L40" s="2064"/>
      <c r="M40" s="2064"/>
      <c r="N40" s="2065"/>
      <c r="O40" s="2064"/>
      <c r="P40" s="2015"/>
      <c r="Q40" s="2015"/>
      <c r="R40" s="2015"/>
      <c r="S40" s="2015"/>
      <c r="T40" s="2015"/>
      <c r="U40" s="2015"/>
      <c r="V40" s="2015"/>
    </row>
    <row r="41" spans="1:22" ht="18" customHeight="1">
      <c r="A41" s="8" t="s">
        <v>1846</v>
      </c>
      <c r="B41" s="2131"/>
      <c r="C41" s="2132"/>
      <c r="D41" s="2015"/>
      <c r="E41" s="2015"/>
      <c r="F41" s="2015"/>
      <c r="G41" s="2015"/>
      <c r="H41" s="2015"/>
      <c r="I41" s="2016"/>
      <c r="J41" s="2015"/>
      <c r="K41" s="2104"/>
      <c r="L41" s="2014"/>
      <c r="M41" s="2014"/>
      <c r="N41" s="2015"/>
      <c r="O41" s="2016"/>
      <c r="P41" s="2015"/>
      <c r="Q41" s="2015"/>
      <c r="R41" s="2015"/>
      <c r="S41" s="2015"/>
      <c r="T41" s="2015"/>
      <c r="U41" s="2015"/>
      <c r="V41" s="2015"/>
    </row>
    <row r="42" spans="1:22" ht="18" customHeight="1">
      <c r="A42" s="2055" t="s">
        <v>1847</v>
      </c>
      <c r="B42" s="1781" t="s">
        <v>1848</v>
      </c>
      <c r="C42" s="1781" t="s">
        <v>1849</v>
      </c>
      <c r="D42" s="1781" t="s">
        <v>1850</v>
      </c>
      <c r="E42" s="1781" t="s">
        <v>1851</v>
      </c>
      <c r="F42" s="1781" t="s">
        <v>1852</v>
      </c>
      <c r="G42" s="1781" t="s">
        <v>1853</v>
      </c>
      <c r="H42" s="1781" t="s">
        <v>1854</v>
      </c>
      <c r="I42" s="1781" t="s">
        <v>1855</v>
      </c>
      <c r="J42" s="2133" t="s">
        <v>1856</v>
      </c>
      <c r="K42" s="2056" t="s">
        <v>1857</v>
      </c>
      <c r="L42" s="2056" t="s">
        <v>1858</v>
      </c>
      <c r="M42" s="2056" t="s">
        <v>1859</v>
      </c>
      <c r="N42" s="1781" t="s">
        <v>1860</v>
      </c>
      <c r="O42" s="1781" t="s">
        <v>1861</v>
      </c>
      <c r="P42" s="1781" t="s">
        <v>1862</v>
      </c>
      <c r="Q42" s="2055" t="s">
        <v>1863</v>
      </c>
      <c r="R42" s="2055" t="s">
        <v>1864</v>
      </c>
      <c r="S42" s="2015"/>
      <c r="T42" s="2015"/>
      <c r="U42" s="2015"/>
      <c r="V42" s="2015"/>
    </row>
    <row r="43" spans="1:22" s="2138" customFormat="1" ht="18" customHeight="1">
      <c r="A43" s="2134"/>
      <c r="B43" s="1257"/>
      <c r="C43" s="1257"/>
      <c r="D43" s="1257"/>
      <c r="E43" s="1257"/>
      <c r="F43" s="1257"/>
      <c r="G43" s="1257"/>
      <c r="H43" s="9"/>
      <c r="I43" s="9"/>
      <c r="J43" s="2135"/>
      <c r="K43" s="2136"/>
      <c r="L43" s="2136"/>
      <c r="M43" s="9"/>
      <c r="N43" s="1257"/>
      <c r="O43" s="9"/>
      <c r="P43" s="1257"/>
      <c r="Q43" s="1257"/>
      <c r="R43" s="1257"/>
      <c r="S43" s="2137"/>
      <c r="T43" s="2137"/>
      <c r="U43" s="2137"/>
      <c r="V43" s="2137"/>
    </row>
    <row r="44" spans="1:22" s="2138" customFormat="1" ht="18" customHeight="1">
      <c r="A44" s="2134"/>
      <c r="B44" s="2134"/>
      <c r="C44" s="1257"/>
      <c r="D44" s="1257"/>
      <c r="E44" s="1257"/>
      <c r="F44" s="1257"/>
      <c r="G44" s="1257"/>
      <c r="H44" s="9"/>
      <c r="I44" s="9"/>
      <c r="J44" s="2135"/>
      <c r="K44" s="2136"/>
      <c r="L44" s="2136"/>
      <c r="M44" s="9"/>
      <c r="N44" s="1257"/>
      <c r="O44" s="9"/>
      <c r="P44" s="1257"/>
      <c r="Q44" s="1257"/>
      <c r="R44" s="1257"/>
      <c r="S44" s="2137"/>
      <c r="T44" s="2137"/>
      <c r="U44" s="2137"/>
      <c r="V44" s="2137"/>
    </row>
    <row r="45" spans="1:22" s="2138" customFormat="1" ht="18" customHeight="1">
      <c r="A45" s="2134"/>
      <c r="B45" s="2134"/>
      <c r="C45" s="1257"/>
      <c r="D45" s="1257"/>
      <c r="E45" s="1257"/>
      <c r="F45" s="1257"/>
      <c r="G45" s="1257"/>
      <c r="H45" s="9"/>
      <c r="I45" s="9"/>
      <c r="J45" s="2135"/>
      <c r="K45" s="2136"/>
      <c r="L45" s="2136"/>
      <c r="M45" s="9"/>
      <c r="N45" s="1257"/>
      <c r="O45" s="9"/>
      <c r="P45" s="1257"/>
      <c r="Q45" s="1257"/>
      <c r="R45" s="1257"/>
      <c r="S45" s="2137"/>
      <c r="T45" s="2137"/>
      <c r="U45" s="2137"/>
      <c r="V45" s="2137"/>
    </row>
    <row r="46" spans="1:22" s="2138" customFormat="1" ht="18" customHeight="1">
      <c r="A46" s="2134"/>
      <c r="B46" s="2134"/>
      <c r="C46" s="1257"/>
      <c r="D46" s="1257"/>
      <c r="E46" s="1257"/>
      <c r="F46" s="1257"/>
      <c r="G46" s="1257"/>
      <c r="H46" s="9"/>
      <c r="I46" s="9"/>
      <c r="J46" s="2135"/>
      <c r="K46" s="2136"/>
      <c r="L46" s="2136"/>
      <c r="M46" s="9"/>
      <c r="N46" s="1257"/>
      <c r="O46" s="9"/>
      <c r="P46" s="1257"/>
      <c r="Q46" s="1257"/>
      <c r="R46" s="1257"/>
      <c r="S46" s="2137"/>
      <c r="T46" s="2137"/>
      <c r="U46" s="2137"/>
      <c r="V46" s="2137"/>
    </row>
    <row r="47" spans="1:22" s="2138" customFormat="1" ht="18" customHeight="1">
      <c r="A47" s="2134"/>
      <c r="B47" s="2134"/>
      <c r="C47" s="1257"/>
      <c r="D47" s="1257"/>
      <c r="E47" s="1257"/>
      <c r="F47" s="1257"/>
      <c r="G47" s="1257"/>
      <c r="H47" s="9"/>
      <c r="I47" s="9"/>
      <c r="J47" s="2135"/>
      <c r="K47" s="2136"/>
      <c r="L47" s="2136"/>
      <c r="M47" s="9"/>
      <c r="N47" s="1257"/>
      <c r="O47" s="9"/>
      <c r="P47" s="1257"/>
      <c r="Q47" s="1257"/>
      <c r="R47" s="1257"/>
      <c r="S47" s="2137"/>
      <c r="T47" s="2137"/>
      <c r="U47" s="2137"/>
      <c r="V47" s="2137"/>
    </row>
    <row r="48" spans="1:22" s="2138" customFormat="1" ht="18" customHeight="1">
      <c r="A48" s="2134"/>
      <c r="B48" s="2134"/>
      <c r="C48" s="1257"/>
      <c r="D48" s="1257"/>
      <c r="E48" s="1257"/>
      <c r="F48" s="1257"/>
      <c r="G48" s="1257"/>
      <c r="H48" s="9"/>
      <c r="I48" s="9"/>
      <c r="J48" s="2135"/>
      <c r="K48" s="2136"/>
      <c r="L48" s="2136"/>
      <c r="M48" s="9"/>
      <c r="N48" s="1257"/>
      <c r="O48" s="9"/>
      <c r="P48" s="1257"/>
      <c r="Q48" s="1257"/>
      <c r="R48" s="1257"/>
      <c r="S48" s="2137"/>
      <c r="T48" s="2137"/>
      <c r="U48" s="2137"/>
      <c r="V48" s="2137"/>
    </row>
    <row r="49" spans="1:22" s="2138" customFormat="1" ht="18" customHeight="1">
      <c r="A49" s="2134"/>
      <c r="B49" s="2134"/>
      <c r="C49" s="1257"/>
      <c r="D49" s="1257"/>
      <c r="E49" s="1257"/>
      <c r="F49" s="1257"/>
      <c r="G49" s="1257"/>
      <c r="H49" s="9"/>
      <c r="I49" s="9"/>
      <c r="J49" s="2135"/>
      <c r="K49" s="2136"/>
      <c r="L49" s="2136"/>
      <c r="M49" s="9"/>
      <c r="N49" s="1257"/>
      <c r="O49" s="9"/>
      <c r="P49" s="1257"/>
      <c r="Q49" s="1257"/>
      <c r="R49" s="1257"/>
      <c r="S49" s="2137"/>
      <c r="T49" s="2137"/>
      <c r="U49" s="2137"/>
      <c r="V49" s="2137"/>
    </row>
    <row r="50" spans="1:22" s="2138" customFormat="1" ht="18" customHeight="1">
      <c r="A50" s="2134"/>
      <c r="B50" s="2134"/>
      <c r="C50" s="1257"/>
      <c r="D50" s="1257"/>
      <c r="E50" s="1257"/>
      <c r="F50" s="1257"/>
      <c r="G50" s="1257"/>
      <c r="H50" s="9"/>
      <c r="I50" s="9"/>
      <c r="J50" s="2135"/>
      <c r="K50" s="2136"/>
      <c r="L50" s="2136"/>
      <c r="M50" s="9"/>
      <c r="N50" s="1257"/>
      <c r="O50" s="9"/>
      <c r="P50" s="1257"/>
      <c r="Q50" s="1257"/>
      <c r="R50" s="1257"/>
      <c r="S50" s="2137"/>
      <c r="T50" s="2137"/>
      <c r="U50" s="2137"/>
      <c r="V50" s="2137"/>
    </row>
    <row r="51" spans="1:22" s="2138" customFormat="1" ht="18" customHeight="1">
      <c r="A51" s="2134"/>
      <c r="B51" s="2134"/>
      <c r="C51" s="1257"/>
      <c r="D51" s="1257"/>
      <c r="E51" s="1257"/>
      <c r="F51" s="1257"/>
      <c r="G51" s="1257"/>
      <c r="H51" s="9"/>
      <c r="I51" s="9"/>
      <c r="J51" s="2135"/>
      <c r="K51" s="2136"/>
      <c r="L51" s="2136"/>
      <c r="M51" s="9"/>
      <c r="N51" s="1257"/>
      <c r="O51" s="9"/>
      <c r="P51" s="1257"/>
      <c r="Q51" s="1257"/>
      <c r="R51" s="1257"/>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40" customWidth="1"/>
    <col min="2" max="2" width="11" style="2140" customWidth="1"/>
    <col min="3" max="3" width="10.375" style="2140" customWidth="1"/>
    <col min="4" max="4" width="9.125" style="2140" customWidth="1"/>
    <col min="5" max="6" width="10" style="2203" customWidth="1"/>
    <col min="7" max="8" width="10" style="2140" customWidth="1"/>
    <col min="9" max="9" width="10.625" style="2140" customWidth="1"/>
    <col min="10" max="10" width="9.5" style="2140" customWidth="1"/>
    <col min="11" max="11" width="11" style="2140" customWidth="1"/>
    <col min="12" max="12" width="9.5" style="2140" customWidth="1"/>
    <col min="13" max="14" width="9.5" style="2140" hidden="1" customWidth="1"/>
    <col min="15" max="15" width="9.875" style="2140" hidden="1" customWidth="1"/>
    <col min="16" max="16" width="9.75" style="2140" hidden="1" customWidth="1"/>
    <col min="17" max="17" width="9.375" style="2140" hidden="1" customWidth="1"/>
    <col min="18" max="18" width="9.25" style="2140" hidden="1" customWidth="1"/>
    <col min="19" max="19" width="10.875" style="2140" hidden="1" customWidth="1"/>
    <col min="20" max="21" width="10.75" style="2140" hidden="1" customWidth="1"/>
    <col min="22" max="22" width="10.875" style="2140" hidden="1" customWidth="1"/>
    <col min="23" max="27" width="10.75" style="2140" hidden="1" customWidth="1"/>
    <col min="28" max="28" width="10.875" style="2140" hidden="1" customWidth="1"/>
    <col min="29" max="29" width="11" style="2140" customWidth="1"/>
    <col min="30" max="30" width="10" style="2140" hidden="1" customWidth="1"/>
    <col min="31" max="31" width="9.75" style="2140" hidden="1" customWidth="1"/>
    <col min="32" max="37" width="9.5" style="2140" hidden="1" customWidth="1"/>
    <col min="38" max="41" width="9.5" style="2140" customWidth="1"/>
    <col min="42" max="45" width="9.5" style="2140" hidden="1" customWidth="1"/>
    <col min="46" max="46" width="9.5" style="2140" customWidth="1"/>
    <col min="47" max="47" width="18.125" style="2140" customWidth="1"/>
    <col min="48" max="50" width="9.75" style="2140" customWidth="1"/>
    <col min="51" max="55" width="10.5" style="2140" bestFit="1" customWidth="1"/>
    <col min="56" max="56" width="9.5" style="2140" bestFit="1" customWidth="1"/>
    <col min="57" max="63" width="9.125" style="2140" bestFit="1" customWidth="1"/>
    <col min="64" max="64" width="9.5" style="2140" bestFit="1" customWidth="1"/>
    <col min="65" max="65" width="9.125" style="2140" bestFit="1" customWidth="1"/>
    <col min="66" max="66" width="9.5" style="2140" bestFit="1" customWidth="1"/>
    <col min="67" max="69" width="9.125" style="2140" bestFit="1" customWidth="1"/>
    <col min="70" max="70" width="9.5" style="2140" bestFit="1" customWidth="1"/>
    <col min="71" max="71" width="9" style="2140" customWidth="1"/>
    <col min="72" max="72" width="9.125" style="2140" bestFit="1" customWidth="1"/>
    <col min="73" max="16384" width="8.875" style="2140"/>
  </cols>
  <sheetData>
    <row r="1" spans="1:72" ht="20.25">
      <c r="A1" s="2143" t="s">
        <v>1865</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4" t="s">
        <v>1866</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48" customFormat="1" ht="24">
      <c r="A2" s="11" t="s">
        <v>1867</v>
      </c>
      <c r="B2" s="11" t="s">
        <v>1868</v>
      </c>
      <c r="C2" s="11" t="s">
        <v>1869</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4" t="s">
        <v>1870</v>
      </c>
      <c r="AZ2" s="1255" t="s">
        <v>1871</v>
      </c>
      <c r="BA2" s="11" t="s">
        <v>1872</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2.75">
      <c r="A3" s="13">
        <v>2337.9</v>
      </c>
      <c r="B3" s="14">
        <f>IF(C3="否",G5-AT5,G5)</f>
        <v>28703.600000000002</v>
      </c>
      <c r="C3" s="2149" t="s">
        <v>3045</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56"/>
      <c r="AZ3" s="1257"/>
      <c r="BA3" s="1258"/>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ht="13.5"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2.75">
      <c r="A5" s="15" t="s">
        <v>1873</v>
      </c>
      <c r="B5" s="1789"/>
      <c r="C5" s="1789"/>
      <c r="D5" s="1792"/>
      <c r="E5" s="16" t="s">
        <v>1</v>
      </c>
      <c r="F5" s="16">
        <f>SUM(F13:F587)</f>
        <v>0</v>
      </c>
      <c r="G5" s="16">
        <f>SUM(G13:G587)</f>
        <v>31169.510000000002</v>
      </c>
      <c r="H5" s="16">
        <f t="shared" ref="H5:AT5" si="0">SUM(H13:H656)</f>
        <v>27977.08</v>
      </c>
      <c r="I5" s="16">
        <f t="shared" si="0"/>
        <v>25747.52</v>
      </c>
      <c r="J5" s="16">
        <f t="shared" si="0"/>
        <v>0</v>
      </c>
      <c r="K5" s="16">
        <f t="shared" si="0"/>
        <v>2229.56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726.52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248.82</v>
      </c>
      <c r="AM5" s="16">
        <f t="shared" si="0"/>
        <v>0</v>
      </c>
      <c r="AN5" s="16">
        <f t="shared" si="0"/>
        <v>477.7</v>
      </c>
      <c r="AO5" s="16">
        <f t="shared" si="0"/>
        <v>0</v>
      </c>
      <c r="AP5" s="16">
        <f t="shared" si="0"/>
        <v>0</v>
      </c>
      <c r="AQ5" s="16">
        <f t="shared" si="0"/>
        <v>0</v>
      </c>
      <c r="AR5" s="16">
        <f t="shared" si="0"/>
        <v>0</v>
      </c>
      <c r="AS5" s="16">
        <f t="shared" si="0"/>
        <v>0</v>
      </c>
      <c r="AT5" s="16">
        <f t="shared" si="0"/>
        <v>2465.91</v>
      </c>
      <c r="AU5" s="1788"/>
      <c r="AV5" s="15" t="s">
        <v>1873</v>
      </c>
      <c r="AW5" s="1789"/>
      <c r="AX5" s="1789"/>
      <c r="AY5" s="17" t="s">
        <v>3</v>
      </c>
      <c r="AZ5" s="18">
        <f t="shared" ref="AZ5:BT5" si="1">SUM(AZ13:AZ656)</f>
        <v>28703.600000000002</v>
      </c>
      <c r="BA5" s="18">
        <f t="shared" si="1"/>
        <v>27977.08</v>
      </c>
      <c r="BB5" s="18">
        <f t="shared" si="1"/>
        <v>25747.52</v>
      </c>
      <c r="BC5" s="18">
        <f t="shared" si="1"/>
        <v>2229.56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726.52</v>
      </c>
      <c r="BM5" s="18">
        <f t="shared" si="1"/>
        <v>0</v>
      </c>
      <c r="BN5" s="18">
        <f t="shared" si="1"/>
        <v>0</v>
      </c>
      <c r="BO5" s="18">
        <f t="shared" si="1"/>
        <v>0</v>
      </c>
      <c r="BP5" s="18">
        <f t="shared" si="1"/>
        <v>0</v>
      </c>
      <c r="BQ5" s="18">
        <f t="shared" si="1"/>
        <v>248.82</v>
      </c>
      <c r="BR5" s="18">
        <f t="shared" si="1"/>
        <v>477.7</v>
      </c>
      <c r="BS5" s="18">
        <f t="shared" si="1"/>
        <v>0</v>
      </c>
      <c r="BT5" s="19">
        <f t="shared" si="1"/>
        <v>0</v>
      </c>
    </row>
    <row r="6" spans="1:72" s="2158" customFormat="1" ht="12.75">
      <c r="A6" s="15" t="s">
        <v>1874</v>
      </c>
      <c r="B6" s="2155"/>
      <c r="C6" s="2155"/>
      <c r="D6" s="2156"/>
      <c r="E6" s="16">
        <f>H6+AC6+AT6</f>
        <v>2337.91</v>
      </c>
      <c r="F6" s="16" t="s">
        <v>1</v>
      </c>
      <c r="G6" s="16" t="s">
        <v>2</v>
      </c>
      <c r="H6" s="20">
        <f>SUMIF(I$12:AB$12,"总值",I6:AB6)</f>
        <v>2278.73</v>
      </c>
      <c r="I6" s="16">
        <f t="shared" ref="I6:AB6" si="2">ROUND($A$3*I5/$B$3,2)</f>
        <v>2097.13</v>
      </c>
      <c r="J6" s="16">
        <f t="shared" si="2"/>
        <v>0</v>
      </c>
      <c r="K6" s="16">
        <f t="shared" si="2"/>
        <v>181.6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59.179999999999993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20.27</v>
      </c>
      <c r="AM6" s="16">
        <f t="shared" si="3"/>
        <v>0</v>
      </c>
      <c r="AN6" s="16">
        <f t="shared" si="3"/>
        <v>38.909999999999997</v>
      </c>
      <c r="AO6" s="16">
        <f t="shared" si="3"/>
        <v>0</v>
      </c>
      <c r="AP6" s="16">
        <f t="shared" si="3"/>
        <v>0</v>
      </c>
      <c r="AQ6" s="16">
        <f t="shared" si="3"/>
        <v>0</v>
      </c>
      <c r="AR6" s="16">
        <f t="shared" si="3"/>
        <v>0</v>
      </c>
      <c r="AS6" s="16">
        <f t="shared" si="3"/>
        <v>0</v>
      </c>
      <c r="AT6" s="20">
        <f>IF(C3="是",ROUND($A$3*AT5/$B$3,2),0)</f>
        <v>0</v>
      </c>
      <c r="AU6" s="2157"/>
      <c r="AV6" s="15" t="s">
        <v>1874</v>
      </c>
      <c r="AW6" s="2155"/>
      <c r="AX6" s="2155"/>
      <c r="AY6" s="21">
        <f>IF(AY3&gt;0,AY3,ROUND($A$3*AZ5/$B$3,2))</f>
        <v>2337.9</v>
      </c>
      <c r="AZ6" s="16" t="s">
        <v>3</v>
      </c>
      <c r="BA6" s="16">
        <f>ROUND($AY$6*BA5/$AZ$5,2)</f>
        <v>2278.73</v>
      </c>
      <c r="BB6" s="16">
        <f>ROUND($AY$6*BB5/$AZ$5,2)</f>
        <v>2097.13</v>
      </c>
      <c r="BC6" s="16">
        <f t="shared" ref="BC6:BH6" si="4">ROUND($AY$6*BC5/$AZ$5,2)</f>
        <v>181.6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59.17</v>
      </c>
      <c r="BM6" s="16">
        <f t="shared" si="5"/>
        <v>0</v>
      </c>
      <c r="BN6" s="16">
        <f t="shared" si="5"/>
        <v>0</v>
      </c>
      <c r="BO6" s="16">
        <f t="shared" si="5"/>
        <v>0</v>
      </c>
      <c r="BP6" s="16">
        <f t="shared" si="5"/>
        <v>0</v>
      </c>
      <c r="BQ6" s="16">
        <f t="shared" si="5"/>
        <v>20.27</v>
      </c>
      <c r="BR6" s="16">
        <f t="shared" si="5"/>
        <v>38.909999999999997</v>
      </c>
      <c r="BS6" s="16">
        <f t="shared" si="5"/>
        <v>0</v>
      </c>
      <c r="BT6" s="22">
        <f t="shared" si="5"/>
        <v>0</v>
      </c>
    </row>
    <row r="7" spans="1:72" s="2148" customFormat="1" ht="24.75">
      <c r="A7" s="2090" t="s">
        <v>1875</v>
      </c>
      <c r="B7" s="2090" t="s">
        <v>1876</v>
      </c>
      <c r="C7" s="2090" t="s">
        <v>1877</v>
      </c>
      <c r="D7" s="2090" t="s">
        <v>1878</v>
      </c>
      <c r="E7" s="2090" t="s">
        <v>1879</v>
      </c>
      <c r="F7" s="2090" t="s">
        <v>1880</v>
      </c>
      <c r="G7" s="2159" t="s">
        <v>1881</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2"/>
      <c r="AU7" s="2160" t="s">
        <v>1882</v>
      </c>
      <c r="AV7" s="23" t="s">
        <v>1883</v>
      </c>
      <c r="AW7" s="2147" t="s">
        <v>1884</v>
      </c>
      <c r="AX7" s="23" t="s">
        <v>1877</v>
      </c>
      <c r="AY7" s="1789" t="s">
        <v>1885</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1886</v>
      </c>
      <c r="H8" s="2165" t="s">
        <v>1887</v>
      </c>
      <c r="I8" s="2166"/>
      <c r="J8" s="1804"/>
      <c r="K8" s="1804"/>
      <c r="L8" s="1804"/>
      <c r="M8" s="1804"/>
      <c r="N8" s="1804"/>
      <c r="O8" s="1804"/>
      <c r="P8" s="1804"/>
      <c r="Q8" s="1804"/>
      <c r="R8" s="1804"/>
      <c r="S8" s="1804"/>
      <c r="T8" s="1804"/>
      <c r="U8" s="1804"/>
      <c r="V8" s="2167"/>
      <c r="W8" s="1804"/>
      <c r="X8" s="1804"/>
      <c r="Y8" s="1804"/>
      <c r="Z8" s="1804"/>
      <c r="AA8" s="2167"/>
      <c r="AB8" s="2168"/>
      <c r="AC8" s="974" t="s">
        <v>1888</v>
      </c>
      <c r="AD8" s="2169"/>
      <c r="AE8" s="2161"/>
      <c r="AF8" s="1804"/>
      <c r="AG8" s="1804"/>
      <c r="AH8" s="1804"/>
      <c r="AI8" s="1804"/>
      <c r="AJ8" s="1804"/>
      <c r="AK8" s="1804"/>
      <c r="AL8" s="1804"/>
      <c r="AM8" s="1804"/>
      <c r="AN8" s="1804"/>
      <c r="AO8" s="1804"/>
      <c r="AP8" s="1804"/>
      <c r="AQ8" s="1804"/>
      <c r="AR8" s="1804"/>
      <c r="AS8" s="1804"/>
      <c r="AT8" s="1277" t="s">
        <v>1889</v>
      </c>
      <c r="AU8" s="2163" t="s">
        <v>1890</v>
      </c>
      <c r="AV8" s="1277"/>
      <c r="AW8" s="2146"/>
      <c r="AX8" s="1277"/>
      <c r="AY8" s="2147" t="s">
        <v>1891</v>
      </c>
      <c r="AZ8" s="1803" t="s">
        <v>1892</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0" customFormat="1" ht="12.75">
      <c r="A9" s="2163"/>
      <c r="B9" s="2163"/>
      <c r="C9" s="2163"/>
      <c r="D9" s="2163"/>
      <c r="E9" s="2163"/>
      <c r="F9" s="2163"/>
      <c r="G9" s="1277"/>
      <c r="H9" s="2171" t="s">
        <v>1893</v>
      </c>
      <c r="I9" s="2172" t="s">
        <v>3056</v>
      </c>
      <c r="J9" s="974"/>
      <c r="K9" s="2172" t="s">
        <v>3056</v>
      </c>
      <c r="L9" s="974"/>
      <c r="M9" s="2172"/>
      <c r="N9" s="974"/>
      <c r="O9" s="2172"/>
      <c r="P9" s="974"/>
      <c r="Q9" s="2172"/>
      <c r="R9" s="974"/>
      <c r="S9" s="2172"/>
      <c r="T9" s="974"/>
      <c r="U9" s="2172"/>
      <c r="V9" s="974"/>
      <c r="W9" s="2172"/>
      <c r="X9" s="2173"/>
      <c r="Y9" s="2172"/>
      <c r="Z9" s="974"/>
      <c r="AA9" s="2172"/>
      <c r="AB9" s="974"/>
      <c r="AC9" s="2164" t="s">
        <v>1893</v>
      </c>
      <c r="AD9" s="15" t="s">
        <v>1894</v>
      </c>
      <c r="AE9" s="1283"/>
      <c r="AF9" s="15" t="s">
        <v>1895</v>
      </c>
      <c r="AG9" s="1283"/>
      <c r="AH9" s="15" t="s">
        <v>1894</v>
      </c>
      <c r="AI9" s="1283"/>
      <c r="AJ9" s="15" t="s">
        <v>1895</v>
      </c>
      <c r="AK9" s="1283"/>
      <c r="AL9" s="15" t="s">
        <v>1894</v>
      </c>
      <c r="AM9" s="1283"/>
      <c r="AN9" s="15" t="s">
        <v>1895</v>
      </c>
      <c r="AO9" s="1283"/>
      <c r="AP9" s="15" t="s">
        <v>1894</v>
      </c>
      <c r="AQ9" s="1283"/>
      <c r="AR9" s="15" t="s">
        <v>1895</v>
      </c>
      <c r="AS9" s="2174"/>
      <c r="AT9" s="2163"/>
      <c r="AU9" s="2163" t="s">
        <v>1896</v>
      </c>
      <c r="AV9" s="1277"/>
      <c r="AW9" s="2146"/>
      <c r="AX9" s="1277"/>
      <c r="AY9" s="28"/>
      <c r="AZ9" s="28" t="s">
        <v>1886</v>
      </c>
      <c r="BA9" s="2175" t="s">
        <v>1897</v>
      </c>
      <c r="BB9" s="2176"/>
      <c r="BC9" s="1323"/>
      <c r="BD9" s="1323"/>
      <c r="BE9" s="1323"/>
      <c r="BF9" s="1323"/>
      <c r="BG9" s="1323"/>
      <c r="BH9" s="1323"/>
      <c r="BI9" s="1323"/>
      <c r="BJ9" s="1323"/>
      <c r="BK9" s="2177"/>
      <c r="BL9" s="15" t="s">
        <v>1898</v>
      </c>
      <c r="BM9" s="1804"/>
      <c r="BN9" s="2166"/>
      <c r="BO9" s="1804"/>
      <c r="BP9" s="1804"/>
      <c r="BQ9" s="1804"/>
      <c r="BR9" s="1804"/>
      <c r="BS9" s="1804"/>
      <c r="BT9" s="26"/>
    </row>
    <row r="10" spans="1:72" s="2170" customFormat="1" ht="12.75">
      <c r="A10" s="2163"/>
      <c r="B10" s="2163"/>
      <c r="C10" s="2163"/>
      <c r="D10" s="2163"/>
      <c r="E10" s="2163"/>
      <c r="F10" s="2163"/>
      <c r="G10" s="1277"/>
      <c r="H10" s="28"/>
      <c r="I10" s="2172" t="s">
        <v>27</v>
      </c>
      <c r="J10" s="974"/>
      <c r="K10" s="2178" t="s">
        <v>1378</v>
      </c>
      <c r="L10" s="974"/>
      <c r="M10" s="2178"/>
      <c r="N10" s="974"/>
      <c r="O10" s="2178"/>
      <c r="P10" s="974"/>
      <c r="Q10" s="2178"/>
      <c r="R10" s="974"/>
      <c r="S10" s="2178"/>
      <c r="T10" s="974"/>
      <c r="U10" s="2178"/>
      <c r="V10" s="974"/>
      <c r="W10" s="2178"/>
      <c r="X10" s="974"/>
      <c r="Y10" s="2178"/>
      <c r="Z10" s="974"/>
      <c r="AA10" s="2178"/>
      <c r="AB10" s="974"/>
      <c r="AC10" s="1277"/>
      <c r="AD10" s="15" t="s">
        <v>1899</v>
      </c>
      <c r="AE10" s="2179"/>
      <c r="AF10" s="15" t="s">
        <v>1899</v>
      </c>
      <c r="AG10" s="2179"/>
      <c r="AH10" s="15" t="s">
        <v>1900</v>
      </c>
      <c r="AI10" s="2179"/>
      <c r="AJ10" s="15" t="s">
        <v>1900</v>
      </c>
      <c r="AK10" s="2179"/>
      <c r="AL10" s="15" t="s">
        <v>1901</v>
      </c>
      <c r="AM10" s="1283"/>
      <c r="AN10" s="15" t="s">
        <v>1901</v>
      </c>
      <c r="AO10" s="1283"/>
      <c r="AP10" s="15" t="s">
        <v>1902</v>
      </c>
      <c r="AQ10" s="1283"/>
      <c r="AR10" s="15" t="s">
        <v>1902</v>
      </c>
      <c r="AS10" s="1283"/>
      <c r="AT10" s="2163"/>
      <c r="AU10" s="2163"/>
      <c r="AV10" s="1277"/>
      <c r="AW10" s="2146"/>
      <c r="AX10" s="1277"/>
      <c r="AY10" s="28"/>
      <c r="AZ10" s="28"/>
      <c r="BA10" s="2180" t="s">
        <v>1893</v>
      </c>
      <c r="BB10" s="2181" t="str">
        <f>I9</f>
        <v>地上</v>
      </c>
      <c r="BC10" s="29" t="str">
        <f>K9</f>
        <v>地上</v>
      </c>
      <c r="BD10" s="29">
        <f>M9</f>
        <v>0</v>
      </c>
      <c r="BE10" s="29">
        <f>O9</f>
        <v>0</v>
      </c>
      <c r="BF10" s="29">
        <f>Q9</f>
        <v>0</v>
      </c>
      <c r="BG10" s="29">
        <f>S9</f>
        <v>0</v>
      </c>
      <c r="BH10" s="29">
        <f>U9</f>
        <v>0</v>
      </c>
      <c r="BI10" s="29">
        <f>W9</f>
        <v>0</v>
      </c>
      <c r="BJ10" s="29">
        <f>Y9</f>
        <v>0</v>
      </c>
      <c r="BK10" s="29">
        <f>AA9</f>
        <v>0</v>
      </c>
      <c r="BL10" s="25" t="s">
        <v>1893</v>
      </c>
      <c r="BM10" s="1803" t="str">
        <f>AD9</f>
        <v>地上</v>
      </c>
      <c r="BN10" s="29" t="str">
        <f>AF9</f>
        <v>地下</v>
      </c>
      <c r="BO10" s="1803" t="str">
        <f>AH9</f>
        <v>地上</v>
      </c>
      <c r="BP10" s="29" t="str">
        <f>AJ9</f>
        <v>地下</v>
      </c>
      <c r="BQ10" s="1803" t="str">
        <f>AL9</f>
        <v>地上</v>
      </c>
      <c r="BR10" s="29" t="str">
        <f>AN9</f>
        <v>地下</v>
      </c>
      <c r="BS10" s="1803" t="str">
        <f>AP9</f>
        <v>地上</v>
      </c>
      <c r="BT10" s="2182" t="str">
        <f>AR9</f>
        <v>地下</v>
      </c>
    </row>
    <row r="11" spans="1:72" s="2170" customFormat="1" ht="12.75">
      <c r="A11" s="2163"/>
      <c r="B11" s="2163"/>
      <c r="C11" s="2163"/>
      <c r="D11" s="2163"/>
      <c r="E11" s="2163"/>
      <c r="F11" s="2163"/>
      <c r="G11" s="1277"/>
      <c r="H11" s="2180"/>
      <c r="I11" s="2183" t="s">
        <v>3057</v>
      </c>
      <c r="J11" s="2184"/>
      <c r="K11" s="2183" t="s">
        <v>3058</v>
      </c>
      <c r="L11" s="2184"/>
      <c r="M11" s="2183"/>
      <c r="N11" s="2184"/>
      <c r="O11" s="2183"/>
      <c r="P11" s="2184"/>
      <c r="Q11" s="2183"/>
      <c r="R11" s="2184"/>
      <c r="S11" s="2183"/>
      <c r="T11" s="2184"/>
      <c r="U11" s="2183"/>
      <c r="V11" s="2184"/>
      <c r="W11" s="2183"/>
      <c r="X11" s="2184"/>
      <c r="Y11" s="2183"/>
      <c r="Z11" s="2184"/>
      <c r="AA11" s="2183"/>
      <c r="AB11" s="2184"/>
      <c r="AC11" s="1277"/>
      <c r="AD11" s="2185" t="s">
        <v>1903</v>
      </c>
      <c r="AE11" s="1805"/>
      <c r="AF11" s="2185" t="s">
        <v>1903</v>
      </c>
      <c r="AG11" s="1805"/>
      <c r="AH11" s="2185" t="s">
        <v>1904</v>
      </c>
      <c r="AI11" s="2186"/>
      <c r="AJ11" s="2185" t="s">
        <v>1904</v>
      </c>
      <c r="AK11" s="1805"/>
      <c r="AL11" s="1803"/>
      <c r="AM11" s="1805"/>
      <c r="AN11" s="1803"/>
      <c r="AO11" s="1805"/>
      <c r="AP11" s="1803"/>
      <c r="AQ11" s="1805"/>
      <c r="AR11" s="1803"/>
      <c r="AS11" s="1805"/>
      <c r="AT11" s="2146"/>
      <c r="AU11" s="2163"/>
      <c r="AV11" s="1277"/>
      <c r="AW11" s="2146"/>
      <c r="AX11" s="1277"/>
      <c r="AY11" s="28"/>
      <c r="AZ11" s="28"/>
      <c r="BA11" s="28"/>
      <c r="BB11" s="2168" t="str">
        <f>I10</f>
        <v>办公</v>
      </c>
      <c r="BC11" s="2168" t="str">
        <f>K10</f>
        <v>商业</v>
      </c>
      <c r="BD11" s="2168">
        <f>M10</f>
        <v>0</v>
      </c>
      <c r="BE11" s="2168">
        <f>O10</f>
        <v>0</v>
      </c>
      <c r="BF11" s="2168">
        <f>Q10</f>
        <v>0</v>
      </c>
      <c r="BG11" s="2168">
        <f>S10</f>
        <v>0</v>
      </c>
      <c r="BH11" s="2168">
        <f>U10</f>
        <v>0</v>
      </c>
      <c r="BI11" s="2168">
        <f>W10</f>
        <v>0</v>
      </c>
      <c r="BJ11" s="2168">
        <f>Y10</f>
        <v>0</v>
      </c>
      <c r="BK11" s="2168">
        <f>AA10</f>
        <v>0</v>
      </c>
      <c r="BL11" s="1277"/>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87" t="str">
        <f>AR10</f>
        <v>未注明</v>
      </c>
    </row>
    <row r="12" spans="1:72" s="2148" customFormat="1" ht="12.75">
      <c r="A12" s="2188"/>
      <c r="B12" s="2188"/>
      <c r="C12" s="2188"/>
      <c r="D12" s="2188"/>
      <c r="E12" s="2188"/>
      <c r="F12" s="2188"/>
      <c r="G12" s="30"/>
      <c r="H12" s="2189"/>
      <c r="I12" s="179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88" t="s">
        <v>1906</v>
      </c>
      <c r="W12" s="11" t="s">
        <v>1905</v>
      </c>
      <c r="X12" s="11" t="s">
        <v>1906</v>
      </c>
      <c r="Y12" s="11" t="s">
        <v>1905</v>
      </c>
      <c r="Z12" s="11" t="s">
        <v>1906</v>
      </c>
      <c r="AA12" s="11" t="s">
        <v>1905</v>
      </c>
      <c r="AB12" s="11" t="s">
        <v>1906</v>
      </c>
      <c r="AC12" s="2190"/>
      <c r="AD12" s="179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88" t="s">
        <v>1906</v>
      </c>
      <c r="AT12" s="2191"/>
      <c r="AU12" s="2188"/>
      <c r="AV12" s="31"/>
      <c r="AW12" s="2147"/>
      <c r="AX12" s="31"/>
      <c r="AY12" s="2192"/>
      <c r="AZ12" s="28"/>
      <c r="BA12" s="2180"/>
      <c r="BB12" s="24" t="str">
        <f>I11</f>
        <v>公寓</v>
      </c>
      <c r="BC12" s="2193" t="str">
        <f>K11</f>
        <v>底商</v>
      </c>
      <c r="BD12" s="2193">
        <f>M11</f>
        <v>0</v>
      </c>
      <c r="BE12" s="2168">
        <f>O11</f>
        <v>0</v>
      </c>
      <c r="BF12" s="2168">
        <f>Q11</f>
        <v>0</v>
      </c>
      <c r="BG12" s="2168">
        <f>S11</f>
        <v>0</v>
      </c>
      <c r="BH12" s="2168">
        <f>U11</f>
        <v>0</v>
      </c>
      <c r="BI12" s="2168">
        <f>W11</f>
        <v>0</v>
      </c>
      <c r="BJ12" s="2168">
        <f>Y11</f>
        <v>0</v>
      </c>
      <c r="BK12" s="2168">
        <f>AA11</f>
        <v>0</v>
      </c>
      <c r="BL12" s="1277"/>
      <c r="BM12" s="1803" t="str">
        <f>AD11</f>
        <v>（住宅）</v>
      </c>
      <c r="BN12" s="1803" t="str">
        <f>AF11</f>
        <v>（住宅）</v>
      </c>
      <c r="BO12" s="24" t="str">
        <f>AH11</f>
        <v>（住宅、计出让金）</v>
      </c>
      <c r="BP12" s="24" t="str">
        <f>AJ11</f>
        <v>（住宅、计出让金）</v>
      </c>
      <c r="BQ12" s="24">
        <f>AL11</f>
        <v>0</v>
      </c>
      <c r="BR12" s="24">
        <f>AN11</f>
        <v>0</v>
      </c>
      <c r="BS12" s="25">
        <f>AP11</f>
        <v>0</v>
      </c>
      <c r="BT12" s="2187">
        <f>AR11</f>
        <v>0</v>
      </c>
    </row>
    <row r="13" spans="1:72" s="2148" customFormat="1" ht="12.75">
      <c r="A13" s="1257"/>
      <c r="B13" s="1257"/>
      <c r="C13" s="2929" t="s">
        <v>3198</v>
      </c>
      <c r="D13" s="2194" t="s">
        <v>3055</v>
      </c>
      <c r="E13" s="16">
        <f>IF($C$3="是",ROUND($A$3*G13/$B$3,2),ROUND($A$3*(G13-AT13)/$B$3,2))</f>
        <v>2337.9</v>
      </c>
      <c r="F13" s="32"/>
      <c r="G13" s="33">
        <f>H13+AC13+AT13</f>
        <v>31169.510000000002</v>
      </c>
      <c r="H13" s="33">
        <f>SUMIF(I$12:AB$12,"总值",I13:AB13)</f>
        <v>27977.08</v>
      </c>
      <c r="I13" s="2195">
        <f>面积!B167</f>
        <v>25747.52</v>
      </c>
      <c r="J13" s="2195"/>
      <c r="K13" s="2195">
        <f>面积!J166</f>
        <v>2229.56</v>
      </c>
      <c r="L13" s="2195"/>
      <c r="M13" s="2195"/>
      <c r="N13" s="2195"/>
      <c r="O13" s="2195"/>
      <c r="P13" s="2195"/>
      <c r="Q13" s="2195"/>
      <c r="R13" s="2195"/>
      <c r="S13" s="2195"/>
      <c r="T13" s="2195"/>
      <c r="U13" s="2195"/>
      <c r="V13" s="2195"/>
      <c r="W13" s="2195"/>
      <c r="X13" s="2195"/>
      <c r="Y13" s="2195"/>
      <c r="Z13" s="2195"/>
      <c r="AA13" s="2195"/>
      <c r="AB13" s="2195"/>
      <c r="AC13" s="16">
        <f>SUMIF(AD$12:AS$12,"总值",AD13:AS13)</f>
        <v>726.52</v>
      </c>
      <c r="AD13" s="2196"/>
      <c r="AE13" s="2196"/>
      <c r="AF13" s="2196"/>
      <c r="AG13" s="2196"/>
      <c r="AH13" s="2196"/>
      <c r="AI13" s="2196"/>
      <c r="AJ13" s="2196"/>
      <c r="AK13" s="2196"/>
      <c r="AL13" s="2196">
        <f>面积!B168+面积!B163</f>
        <v>248.82</v>
      </c>
      <c r="AM13" s="2196"/>
      <c r="AN13" s="2196">
        <f>面积!B169</f>
        <v>477.7</v>
      </c>
      <c r="AO13" s="2196"/>
      <c r="AP13" s="2196"/>
      <c r="AQ13" s="2196"/>
      <c r="AR13" s="2196"/>
      <c r="AS13" s="2196"/>
      <c r="AT13" s="2197">
        <f>面积!B170</f>
        <v>2465.91</v>
      </c>
      <c r="AU13" s="2198"/>
      <c r="AV13" s="11">
        <f t="shared" ref="AV13:AX17" si="6">A13</f>
        <v>0</v>
      </c>
      <c r="AW13" s="11">
        <f t="shared" si="6"/>
        <v>0</v>
      </c>
      <c r="AX13" s="11" t="str">
        <f t="shared" si="6"/>
        <v>1号楼</v>
      </c>
      <c r="AY13" s="1792">
        <f>ROUND($AY$6*AZ13/$AZ$5,2)</f>
        <v>2337.9</v>
      </c>
      <c r="AZ13" s="16">
        <f>BA13+BL13</f>
        <v>28703.600000000002</v>
      </c>
      <c r="BA13" s="16">
        <f>SUM(BB13:BK13)</f>
        <v>27977.08</v>
      </c>
      <c r="BB13" s="16">
        <f>IF($D13="是",I13-J13,0)</f>
        <v>25747.52</v>
      </c>
      <c r="BC13" s="16">
        <f>IF($D13="是",K13-L13,0)</f>
        <v>2229.56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726.52</v>
      </c>
      <c r="BM13" s="16">
        <f>IF($D13="是",AD13-AE13,0)</f>
        <v>0</v>
      </c>
      <c r="BN13" s="16">
        <f>IF($D13="是",AF13-AG13,0)</f>
        <v>0</v>
      </c>
      <c r="BO13" s="16">
        <f>IF($D13="是",AH13-AI13,0)</f>
        <v>0</v>
      </c>
      <c r="BP13" s="16">
        <f>IF($D13="是",AJ13-AK13,0)</f>
        <v>0</v>
      </c>
      <c r="BQ13" s="16">
        <f>IF($D13="是",AL13-AM13,0)</f>
        <v>248.82</v>
      </c>
      <c r="BR13" s="16">
        <f>IF($D13="是",AN13-AO13,0)</f>
        <v>477.7</v>
      </c>
      <c r="BS13" s="16">
        <f>IF($D13="是",AP13-AQ13,0)</f>
        <v>0</v>
      </c>
      <c r="BT13" s="22">
        <f>IF($D13="是",AR13-AS13,0)</f>
        <v>0</v>
      </c>
    </row>
    <row r="14" spans="1:72" s="2148" customFormat="1" ht="12.75">
      <c r="A14" s="1257"/>
      <c r="B14" s="1257"/>
      <c r="C14" s="2929"/>
      <c r="D14" s="2194"/>
      <c r="E14" s="16">
        <f>IF($C$3="是",ROUND($A$3*G14/$B$3,2),ROUND($A$3*(G14-AT14)/$B$3,2))</f>
        <v>0</v>
      </c>
      <c r="F14" s="32"/>
      <c r="G14" s="33">
        <f>H14+AC14+AT14</f>
        <v>0</v>
      </c>
      <c r="H14" s="33">
        <f>SUMIF(I$12:AB$12,"总值",I14:AB14)</f>
        <v>0</v>
      </c>
      <c r="I14" s="2195"/>
      <c r="J14" s="2195"/>
      <c r="K14" s="2195"/>
      <c r="L14" s="2195"/>
      <c r="M14" s="2195"/>
      <c r="N14" s="2195"/>
      <c r="O14" s="2195"/>
      <c r="P14" s="2195"/>
      <c r="Q14" s="2195"/>
      <c r="R14" s="2195"/>
      <c r="S14" s="2195"/>
      <c r="T14" s="2195"/>
      <c r="U14" s="2195"/>
      <c r="V14" s="2195"/>
      <c r="W14" s="2195"/>
      <c r="X14" s="2195"/>
      <c r="Y14" s="2195"/>
      <c r="Z14" s="2195"/>
      <c r="AA14" s="2195"/>
      <c r="AB14" s="2195"/>
      <c r="AC14" s="16">
        <f>SUMIF(AD$12:AS$12,"总值",AD14:AS14)</f>
        <v>0</v>
      </c>
      <c r="AD14" s="2196"/>
      <c r="AE14" s="2196"/>
      <c r="AF14" s="2196"/>
      <c r="AG14" s="2196"/>
      <c r="AH14" s="2196"/>
      <c r="AI14" s="2196"/>
      <c r="AJ14" s="2196"/>
      <c r="AK14" s="2196"/>
      <c r="AL14" s="2196"/>
      <c r="AM14" s="2196"/>
      <c r="AN14" s="2196"/>
      <c r="AO14" s="2196"/>
      <c r="AP14" s="2196"/>
      <c r="AQ14" s="2196"/>
      <c r="AR14" s="2196"/>
      <c r="AS14" s="2196"/>
      <c r="AT14" s="2197"/>
      <c r="AU14" s="2198"/>
      <c r="AV14" s="11">
        <f t="shared" si="6"/>
        <v>0</v>
      </c>
      <c r="AW14" s="11">
        <f t="shared" si="6"/>
        <v>0</v>
      </c>
      <c r="AX14" s="11">
        <f t="shared" si="6"/>
        <v>0</v>
      </c>
      <c r="AY14" s="179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8" customFormat="1" ht="12.75">
      <c r="A15" s="1257"/>
      <c r="B15" s="1257"/>
      <c r="C15" s="2929"/>
      <c r="D15" s="2194"/>
      <c r="E15" s="16">
        <f>IF($C$3="是",ROUND($A$3*G15/$B$3,2),ROUND($A$3*(G15-AT15)/$B$3,2))</f>
        <v>0</v>
      </c>
      <c r="F15" s="32"/>
      <c r="G15" s="33">
        <f>H15+AC15+AT15</f>
        <v>0</v>
      </c>
      <c r="H15" s="33">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6">
        <f>SUMIF(AD$12:AS$12,"总值",AD15:AS15)</f>
        <v>0</v>
      </c>
      <c r="AD15" s="2196"/>
      <c r="AE15" s="2196"/>
      <c r="AF15" s="2196"/>
      <c r="AG15" s="2196"/>
      <c r="AH15" s="2196"/>
      <c r="AI15" s="2196"/>
      <c r="AJ15" s="2196"/>
      <c r="AK15" s="2196"/>
      <c r="AL15" s="2196"/>
      <c r="AM15" s="2196"/>
      <c r="AN15" s="2196"/>
      <c r="AO15" s="2196"/>
      <c r="AP15" s="2196"/>
      <c r="AQ15" s="2196"/>
      <c r="AR15" s="2196"/>
      <c r="AS15" s="2196"/>
      <c r="AT15" s="2197"/>
      <c r="AU15" s="2198"/>
      <c r="AV15" s="11">
        <f t="shared" si="6"/>
        <v>0</v>
      </c>
      <c r="AW15" s="11">
        <f t="shared" si="6"/>
        <v>0</v>
      </c>
      <c r="AX15" s="11">
        <f t="shared" si="6"/>
        <v>0</v>
      </c>
      <c r="AY15" s="179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8" customFormat="1" ht="12.75">
      <c r="A16" s="1257"/>
      <c r="B16" s="1257"/>
      <c r="C16" s="2134"/>
      <c r="D16" s="2194"/>
      <c r="E16" s="16">
        <f>IF($C$3="是",ROUND($A$3*G16/$B$3,2),ROUND($A$3*(G16-AT16)/$B$3,2))</f>
        <v>0</v>
      </c>
      <c r="F16" s="32"/>
      <c r="G16" s="33">
        <f>H16+AC16+AT16</f>
        <v>0</v>
      </c>
      <c r="H16" s="33">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6">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8" customFormat="1" ht="12.75">
      <c r="A17" s="1257"/>
      <c r="B17" s="1257"/>
      <c r="C17" s="2134"/>
      <c r="D17" s="2194"/>
      <c r="E17" s="16">
        <f>IF($C$3="是",ROUND($A$3*G17/$B$3,2),ROUND($A$3*(G17-AT17)/$B$3,2))</f>
        <v>0</v>
      </c>
      <c r="F17" s="32"/>
      <c r="G17" s="33">
        <f>H17+AC17+AT17</f>
        <v>0</v>
      </c>
      <c r="H17" s="33">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6">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9"/>
      <c r="E18" s="16">
        <f t="shared" ref="E18:E112" si="7">IF($C$3="是",ROUND($A$3*G18/$B$3,2),ROUND($A$3*(G18-AT18)/$B$3,2))</f>
        <v>0</v>
      </c>
      <c r="F18" s="36"/>
      <c r="G18" s="33">
        <f t="shared" ref="G18:G109" si="8">H18+AC18+AT18</f>
        <v>0</v>
      </c>
      <c r="H18" s="33">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0"/>
      <c r="AV18" s="1781">
        <f t="shared" ref="AV18:AV112" si="11">A18</f>
        <v>0</v>
      </c>
      <c r="AW18" s="1781">
        <f t="shared" ref="AW18:AW112" si="12">B18</f>
        <v>0</v>
      </c>
      <c r="AX18" s="178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9"/>
      <c r="E19" s="16">
        <f t="shared" si="7"/>
        <v>0</v>
      </c>
      <c r="F19" s="36"/>
      <c r="G19" s="33">
        <f t="shared" si="8"/>
        <v>0</v>
      </c>
      <c r="H19" s="33">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0"/>
      <c r="AV19" s="1781">
        <f t="shared" si="11"/>
        <v>0</v>
      </c>
      <c r="AW19" s="1781">
        <f t="shared" si="12"/>
        <v>0</v>
      </c>
      <c r="AX19" s="178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9"/>
      <c r="E20" s="16">
        <f t="shared" si="7"/>
        <v>0</v>
      </c>
      <c r="F20" s="36"/>
      <c r="G20" s="33">
        <f t="shared" si="8"/>
        <v>0</v>
      </c>
      <c r="H20" s="33">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0"/>
      <c r="AV20" s="1781">
        <f t="shared" si="11"/>
        <v>0</v>
      </c>
      <c r="AW20" s="1781">
        <f t="shared" si="12"/>
        <v>0</v>
      </c>
      <c r="AX20" s="178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9"/>
      <c r="E21" s="16">
        <f t="shared" si="7"/>
        <v>0</v>
      </c>
      <c r="F21" s="36"/>
      <c r="G21" s="33">
        <f t="shared" si="8"/>
        <v>0</v>
      </c>
      <c r="H21" s="33">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0"/>
      <c r="AV21" s="1781">
        <f t="shared" si="11"/>
        <v>0</v>
      </c>
      <c r="AW21" s="1781">
        <f t="shared" si="12"/>
        <v>0</v>
      </c>
      <c r="AX21" s="178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9"/>
      <c r="E22" s="16">
        <f t="shared" si="7"/>
        <v>0</v>
      </c>
      <c r="F22" s="36"/>
      <c r="G22" s="33">
        <f t="shared" si="8"/>
        <v>0</v>
      </c>
      <c r="H22" s="33">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0"/>
      <c r="AV22" s="1781">
        <f t="shared" si="11"/>
        <v>0</v>
      </c>
      <c r="AW22" s="1781">
        <f t="shared" si="12"/>
        <v>0</v>
      </c>
      <c r="AX22" s="178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9"/>
      <c r="E23" s="16">
        <f t="shared" si="7"/>
        <v>0</v>
      </c>
      <c r="F23" s="36"/>
      <c r="G23" s="33">
        <f t="shared" si="8"/>
        <v>0</v>
      </c>
      <c r="H23" s="33">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0"/>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9"/>
      <c r="E24" s="16">
        <f t="shared" si="7"/>
        <v>0</v>
      </c>
      <c r="F24" s="36"/>
      <c r="G24" s="33">
        <f t="shared" si="8"/>
        <v>0</v>
      </c>
      <c r="H24" s="33">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0"/>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9"/>
      <c r="E25" s="16">
        <f t="shared" si="7"/>
        <v>0</v>
      </c>
      <c r="F25" s="36"/>
      <c r="G25" s="33">
        <f t="shared" si="8"/>
        <v>0</v>
      </c>
      <c r="H25" s="33">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0"/>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9"/>
      <c r="E26" s="16">
        <f t="shared" si="7"/>
        <v>0</v>
      </c>
      <c r="F26" s="36"/>
      <c r="G26" s="33">
        <f t="shared" si="8"/>
        <v>0</v>
      </c>
      <c r="H26" s="33">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0"/>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9"/>
      <c r="E27" s="16">
        <f t="shared" si="7"/>
        <v>0</v>
      </c>
      <c r="F27" s="36"/>
      <c r="G27" s="33">
        <f t="shared" si="8"/>
        <v>0</v>
      </c>
      <c r="H27" s="33">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0"/>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9"/>
      <c r="E28" s="16">
        <f t="shared" si="7"/>
        <v>0</v>
      </c>
      <c r="F28" s="36"/>
      <c r="G28" s="33">
        <f t="shared" si="8"/>
        <v>0</v>
      </c>
      <c r="H28" s="33">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0"/>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9"/>
      <c r="E29" s="16">
        <f t="shared" si="7"/>
        <v>0</v>
      </c>
      <c r="F29" s="36"/>
      <c r="G29" s="33">
        <f t="shared" si="8"/>
        <v>0</v>
      </c>
      <c r="H29" s="33">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0"/>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9"/>
      <c r="E30" s="16">
        <f t="shared" si="7"/>
        <v>0</v>
      </c>
      <c r="F30" s="36"/>
      <c r="G30" s="33">
        <f t="shared" si="8"/>
        <v>0</v>
      </c>
      <c r="H30" s="33">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0"/>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9"/>
      <c r="E31" s="16">
        <f t="shared" si="7"/>
        <v>0</v>
      </c>
      <c r="F31" s="36"/>
      <c r="G31" s="33">
        <f t="shared" si="8"/>
        <v>0</v>
      </c>
      <c r="H31" s="33">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0"/>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9"/>
      <c r="E32" s="16">
        <f t="shared" si="7"/>
        <v>0</v>
      </c>
      <c r="F32" s="36"/>
      <c r="G32" s="33">
        <f t="shared" si="8"/>
        <v>0</v>
      </c>
      <c r="H32" s="33">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0"/>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9"/>
      <c r="E33" s="16">
        <f t="shared" si="7"/>
        <v>0</v>
      </c>
      <c r="F33" s="36"/>
      <c r="G33" s="33">
        <f t="shared" si="8"/>
        <v>0</v>
      </c>
      <c r="H33" s="33">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0"/>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9"/>
      <c r="E34" s="16">
        <f t="shared" si="7"/>
        <v>0</v>
      </c>
      <c r="F34" s="36"/>
      <c r="G34" s="33">
        <f t="shared" si="8"/>
        <v>0</v>
      </c>
      <c r="H34" s="33">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0"/>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9"/>
      <c r="E35" s="16">
        <f t="shared" si="7"/>
        <v>0</v>
      </c>
      <c r="F35" s="36"/>
      <c r="G35" s="33">
        <f t="shared" si="8"/>
        <v>0</v>
      </c>
      <c r="H35" s="33">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0"/>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9"/>
      <c r="E36" s="16">
        <f t="shared" si="7"/>
        <v>0</v>
      </c>
      <c r="F36" s="36"/>
      <c r="G36" s="33">
        <f t="shared" si="8"/>
        <v>0</v>
      </c>
      <c r="H36" s="33">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0"/>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9"/>
      <c r="E37" s="16">
        <f t="shared" si="7"/>
        <v>0</v>
      </c>
      <c r="F37" s="36"/>
      <c r="G37" s="33">
        <f t="shared" si="8"/>
        <v>0</v>
      </c>
      <c r="H37" s="33">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0"/>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9"/>
      <c r="E38" s="16">
        <f t="shared" si="7"/>
        <v>0</v>
      </c>
      <c r="F38" s="36"/>
      <c r="G38" s="33">
        <f t="shared" si="8"/>
        <v>0</v>
      </c>
      <c r="H38" s="33">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0"/>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9"/>
      <c r="E39" s="16">
        <f t="shared" si="7"/>
        <v>0</v>
      </c>
      <c r="F39" s="36"/>
      <c r="G39" s="33">
        <f t="shared" si="8"/>
        <v>0</v>
      </c>
      <c r="H39" s="33">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0"/>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9"/>
      <c r="E40" s="16">
        <f t="shared" si="7"/>
        <v>0</v>
      </c>
      <c r="F40" s="36"/>
      <c r="G40" s="33">
        <f t="shared" si="8"/>
        <v>0</v>
      </c>
      <c r="H40" s="33">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0"/>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9"/>
      <c r="E41" s="16">
        <f t="shared" si="7"/>
        <v>0</v>
      </c>
      <c r="F41" s="36"/>
      <c r="G41" s="33">
        <f t="shared" si="8"/>
        <v>0</v>
      </c>
      <c r="H41" s="33">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0"/>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9"/>
      <c r="E42" s="16">
        <f t="shared" si="7"/>
        <v>0</v>
      </c>
      <c r="F42" s="36"/>
      <c r="G42" s="33">
        <f t="shared" si="8"/>
        <v>0</v>
      </c>
      <c r="H42" s="33">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0"/>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9"/>
      <c r="E43" s="16">
        <f t="shared" si="7"/>
        <v>0</v>
      </c>
      <c r="F43" s="36"/>
      <c r="G43" s="33">
        <f t="shared" si="8"/>
        <v>0</v>
      </c>
      <c r="H43" s="33">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0"/>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9"/>
      <c r="E44" s="16">
        <f t="shared" si="7"/>
        <v>0</v>
      </c>
      <c r="F44" s="36"/>
      <c r="G44" s="33">
        <f t="shared" si="8"/>
        <v>0</v>
      </c>
      <c r="H44" s="33">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0"/>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9"/>
      <c r="E45" s="16">
        <f t="shared" si="7"/>
        <v>0</v>
      </c>
      <c r="F45" s="36"/>
      <c r="G45" s="33">
        <f t="shared" si="8"/>
        <v>0</v>
      </c>
      <c r="H45" s="33">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0"/>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9"/>
      <c r="E46" s="16">
        <f t="shared" si="7"/>
        <v>0</v>
      </c>
      <c r="F46" s="36"/>
      <c r="G46" s="33">
        <f t="shared" si="8"/>
        <v>0</v>
      </c>
      <c r="H46" s="33">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0"/>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9"/>
      <c r="E47" s="16">
        <f t="shared" si="7"/>
        <v>0</v>
      </c>
      <c r="F47" s="36"/>
      <c r="G47" s="33">
        <f t="shared" si="8"/>
        <v>0</v>
      </c>
      <c r="H47" s="33">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0"/>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9"/>
      <c r="E48" s="16">
        <f t="shared" si="7"/>
        <v>0</v>
      </c>
      <c r="F48" s="36"/>
      <c r="G48" s="33">
        <f t="shared" si="8"/>
        <v>0</v>
      </c>
      <c r="H48" s="33">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0"/>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9"/>
      <c r="E49" s="16">
        <f t="shared" si="7"/>
        <v>0</v>
      </c>
      <c r="F49" s="36"/>
      <c r="G49" s="33">
        <f t="shared" si="8"/>
        <v>0</v>
      </c>
      <c r="H49" s="33">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0"/>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9"/>
      <c r="E50" s="16">
        <f t="shared" si="7"/>
        <v>0</v>
      </c>
      <c r="F50" s="36"/>
      <c r="G50" s="33">
        <f t="shared" si="8"/>
        <v>0</v>
      </c>
      <c r="H50" s="33">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0"/>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9"/>
      <c r="E51" s="16">
        <f t="shared" si="7"/>
        <v>0</v>
      </c>
      <c r="F51" s="36"/>
      <c r="G51" s="33">
        <f t="shared" si="8"/>
        <v>0</v>
      </c>
      <c r="H51" s="33">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0"/>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9"/>
      <c r="E52" s="16">
        <f t="shared" si="7"/>
        <v>0</v>
      </c>
      <c r="F52" s="36"/>
      <c r="G52" s="33">
        <f t="shared" si="8"/>
        <v>0</v>
      </c>
      <c r="H52" s="33">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0"/>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9"/>
      <c r="E53" s="16">
        <f t="shared" si="7"/>
        <v>0</v>
      </c>
      <c r="F53" s="36"/>
      <c r="G53" s="33">
        <f t="shared" si="8"/>
        <v>0</v>
      </c>
      <c r="H53" s="33">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0"/>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9"/>
      <c r="E54" s="16">
        <f t="shared" si="7"/>
        <v>0</v>
      </c>
      <c r="F54" s="36"/>
      <c r="G54" s="33">
        <f t="shared" si="8"/>
        <v>0</v>
      </c>
      <c r="H54" s="33">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0"/>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9"/>
      <c r="E55" s="16">
        <f t="shared" si="7"/>
        <v>0</v>
      </c>
      <c r="F55" s="36"/>
      <c r="G55" s="33">
        <f t="shared" si="8"/>
        <v>0</v>
      </c>
      <c r="H55" s="33">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0"/>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9"/>
      <c r="E56" s="16">
        <f t="shared" si="7"/>
        <v>0</v>
      </c>
      <c r="F56" s="36"/>
      <c r="G56" s="33">
        <f t="shared" si="8"/>
        <v>0</v>
      </c>
      <c r="H56" s="33">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0"/>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9"/>
      <c r="E57" s="16">
        <f t="shared" si="7"/>
        <v>0</v>
      </c>
      <c r="F57" s="36"/>
      <c r="G57" s="33">
        <f t="shared" si="8"/>
        <v>0</v>
      </c>
      <c r="H57" s="33">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0"/>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9"/>
      <c r="E58" s="16">
        <f t="shared" si="7"/>
        <v>0</v>
      </c>
      <c r="F58" s="36"/>
      <c r="G58" s="33">
        <f t="shared" si="8"/>
        <v>0</v>
      </c>
      <c r="H58" s="33">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0"/>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9"/>
      <c r="E59" s="16">
        <f t="shared" si="7"/>
        <v>0</v>
      </c>
      <c r="F59" s="36"/>
      <c r="G59" s="33">
        <f t="shared" si="8"/>
        <v>0</v>
      </c>
      <c r="H59" s="33">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0"/>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9"/>
      <c r="E60" s="16">
        <f t="shared" si="7"/>
        <v>0</v>
      </c>
      <c r="F60" s="36"/>
      <c r="G60" s="33">
        <f t="shared" si="8"/>
        <v>0</v>
      </c>
      <c r="H60" s="33">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0"/>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9"/>
      <c r="E61" s="16">
        <f t="shared" si="7"/>
        <v>0</v>
      </c>
      <c r="F61" s="36"/>
      <c r="G61" s="33">
        <f t="shared" si="8"/>
        <v>0</v>
      </c>
      <c r="H61" s="33">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0"/>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9"/>
      <c r="E62" s="16">
        <f t="shared" si="7"/>
        <v>0</v>
      </c>
      <c r="F62" s="36"/>
      <c r="G62" s="33">
        <f t="shared" si="8"/>
        <v>0</v>
      </c>
      <c r="H62" s="33">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0"/>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9"/>
      <c r="E63" s="16">
        <f t="shared" si="7"/>
        <v>0</v>
      </c>
      <c r="F63" s="36"/>
      <c r="G63" s="33">
        <f t="shared" si="8"/>
        <v>0</v>
      </c>
      <c r="H63" s="33">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0"/>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9"/>
      <c r="E64" s="16">
        <f t="shared" si="7"/>
        <v>0</v>
      </c>
      <c r="F64" s="36"/>
      <c r="G64" s="33">
        <f t="shared" si="8"/>
        <v>0</v>
      </c>
      <c r="H64" s="33">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0"/>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9"/>
      <c r="E65" s="16">
        <f t="shared" si="7"/>
        <v>0</v>
      </c>
      <c r="F65" s="36"/>
      <c r="G65" s="33">
        <f t="shared" si="8"/>
        <v>0</v>
      </c>
      <c r="H65" s="33">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0"/>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9"/>
      <c r="E66" s="16">
        <f t="shared" si="7"/>
        <v>0</v>
      </c>
      <c r="F66" s="36"/>
      <c r="G66" s="33">
        <f t="shared" si="8"/>
        <v>0</v>
      </c>
      <c r="H66" s="33">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0"/>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9"/>
      <c r="E67" s="16">
        <f t="shared" si="7"/>
        <v>0</v>
      </c>
      <c r="F67" s="36"/>
      <c r="G67" s="33">
        <f t="shared" si="8"/>
        <v>0</v>
      </c>
      <c r="H67" s="33">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0"/>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9"/>
      <c r="E68" s="16">
        <f t="shared" si="7"/>
        <v>0</v>
      </c>
      <c r="F68" s="36"/>
      <c r="G68" s="33">
        <f t="shared" si="8"/>
        <v>0</v>
      </c>
      <c r="H68" s="33">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0"/>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9"/>
      <c r="E69" s="16">
        <f t="shared" si="7"/>
        <v>0</v>
      </c>
      <c r="F69" s="36"/>
      <c r="G69" s="33">
        <f t="shared" si="8"/>
        <v>0</v>
      </c>
      <c r="H69" s="33">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0"/>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9"/>
      <c r="E70" s="16">
        <f t="shared" si="7"/>
        <v>0</v>
      </c>
      <c r="F70" s="36"/>
      <c r="G70" s="33">
        <f t="shared" si="8"/>
        <v>0</v>
      </c>
      <c r="H70" s="33">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0"/>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9"/>
      <c r="E71" s="16">
        <f t="shared" si="7"/>
        <v>0</v>
      </c>
      <c r="F71" s="36"/>
      <c r="G71" s="33">
        <f t="shared" si="8"/>
        <v>0</v>
      </c>
      <c r="H71" s="33">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0"/>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9"/>
      <c r="E72" s="16">
        <f t="shared" si="7"/>
        <v>0</v>
      </c>
      <c r="F72" s="36"/>
      <c r="G72" s="33">
        <f t="shared" si="8"/>
        <v>0</v>
      </c>
      <c r="H72" s="33">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0"/>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9"/>
      <c r="E73" s="16">
        <f t="shared" si="7"/>
        <v>0</v>
      </c>
      <c r="F73" s="36"/>
      <c r="G73" s="33">
        <f t="shared" si="8"/>
        <v>0</v>
      </c>
      <c r="H73" s="33">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0"/>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9"/>
      <c r="E74" s="16">
        <f t="shared" si="7"/>
        <v>0</v>
      </c>
      <c r="F74" s="36"/>
      <c r="G74" s="33">
        <f t="shared" si="8"/>
        <v>0</v>
      </c>
      <c r="H74" s="33">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0"/>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9"/>
      <c r="E75" s="16">
        <f t="shared" si="7"/>
        <v>0</v>
      </c>
      <c r="F75" s="36"/>
      <c r="G75" s="33">
        <f t="shared" si="8"/>
        <v>0</v>
      </c>
      <c r="H75" s="33">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0"/>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9"/>
      <c r="E76" s="16">
        <f t="shared" si="7"/>
        <v>0</v>
      </c>
      <c r="F76" s="36"/>
      <c r="G76" s="33">
        <f t="shared" si="8"/>
        <v>0</v>
      </c>
      <c r="H76" s="33">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0"/>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9"/>
      <c r="E77" s="16">
        <f t="shared" si="7"/>
        <v>0</v>
      </c>
      <c r="F77" s="36"/>
      <c r="G77" s="33">
        <f t="shared" si="8"/>
        <v>0</v>
      </c>
      <c r="H77" s="33">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0"/>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9"/>
      <c r="E78" s="16">
        <f t="shared" si="7"/>
        <v>0</v>
      </c>
      <c r="F78" s="36"/>
      <c r="G78" s="33">
        <f t="shared" si="8"/>
        <v>0</v>
      </c>
      <c r="H78" s="33">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0"/>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9"/>
      <c r="E79" s="16">
        <f t="shared" si="7"/>
        <v>0</v>
      </c>
      <c r="F79" s="36"/>
      <c r="G79" s="33">
        <f t="shared" si="8"/>
        <v>0</v>
      </c>
      <c r="H79" s="33">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0"/>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9"/>
      <c r="E80" s="16">
        <f t="shared" si="7"/>
        <v>0</v>
      </c>
      <c r="F80" s="36"/>
      <c r="G80" s="33">
        <f t="shared" si="8"/>
        <v>0</v>
      </c>
      <c r="H80" s="33">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0"/>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9"/>
      <c r="E81" s="16">
        <f t="shared" si="7"/>
        <v>0</v>
      </c>
      <c r="F81" s="36"/>
      <c r="G81" s="33">
        <f t="shared" si="8"/>
        <v>0</v>
      </c>
      <c r="H81" s="33">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0"/>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9"/>
      <c r="E82" s="16">
        <f t="shared" si="7"/>
        <v>0</v>
      </c>
      <c r="F82" s="36"/>
      <c r="G82" s="33">
        <f t="shared" si="8"/>
        <v>0</v>
      </c>
      <c r="H82" s="33">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0"/>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9"/>
      <c r="E83" s="16">
        <f t="shared" si="7"/>
        <v>0</v>
      </c>
      <c r="F83" s="36"/>
      <c r="G83" s="33">
        <f t="shared" si="8"/>
        <v>0</v>
      </c>
      <c r="H83" s="33">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0"/>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9"/>
      <c r="E84" s="16">
        <f t="shared" si="7"/>
        <v>0</v>
      </c>
      <c r="F84" s="36"/>
      <c r="G84" s="33">
        <f t="shared" si="8"/>
        <v>0</v>
      </c>
      <c r="H84" s="33">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0"/>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9"/>
      <c r="E85" s="16">
        <f t="shared" si="7"/>
        <v>0</v>
      </c>
      <c r="F85" s="36"/>
      <c r="G85" s="33">
        <f t="shared" si="8"/>
        <v>0</v>
      </c>
      <c r="H85" s="33">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0"/>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9"/>
      <c r="E86" s="16">
        <f t="shared" si="7"/>
        <v>0</v>
      </c>
      <c r="F86" s="36"/>
      <c r="G86" s="33">
        <f t="shared" si="8"/>
        <v>0</v>
      </c>
      <c r="H86" s="33">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0"/>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9"/>
      <c r="E87" s="16">
        <f t="shared" si="7"/>
        <v>0</v>
      </c>
      <c r="F87" s="36"/>
      <c r="G87" s="33">
        <f t="shared" si="8"/>
        <v>0</v>
      </c>
      <c r="H87" s="33">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0"/>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9"/>
      <c r="E88" s="16">
        <f t="shared" si="7"/>
        <v>0</v>
      </c>
      <c r="F88" s="36"/>
      <c r="G88" s="33">
        <f t="shared" si="8"/>
        <v>0</v>
      </c>
      <c r="H88" s="33">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0"/>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9"/>
      <c r="E89" s="16">
        <f t="shared" si="7"/>
        <v>0</v>
      </c>
      <c r="F89" s="36"/>
      <c r="G89" s="33">
        <f t="shared" si="8"/>
        <v>0</v>
      </c>
      <c r="H89" s="33">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0"/>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9"/>
      <c r="E90" s="16">
        <f t="shared" si="7"/>
        <v>0</v>
      </c>
      <c r="F90" s="36"/>
      <c r="G90" s="33">
        <f t="shared" si="8"/>
        <v>0</v>
      </c>
      <c r="H90" s="33">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0"/>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9"/>
      <c r="E91" s="16">
        <f t="shared" si="7"/>
        <v>0</v>
      </c>
      <c r="F91" s="36"/>
      <c r="G91" s="33">
        <f t="shared" si="8"/>
        <v>0</v>
      </c>
      <c r="H91" s="33">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0"/>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9"/>
      <c r="E92" s="16">
        <f t="shared" si="7"/>
        <v>0</v>
      </c>
      <c r="F92" s="36"/>
      <c r="G92" s="33">
        <f t="shared" si="8"/>
        <v>0</v>
      </c>
      <c r="H92" s="33">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0"/>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9"/>
      <c r="E93" s="16">
        <f t="shared" si="7"/>
        <v>0</v>
      </c>
      <c r="F93" s="36"/>
      <c r="G93" s="33">
        <f t="shared" si="8"/>
        <v>0</v>
      </c>
      <c r="H93" s="33">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0"/>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9"/>
      <c r="E94" s="16">
        <f t="shared" si="7"/>
        <v>0</v>
      </c>
      <c r="F94" s="36"/>
      <c r="G94" s="33">
        <f t="shared" si="8"/>
        <v>0</v>
      </c>
      <c r="H94" s="33">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0"/>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9"/>
      <c r="E95" s="16">
        <f t="shared" si="7"/>
        <v>0</v>
      </c>
      <c r="F95" s="36"/>
      <c r="G95" s="33">
        <f t="shared" si="8"/>
        <v>0</v>
      </c>
      <c r="H95" s="33">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0"/>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9"/>
      <c r="E96" s="16">
        <f t="shared" si="7"/>
        <v>0</v>
      </c>
      <c r="F96" s="36"/>
      <c r="G96" s="33">
        <f t="shared" si="8"/>
        <v>0</v>
      </c>
      <c r="H96" s="33">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0"/>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9"/>
      <c r="E97" s="16">
        <f t="shared" si="7"/>
        <v>0</v>
      </c>
      <c r="F97" s="36"/>
      <c r="G97" s="33">
        <f t="shared" si="8"/>
        <v>0</v>
      </c>
      <c r="H97" s="33">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0"/>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9"/>
      <c r="E98" s="16">
        <f t="shared" si="7"/>
        <v>0</v>
      </c>
      <c r="F98" s="36"/>
      <c r="G98" s="33">
        <f t="shared" si="8"/>
        <v>0</v>
      </c>
      <c r="H98" s="33">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0"/>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9"/>
      <c r="E99" s="16">
        <f t="shared" si="7"/>
        <v>0</v>
      </c>
      <c r="F99" s="36"/>
      <c r="G99" s="33">
        <f t="shared" si="8"/>
        <v>0</v>
      </c>
      <c r="H99" s="33">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0"/>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9"/>
      <c r="E100" s="16">
        <f t="shared" si="7"/>
        <v>0</v>
      </c>
      <c r="F100" s="36"/>
      <c r="G100" s="33">
        <f t="shared" si="8"/>
        <v>0</v>
      </c>
      <c r="H100" s="33">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0"/>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9"/>
      <c r="E101" s="16">
        <f t="shared" si="7"/>
        <v>0</v>
      </c>
      <c r="F101" s="36"/>
      <c r="G101" s="33">
        <f t="shared" si="8"/>
        <v>0</v>
      </c>
      <c r="H101" s="33">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0"/>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9"/>
      <c r="E102" s="16">
        <f t="shared" si="7"/>
        <v>0</v>
      </c>
      <c r="F102" s="36"/>
      <c r="G102" s="33">
        <f t="shared" si="8"/>
        <v>0</v>
      </c>
      <c r="H102" s="33">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0"/>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9"/>
      <c r="E103" s="16">
        <f t="shared" si="7"/>
        <v>0</v>
      </c>
      <c r="F103" s="36"/>
      <c r="G103" s="33">
        <f t="shared" si="8"/>
        <v>0</v>
      </c>
      <c r="H103" s="33">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0"/>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9"/>
      <c r="E104" s="16">
        <f t="shared" si="7"/>
        <v>0</v>
      </c>
      <c r="F104" s="36"/>
      <c r="G104" s="33">
        <f t="shared" si="8"/>
        <v>0</v>
      </c>
      <c r="H104" s="33">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0"/>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9"/>
      <c r="E105" s="16">
        <f t="shared" si="7"/>
        <v>0</v>
      </c>
      <c r="F105" s="36"/>
      <c r="G105" s="33">
        <f t="shared" si="8"/>
        <v>0</v>
      </c>
      <c r="H105" s="33">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0"/>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9"/>
      <c r="E106" s="16">
        <f t="shared" si="7"/>
        <v>0</v>
      </c>
      <c r="F106" s="36"/>
      <c r="G106" s="33">
        <f t="shared" si="8"/>
        <v>0</v>
      </c>
      <c r="H106" s="33">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0"/>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9"/>
      <c r="E107" s="16">
        <f t="shared" si="7"/>
        <v>0</v>
      </c>
      <c r="F107" s="36"/>
      <c r="G107" s="33">
        <f t="shared" si="8"/>
        <v>0</v>
      </c>
      <c r="H107" s="33">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0"/>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9"/>
      <c r="E108" s="16">
        <f t="shared" si="7"/>
        <v>0</v>
      </c>
      <c r="F108" s="36"/>
      <c r="G108" s="33">
        <f t="shared" si="8"/>
        <v>0</v>
      </c>
      <c r="H108" s="33">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0"/>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9"/>
      <c r="E109" s="16">
        <f t="shared" si="7"/>
        <v>0</v>
      </c>
      <c r="F109" s="36"/>
      <c r="G109" s="33">
        <f t="shared" si="8"/>
        <v>0</v>
      </c>
      <c r="H109" s="33">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0"/>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9"/>
      <c r="E110" s="16">
        <f t="shared" si="7"/>
        <v>0</v>
      </c>
      <c r="F110" s="44"/>
      <c r="G110" s="33">
        <f t="shared" ref="G110:G141" si="36">H110+AC110+AT110</f>
        <v>0</v>
      </c>
      <c r="H110" s="33">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5"/>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9"/>
      <c r="E111" s="16">
        <f t="shared" si="7"/>
        <v>0</v>
      </c>
      <c r="F111" s="44"/>
      <c r="G111" s="33">
        <f t="shared" si="36"/>
        <v>0</v>
      </c>
      <c r="H111" s="33">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5"/>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9"/>
      <c r="E112" s="16">
        <f t="shared" si="7"/>
        <v>0</v>
      </c>
      <c r="F112" s="44"/>
      <c r="G112" s="33">
        <f t="shared" si="36"/>
        <v>0</v>
      </c>
      <c r="H112" s="33">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5"/>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9"/>
      <c r="E113" s="16">
        <f t="shared" ref="E113:E144" si="61">IF($C$3="是",ROUND($A$3*G113/$B$3,2),ROUND($A$3*(G113-AT113)/$B$3,2))</f>
        <v>0</v>
      </c>
      <c r="F113" s="36"/>
      <c r="G113" s="33">
        <f t="shared" si="36"/>
        <v>0</v>
      </c>
      <c r="H113" s="33">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0"/>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9"/>
      <c r="E114" s="16">
        <f t="shared" si="61"/>
        <v>0</v>
      </c>
      <c r="F114" s="36"/>
      <c r="G114" s="33">
        <f t="shared" si="36"/>
        <v>0</v>
      </c>
      <c r="H114" s="33">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0"/>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9"/>
      <c r="E115" s="16">
        <f t="shared" si="61"/>
        <v>0</v>
      </c>
      <c r="F115" s="36"/>
      <c r="G115" s="33">
        <f t="shared" si="36"/>
        <v>0</v>
      </c>
      <c r="H115" s="33">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0"/>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9"/>
      <c r="E116" s="16">
        <f t="shared" si="61"/>
        <v>0</v>
      </c>
      <c r="F116" s="36"/>
      <c r="G116" s="33">
        <f t="shared" si="36"/>
        <v>0</v>
      </c>
      <c r="H116" s="33">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0"/>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9"/>
      <c r="E117" s="16">
        <f t="shared" si="61"/>
        <v>0</v>
      </c>
      <c r="F117" s="36"/>
      <c r="G117" s="33">
        <f t="shared" si="36"/>
        <v>0</v>
      </c>
      <c r="H117" s="33">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0"/>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9"/>
      <c r="E118" s="16">
        <f t="shared" si="61"/>
        <v>0</v>
      </c>
      <c r="F118" s="36"/>
      <c r="G118" s="33">
        <f t="shared" si="36"/>
        <v>0</v>
      </c>
      <c r="H118" s="33">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0"/>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9"/>
      <c r="E119" s="16">
        <f t="shared" si="61"/>
        <v>0</v>
      </c>
      <c r="F119" s="36"/>
      <c r="G119" s="33">
        <f t="shared" si="36"/>
        <v>0</v>
      </c>
      <c r="H119" s="33">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0"/>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9"/>
      <c r="E120" s="16">
        <f t="shared" si="61"/>
        <v>0</v>
      </c>
      <c r="F120" s="36"/>
      <c r="G120" s="33">
        <f t="shared" si="36"/>
        <v>0</v>
      </c>
      <c r="H120" s="33">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0"/>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9"/>
      <c r="E121" s="16">
        <f t="shared" si="61"/>
        <v>0</v>
      </c>
      <c r="F121" s="36"/>
      <c r="G121" s="33">
        <f t="shared" si="36"/>
        <v>0</v>
      </c>
      <c r="H121" s="33">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0"/>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9"/>
      <c r="E122" s="16">
        <f t="shared" si="61"/>
        <v>0</v>
      </c>
      <c r="F122" s="36"/>
      <c r="G122" s="33">
        <f t="shared" si="36"/>
        <v>0</v>
      </c>
      <c r="H122" s="33">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0"/>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9"/>
      <c r="E123" s="16">
        <f t="shared" si="61"/>
        <v>0</v>
      </c>
      <c r="F123" s="36"/>
      <c r="G123" s="33">
        <f t="shared" si="36"/>
        <v>0</v>
      </c>
      <c r="H123" s="33">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0"/>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9"/>
      <c r="E124" s="16">
        <f t="shared" si="61"/>
        <v>0</v>
      </c>
      <c r="F124" s="36"/>
      <c r="G124" s="33">
        <f t="shared" si="36"/>
        <v>0</v>
      </c>
      <c r="H124" s="33">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0"/>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9"/>
      <c r="E125" s="16">
        <f t="shared" si="61"/>
        <v>0</v>
      </c>
      <c r="F125" s="36"/>
      <c r="G125" s="33">
        <f t="shared" si="36"/>
        <v>0</v>
      </c>
      <c r="H125" s="33">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0"/>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9"/>
      <c r="E126" s="16">
        <f t="shared" si="61"/>
        <v>0</v>
      </c>
      <c r="F126" s="36"/>
      <c r="G126" s="33">
        <f t="shared" si="36"/>
        <v>0</v>
      </c>
      <c r="H126" s="33">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0"/>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9"/>
      <c r="E127" s="16">
        <f t="shared" si="61"/>
        <v>0</v>
      </c>
      <c r="F127" s="36"/>
      <c r="G127" s="33">
        <f t="shared" si="36"/>
        <v>0</v>
      </c>
      <c r="H127" s="33">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0"/>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9"/>
      <c r="E128" s="16">
        <f t="shared" si="61"/>
        <v>0</v>
      </c>
      <c r="F128" s="36"/>
      <c r="G128" s="33">
        <f t="shared" si="36"/>
        <v>0</v>
      </c>
      <c r="H128" s="33">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0"/>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9"/>
      <c r="E129" s="16">
        <f t="shared" si="61"/>
        <v>0</v>
      </c>
      <c r="F129" s="36"/>
      <c r="G129" s="33">
        <f t="shared" si="36"/>
        <v>0</v>
      </c>
      <c r="H129" s="33">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0"/>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9"/>
      <c r="E130" s="16">
        <f t="shared" si="61"/>
        <v>0</v>
      </c>
      <c r="F130" s="36"/>
      <c r="G130" s="33">
        <f t="shared" si="36"/>
        <v>0</v>
      </c>
      <c r="H130" s="33">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0"/>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9"/>
      <c r="E131" s="16">
        <f t="shared" si="61"/>
        <v>0</v>
      </c>
      <c r="F131" s="36"/>
      <c r="G131" s="33">
        <f t="shared" si="36"/>
        <v>0</v>
      </c>
      <c r="H131" s="33">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0"/>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9"/>
      <c r="E132" s="16">
        <f t="shared" si="61"/>
        <v>0</v>
      </c>
      <c r="F132" s="36"/>
      <c r="G132" s="33">
        <f t="shared" si="36"/>
        <v>0</v>
      </c>
      <c r="H132" s="33">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0"/>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9"/>
      <c r="E133" s="16">
        <f t="shared" si="61"/>
        <v>0</v>
      </c>
      <c r="F133" s="36"/>
      <c r="G133" s="33">
        <f t="shared" si="36"/>
        <v>0</v>
      </c>
      <c r="H133" s="33">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0"/>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9"/>
      <c r="E134" s="16">
        <f t="shared" si="61"/>
        <v>0</v>
      </c>
      <c r="F134" s="36"/>
      <c r="G134" s="33">
        <f t="shared" si="36"/>
        <v>0</v>
      </c>
      <c r="H134" s="33">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0"/>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9"/>
      <c r="E135" s="16">
        <f t="shared" si="61"/>
        <v>0</v>
      </c>
      <c r="F135" s="36"/>
      <c r="G135" s="33">
        <f t="shared" si="36"/>
        <v>0</v>
      </c>
      <c r="H135" s="33">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0"/>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9"/>
      <c r="E136" s="16">
        <f t="shared" si="61"/>
        <v>0</v>
      </c>
      <c r="F136" s="36"/>
      <c r="G136" s="33">
        <f t="shared" si="36"/>
        <v>0</v>
      </c>
      <c r="H136" s="33">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0"/>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9"/>
      <c r="E137" s="16">
        <f t="shared" si="61"/>
        <v>0</v>
      </c>
      <c r="F137" s="36"/>
      <c r="G137" s="33">
        <f t="shared" si="36"/>
        <v>0</v>
      </c>
      <c r="H137" s="33">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0"/>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9"/>
      <c r="E138" s="16">
        <f t="shared" si="61"/>
        <v>0</v>
      </c>
      <c r="F138" s="36"/>
      <c r="G138" s="33">
        <f t="shared" si="36"/>
        <v>0</v>
      </c>
      <c r="H138" s="33">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0"/>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9"/>
      <c r="E139" s="16">
        <f t="shared" si="61"/>
        <v>0</v>
      </c>
      <c r="F139" s="36"/>
      <c r="G139" s="33">
        <f t="shared" si="36"/>
        <v>0</v>
      </c>
      <c r="H139" s="33">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0"/>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9"/>
      <c r="E140" s="16">
        <f t="shared" si="61"/>
        <v>0</v>
      </c>
      <c r="F140" s="36"/>
      <c r="G140" s="33">
        <f t="shared" si="36"/>
        <v>0</v>
      </c>
      <c r="H140" s="33">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0"/>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9"/>
      <c r="E141" s="16">
        <f t="shared" si="61"/>
        <v>0</v>
      </c>
      <c r="F141" s="36"/>
      <c r="G141" s="33">
        <f t="shared" si="36"/>
        <v>0</v>
      </c>
      <c r="H141" s="33">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0"/>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9"/>
      <c r="E142" s="16">
        <f t="shared" si="61"/>
        <v>0</v>
      </c>
      <c r="F142" s="36"/>
      <c r="G142" s="33">
        <f t="shared" ref="G142:G173" si="65">H142+AC142+AT142</f>
        <v>0</v>
      </c>
      <c r="H142" s="33">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0"/>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9"/>
      <c r="E143" s="16">
        <f t="shared" si="61"/>
        <v>0</v>
      </c>
      <c r="F143" s="36"/>
      <c r="G143" s="33">
        <f t="shared" si="65"/>
        <v>0</v>
      </c>
      <c r="H143" s="33">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0"/>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9"/>
      <c r="E144" s="16">
        <f t="shared" si="61"/>
        <v>0</v>
      </c>
      <c r="F144" s="36"/>
      <c r="G144" s="33">
        <f t="shared" si="65"/>
        <v>0</v>
      </c>
      <c r="H144" s="33">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0"/>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9"/>
      <c r="E145" s="16">
        <f t="shared" ref="E145:E176" si="90">IF($C$3="是",ROUND($A$3*G145/$B$3,2),ROUND($A$3*(G145-AT145)/$B$3,2))</f>
        <v>0</v>
      </c>
      <c r="F145" s="36"/>
      <c r="G145" s="33">
        <f t="shared" si="65"/>
        <v>0</v>
      </c>
      <c r="H145" s="33">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0"/>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9"/>
      <c r="E146" s="16">
        <f t="shared" si="90"/>
        <v>0</v>
      </c>
      <c r="F146" s="36"/>
      <c r="G146" s="33">
        <f t="shared" si="65"/>
        <v>0</v>
      </c>
      <c r="H146" s="33">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0"/>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9"/>
      <c r="E147" s="16">
        <f t="shared" si="90"/>
        <v>0</v>
      </c>
      <c r="F147" s="36"/>
      <c r="G147" s="33">
        <f t="shared" si="65"/>
        <v>0</v>
      </c>
      <c r="H147" s="33">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0"/>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9"/>
      <c r="E148" s="16">
        <f t="shared" si="90"/>
        <v>0</v>
      </c>
      <c r="F148" s="36"/>
      <c r="G148" s="33">
        <f t="shared" si="65"/>
        <v>0</v>
      </c>
      <c r="H148" s="33">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0"/>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9"/>
      <c r="E149" s="16">
        <f t="shared" si="90"/>
        <v>0</v>
      </c>
      <c r="F149" s="36"/>
      <c r="G149" s="33">
        <f t="shared" si="65"/>
        <v>0</v>
      </c>
      <c r="H149" s="33">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0"/>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9"/>
      <c r="E150" s="16">
        <f t="shared" si="90"/>
        <v>0</v>
      </c>
      <c r="F150" s="36"/>
      <c r="G150" s="33">
        <f t="shared" si="65"/>
        <v>0</v>
      </c>
      <c r="H150" s="33">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0"/>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9"/>
      <c r="E151" s="16">
        <f t="shared" si="90"/>
        <v>0</v>
      </c>
      <c r="F151" s="36"/>
      <c r="G151" s="33">
        <f t="shared" si="65"/>
        <v>0</v>
      </c>
      <c r="H151" s="33">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0"/>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9"/>
      <c r="E152" s="16">
        <f t="shared" si="90"/>
        <v>0</v>
      </c>
      <c r="F152" s="36"/>
      <c r="G152" s="33">
        <f t="shared" si="65"/>
        <v>0</v>
      </c>
      <c r="H152" s="33">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0"/>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9"/>
      <c r="E153" s="16">
        <f t="shared" si="90"/>
        <v>0</v>
      </c>
      <c r="F153" s="36"/>
      <c r="G153" s="33">
        <f t="shared" si="65"/>
        <v>0</v>
      </c>
      <c r="H153" s="33">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0"/>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9"/>
      <c r="E154" s="16">
        <f t="shared" si="90"/>
        <v>0</v>
      </c>
      <c r="F154" s="36"/>
      <c r="G154" s="33">
        <f t="shared" si="65"/>
        <v>0</v>
      </c>
      <c r="H154" s="33">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0"/>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9"/>
      <c r="E155" s="16">
        <f t="shared" si="90"/>
        <v>0</v>
      </c>
      <c r="F155" s="36"/>
      <c r="G155" s="33">
        <f t="shared" si="65"/>
        <v>0</v>
      </c>
      <c r="H155" s="33">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0"/>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9"/>
      <c r="E156" s="16">
        <f t="shared" si="90"/>
        <v>0</v>
      </c>
      <c r="F156" s="36"/>
      <c r="G156" s="33">
        <f t="shared" si="65"/>
        <v>0</v>
      </c>
      <c r="H156" s="33">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0"/>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9"/>
      <c r="E157" s="16">
        <f t="shared" si="90"/>
        <v>0</v>
      </c>
      <c r="F157" s="36"/>
      <c r="G157" s="33">
        <f t="shared" si="65"/>
        <v>0</v>
      </c>
      <c r="H157" s="33">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0"/>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9"/>
      <c r="E158" s="16">
        <f t="shared" si="90"/>
        <v>0</v>
      </c>
      <c r="F158" s="36"/>
      <c r="G158" s="33">
        <f t="shared" si="65"/>
        <v>0</v>
      </c>
      <c r="H158" s="33">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0"/>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9"/>
      <c r="E159" s="16">
        <f t="shared" si="90"/>
        <v>0</v>
      </c>
      <c r="F159" s="36"/>
      <c r="G159" s="33">
        <f t="shared" si="65"/>
        <v>0</v>
      </c>
      <c r="H159" s="33">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0"/>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9"/>
      <c r="E160" s="16">
        <f t="shared" si="90"/>
        <v>0</v>
      </c>
      <c r="F160" s="36"/>
      <c r="G160" s="33">
        <f t="shared" si="65"/>
        <v>0</v>
      </c>
      <c r="H160" s="33">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0"/>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9"/>
      <c r="E161" s="16">
        <f t="shared" si="90"/>
        <v>0</v>
      </c>
      <c r="F161" s="36"/>
      <c r="G161" s="33">
        <f t="shared" si="65"/>
        <v>0</v>
      </c>
      <c r="H161" s="33">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0"/>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9"/>
      <c r="E162" s="16">
        <f t="shared" si="90"/>
        <v>0</v>
      </c>
      <c r="F162" s="36"/>
      <c r="G162" s="33">
        <f t="shared" si="65"/>
        <v>0</v>
      </c>
      <c r="H162" s="33">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0"/>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9"/>
      <c r="E163" s="16">
        <f t="shared" si="90"/>
        <v>0</v>
      </c>
      <c r="F163" s="36"/>
      <c r="G163" s="33">
        <f t="shared" si="65"/>
        <v>0</v>
      </c>
      <c r="H163" s="33">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0"/>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9"/>
      <c r="E164" s="16">
        <f t="shared" si="90"/>
        <v>0</v>
      </c>
      <c r="F164" s="36"/>
      <c r="G164" s="33">
        <f t="shared" si="65"/>
        <v>0</v>
      </c>
      <c r="H164" s="33">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0"/>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9"/>
      <c r="E165" s="16">
        <f t="shared" si="90"/>
        <v>0</v>
      </c>
      <c r="F165" s="36"/>
      <c r="G165" s="33">
        <f t="shared" si="65"/>
        <v>0</v>
      </c>
      <c r="H165" s="33">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0"/>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9"/>
      <c r="E166" s="16">
        <f t="shared" si="90"/>
        <v>0</v>
      </c>
      <c r="F166" s="36"/>
      <c r="G166" s="33">
        <f t="shared" si="65"/>
        <v>0</v>
      </c>
      <c r="H166" s="33">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0"/>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9"/>
      <c r="E167" s="16">
        <f t="shared" si="90"/>
        <v>0</v>
      </c>
      <c r="F167" s="36"/>
      <c r="G167" s="33">
        <f t="shared" si="65"/>
        <v>0</v>
      </c>
      <c r="H167" s="33">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0"/>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9"/>
      <c r="E168" s="16">
        <f t="shared" si="90"/>
        <v>0</v>
      </c>
      <c r="F168" s="36"/>
      <c r="G168" s="33">
        <f t="shared" si="65"/>
        <v>0</v>
      </c>
      <c r="H168" s="33">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0"/>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9"/>
      <c r="E169" s="16">
        <f t="shared" si="90"/>
        <v>0</v>
      </c>
      <c r="F169" s="36"/>
      <c r="G169" s="33">
        <f t="shared" si="65"/>
        <v>0</v>
      </c>
      <c r="H169" s="33">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0"/>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9"/>
      <c r="E170" s="16">
        <f t="shared" si="90"/>
        <v>0</v>
      </c>
      <c r="F170" s="36"/>
      <c r="G170" s="33">
        <f t="shared" si="65"/>
        <v>0</v>
      </c>
      <c r="H170" s="33">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0"/>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9"/>
      <c r="E171" s="16">
        <f t="shared" si="90"/>
        <v>0</v>
      </c>
      <c r="F171" s="36"/>
      <c r="G171" s="33">
        <f t="shared" si="65"/>
        <v>0</v>
      </c>
      <c r="H171" s="33">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0"/>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9"/>
      <c r="E172" s="16">
        <f t="shared" si="90"/>
        <v>0</v>
      </c>
      <c r="F172" s="36"/>
      <c r="G172" s="33">
        <f t="shared" si="65"/>
        <v>0</v>
      </c>
      <c r="H172" s="33">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0"/>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9"/>
      <c r="E173" s="16">
        <f t="shared" si="90"/>
        <v>0</v>
      </c>
      <c r="F173" s="36"/>
      <c r="G173" s="33">
        <f t="shared" si="65"/>
        <v>0</v>
      </c>
      <c r="H173" s="33">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0"/>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9"/>
      <c r="E174" s="16">
        <f t="shared" si="90"/>
        <v>0</v>
      </c>
      <c r="F174" s="36"/>
      <c r="G174" s="33">
        <f t="shared" ref="G174:G205" si="94">H174+AC174+AT174</f>
        <v>0</v>
      </c>
      <c r="H174" s="33">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0"/>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9"/>
      <c r="E175" s="16">
        <f t="shared" si="90"/>
        <v>0</v>
      </c>
      <c r="F175" s="36"/>
      <c r="G175" s="33">
        <f t="shared" si="94"/>
        <v>0</v>
      </c>
      <c r="H175" s="33">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0"/>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9"/>
      <c r="E176" s="16">
        <f t="shared" si="90"/>
        <v>0</v>
      </c>
      <c r="F176" s="36"/>
      <c r="G176" s="33">
        <f t="shared" si="94"/>
        <v>0</v>
      </c>
      <c r="H176" s="33">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0"/>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9"/>
      <c r="E177" s="16">
        <f t="shared" ref="E177:E207" si="119">IF($C$3="是",ROUND($A$3*G177/$B$3,2),ROUND($A$3*(G177-AT177)/$B$3,2))</f>
        <v>0</v>
      </c>
      <c r="F177" s="36"/>
      <c r="G177" s="33">
        <f t="shared" si="94"/>
        <v>0</v>
      </c>
      <c r="H177" s="33">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0"/>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9"/>
      <c r="E178" s="16">
        <f t="shared" si="119"/>
        <v>0</v>
      </c>
      <c r="F178" s="36"/>
      <c r="G178" s="33">
        <f t="shared" si="94"/>
        <v>0</v>
      </c>
      <c r="H178" s="33">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0"/>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9"/>
      <c r="E179" s="16">
        <f t="shared" si="119"/>
        <v>0</v>
      </c>
      <c r="F179" s="36"/>
      <c r="G179" s="33">
        <f t="shared" si="94"/>
        <v>0</v>
      </c>
      <c r="H179" s="33">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0"/>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9"/>
      <c r="E180" s="16">
        <f t="shared" si="119"/>
        <v>0</v>
      </c>
      <c r="F180" s="36"/>
      <c r="G180" s="33">
        <f t="shared" si="94"/>
        <v>0</v>
      </c>
      <c r="H180" s="33">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0"/>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9"/>
      <c r="E181" s="16">
        <f t="shared" si="119"/>
        <v>0</v>
      </c>
      <c r="F181" s="36"/>
      <c r="G181" s="33">
        <f t="shared" si="94"/>
        <v>0</v>
      </c>
      <c r="H181" s="33">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0"/>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9"/>
      <c r="E182" s="16">
        <f t="shared" si="119"/>
        <v>0</v>
      </c>
      <c r="F182" s="36"/>
      <c r="G182" s="33">
        <f t="shared" si="94"/>
        <v>0</v>
      </c>
      <c r="H182" s="33">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0"/>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9"/>
      <c r="E183" s="16">
        <f t="shared" si="119"/>
        <v>0</v>
      </c>
      <c r="F183" s="36"/>
      <c r="G183" s="33">
        <f t="shared" si="94"/>
        <v>0</v>
      </c>
      <c r="H183" s="33">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0"/>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9"/>
      <c r="E184" s="16">
        <f t="shared" si="119"/>
        <v>0</v>
      </c>
      <c r="F184" s="36"/>
      <c r="G184" s="33">
        <f t="shared" si="94"/>
        <v>0</v>
      </c>
      <c r="H184" s="33">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0"/>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9"/>
      <c r="E185" s="16">
        <f t="shared" si="119"/>
        <v>0</v>
      </c>
      <c r="F185" s="36"/>
      <c r="G185" s="33">
        <f t="shared" si="94"/>
        <v>0</v>
      </c>
      <c r="H185" s="33">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0"/>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9"/>
      <c r="E186" s="16">
        <f t="shared" si="119"/>
        <v>0</v>
      </c>
      <c r="F186" s="36"/>
      <c r="G186" s="33">
        <f t="shared" si="94"/>
        <v>0</v>
      </c>
      <c r="H186" s="33">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0"/>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9"/>
      <c r="E187" s="16">
        <f t="shared" si="119"/>
        <v>0</v>
      </c>
      <c r="F187" s="36"/>
      <c r="G187" s="33">
        <f t="shared" si="94"/>
        <v>0</v>
      </c>
      <c r="H187" s="33">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0"/>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9"/>
      <c r="E188" s="16">
        <f t="shared" si="119"/>
        <v>0</v>
      </c>
      <c r="F188" s="36"/>
      <c r="G188" s="33">
        <f t="shared" si="94"/>
        <v>0</v>
      </c>
      <c r="H188" s="33">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0"/>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9"/>
      <c r="E189" s="16">
        <f t="shared" si="119"/>
        <v>0</v>
      </c>
      <c r="F189" s="36"/>
      <c r="G189" s="33">
        <f t="shared" si="94"/>
        <v>0</v>
      </c>
      <c r="H189" s="33">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0"/>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9"/>
      <c r="E190" s="16">
        <f t="shared" si="119"/>
        <v>0</v>
      </c>
      <c r="F190" s="36"/>
      <c r="G190" s="33">
        <f t="shared" si="94"/>
        <v>0</v>
      </c>
      <c r="H190" s="33">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0"/>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9"/>
      <c r="E191" s="16">
        <f t="shared" si="119"/>
        <v>0</v>
      </c>
      <c r="F191" s="36"/>
      <c r="G191" s="33">
        <f t="shared" si="94"/>
        <v>0</v>
      </c>
      <c r="H191" s="33">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0"/>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9"/>
      <c r="E192" s="16">
        <f t="shared" si="119"/>
        <v>0</v>
      </c>
      <c r="F192" s="36"/>
      <c r="G192" s="33">
        <f t="shared" si="94"/>
        <v>0</v>
      </c>
      <c r="H192" s="33">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0"/>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9"/>
      <c r="E193" s="16">
        <f t="shared" si="119"/>
        <v>0</v>
      </c>
      <c r="F193" s="36"/>
      <c r="G193" s="33">
        <f t="shared" si="94"/>
        <v>0</v>
      </c>
      <c r="H193" s="33">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0"/>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9"/>
      <c r="E194" s="16">
        <f t="shared" si="119"/>
        <v>0</v>
      </c>
      <c r="F194" s="36"/>
      <c r="G194" s="33">
        <f t="shared" si="94"/>
        <v>0</v>
      </c>
      <c r="H194" s="33">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0"/>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9"/>
      <c r="E195" s="16">
        <f t="shared" si="119"/>
        <v>0</v>
      </c>
      <c r="F195" s="36"/>
      <c r="G195" s="33">
        <f t="shared" si="94"/>
        <v>0</v>
      </c>
      <c r="H195" s="33">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0"/>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9"/>
      <c r="E196" s="16">
        <f t="shared" si="119"/>
        <v>0</v>
      </c>
      <c r="F196" s="36"/>
      <c r="G196" s="33">
        <f t="shared" si="94"/>
        <v>0</v>
      </c>
      <c r="H196" s="33">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0"/>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9"/>
      <c r="E197" s="16">
        <f t="shared" si="119"/>
        <v>0</v>
      </c>
      <c r="F197" s="36"/>
      <c r="G197" s="33">
        <f t="shared" si="94"/>
        <v>0</v>
      </c>
      <c r="H197" s="33">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0"/>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9"/>
      <c r="E198" s="16">
        <f t="shared" si="119"/>
        <v>0</v>
      </c>
      <c r="F198" s="36"/>
      <c r="G198" s="33">
        <f t="shared" si="94"/>
        <v>0</v>
      </c>
      <c r="H198" s="33">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0"/>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9"/>
      <c r="E199" s="16">
        <f t="shared" si="119"/>
        <v>0</v>
      </c>
      <c r="F199" s="36"/>
      <c r="G199" s="33">
        <f t="shared" si="94"/>
        <v>0</v>
      </c>
      <c r="H199" s="33">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0"/>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9"/>
      <c r="E200" s="16">
        <f t="shared" si="119"/>
        <v>0</v>
      </c>
      <c r="F200" s="36"/>
      <c r="G200" s="33">
        <f t="shared" si="94"/>
        <v>0</v>
      </c>
      <c r="H200" s="33">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0"/>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9"/>
      <c r="E201" s="16">
        <f t="shared" si="119"/>
        <v>0</v>
      </c>
      <c r="F201" s="36"/>
      <c r="G201" s="33">
        <f t="shared" si="94"/>
        <v>0</v>
      </c>
      <c r="H201" s="33">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0"/>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9"/>
      <c r="E202" s="16">
        <f t="shared" si="119"/>
        <v>0</v>
      </c>
      <c r="F202" s="36"/>
      <c r="G202" s="33">
        <f t="shared" si="94"/>
        <v>0</v>
      </c>
      <c r="H202" s="33">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0"/>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9"/>
      <c r="E203" s="16">
        <f t="shared" si="119"/>
        <v>0</v>
      </c>
      <c r="F203" s="36"/>
      <c r="G203" s="33">
        <f t="shared" si="94"/>
        <v>0</v>
      </c>
      <c r="H203" s="33">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0"/>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9"/>
      <c r="E204" s="16">
        <f t="shared" si="119"/>
        <v>0</v>
      </c>
      <c r="F204" s="36"/>
      <c r="G204" s="33">
        <f t="shared" si="94"/>
        <v>0</v>
      </c>
      <c r="H204" s="33">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0"/>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9"/>
      <c r="E205" s="16">
        <f t="shared" si="119"/>
        <v>0</v>
      </c>
      <c r="F205" s="44"/>
      <c r="G205" s="33">
        <f t="shared" si="94"/>
        <v>0</v>
      </c>
      <c r="H205" s="33">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5"/>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9"/>
      <c r="E206" s="16">
        <f t="shared" si="119"/>
        <v>0</v>
      </c>
      <c r="F206" s="44"/>
      <c r="G206" s="33">
        <f>H206+AC206+AT206</f>
        <v>0</v>
      </c>
      <c r="H206" s="33">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5"/>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9"/>
      <c r="E207" s="16">
        <f t="shared" si="119"/>
        <v>0</v>
      </c>
      <c r="F207" s="44"/>
      <c r="G207" s="33">
        <f>H207+AC207+AT207</f>
        <v>0</v>
      </c>
      <c r="H207" s="33">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5"/>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9"/>
      <c r="E208" s="16">
        <f t="shared" ref="E208:E302" si="123">IF($C$3="是",ROUND($A$3*G208/$B$3,2),ROUND($A$3*(G208-AT208)/$B$3,2))</f>
        <v>0</v>
      </c>
      <c r="F208" s="36"/>
      <c r="G208" s="33">
        <f t="shared" ref="G208:G299" si="124">H208+AC208+AT208</f>
        <v>0</v>
      </c>
      <c r="H208" s="33">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0"/>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9"/>
      <c r="E209" s="16">
        <f t="shared" si="123"/>
        <v>0</v>
      </c>
      <c r="F209" s="36"/>
      <c r="G209" s="33">
        <f t="shared" si="124"/>
        <v>0</v>
      </c>
      <c r="H209" s="33">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0"/>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9"/>
      <c r="E210" s="16">
        <f t="shared" si="123"/>
        <v>0</v>
      </c>
      <c r="F210" s="36"/>
      <c r="G210" s="33">
        <f t="shared" si="124"/>
        <v>0</v>
      </c>
      <c r="H210" s="33">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0"/>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9"/>
      <c r="E211" s="16">
        <f t="shared" si="123"/>
        <v>0</v>
      </c>
      <c r="F211" s="36"/>
      <c r="G211" s="33">
        <f t="shared" si="124"/>
        <v>0</v>
      </c>
      <c r="H211" s="33">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0"/>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9"/>
      <c r="E212" s="16">
        <f t="shared" si="123"/>
        <v>0</v>
      </c>
      <c r="F212" s="36"/>
      <c r="G212" s="33">
        <f t="shared" si="124"/>
        <v>0</v>
      </c>
      <c r="H212" s="33">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0"/>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9"/>
      <c r="E213" s="16">
        <f t="shared" si="123"/>
        <v>0</v>
      </c>
      <c r="F213" s="36"/>
      <c r="G213" s="33">
        <f t="shared" si="124"/>
        <v>0</v>
      </c>
      <c r="H213" s="33">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0"/>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9"/>
      <c r="E214" s="16">
        <f t="shared" si="123"/>
        <v>0</v>
      </c>
      <c r="F214" s="36"/>
      <c r="G214" s="33">
        <f t="shared" si="124"/>
        <v>0</v>
      </c>
      <c r="H214" s="33">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0"/>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9"/>
      <c r="E215" s="16">
        <f t="shared" si="123"/>
        <v>0</v>
      </c>
      <c r="F215" s="36"/>
      <c r="G215" s="33">
        <f t="shared" si="124"/>
        <v>0</v>
      </c>
      <c r="H215" s="33">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0"/>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9"/>
      <c r="E216" s="16">
        <f t="shared" si="123"/>
        <v>0</v>
      </c>
      <c r="F216" s="36"/>
      <c r="G216" s="33">
        <f t="shared" si="124"/>
        <v>0</v>
      </c>
      <c r="H216" s="33">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0"/>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9"/>
      <c r="E217" s="16">
        <f t="shared" si="123"/>
        <v>0</v>
      </c>
      <c r="F217" s="36"/>
      <c r="G217" s="33">
        <f t="shared" si="124"/>
        <v>0</v>
      </c>
      <c r="H217" s="33">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0"/>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9"/>
      <c r="E218" s="16">
        <f t="shared" si="123"/>
        <v>0</v>
      </c>
      <c r="F218" s="36"/>
      <c r="G218" s="33">
        <f t="shared" si="124"/>
        <v>0</v>
      </c>
      <c r="H218" s="33">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0"/>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9"/>
      <c r="E219" s="16">
        <f t="shared" si="123"/>
        <v>0</v>
      </c>
      <c r="F219" s="36"/>
      <c r="G219" s="33">
        <f t="shared" si="124"/>
        <v>0</v>
      </c>
      <c r="H219" s="33">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0"/>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9"/>
      <c r="E220" s="16">
        <f t="shared" si="123"/>
        <v>0</v>
      </c>
      <c r="F220" s="36"/>
      <c r="G220" s="33">
        <f t="shared" si="124"/>
        <v>0</v>
      </c>
      <c r="H220" s="33">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0"/>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9"/>
      <c r="E221" s="16">
        <f t="shared" si="123"/>
        <v>0</v>
      </c>
      <c r="F221" s="36"/>
      <c r="G221" s="33">
        <f t="shared" si="124"/>
        <v>0</v>
      </c>
      <c r="H221" s="33">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0"/>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9"/>
      <c r="E222" s="16">
        <f t="shared" si="123"/>
        <v>0</v>
      </c>
      <c r="F222" s="36"/>
      <c r="G222" s="33">
        <f t="shared" si="124"/>
        <v>0</v>
      </c>
      <c r="H222" s="33">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0"/>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9"/>
      <c r="E223" s="16">
        <f t="shared" si="123"/>
        <v>0</v>
      </c>
      <c r="F223" s="36"/>
      <c r="G223" s="33">
        <f t="shared" si="124"/>
        <v>0</v>
      </c>
      <c r="H223" s="33">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0"/>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9"/>
      <c r="E224" s="16">
        <f t="shared" si="123"/>
        <v>0</v>
      </c>
      <c r="F224" s="36"/>
      <c r="G224" s="33">
        <f t="shared" si="124"/>
        <v>0</v>
      </c>
      <c r="H224" s="33">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0"/>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9"/>
      <c r="E225" s="16">
        <f t="shared" si="123"/>
        <v>0</v>
      </c>
      <c r="F225" s="36"/>
      <c r="G225" s="33">
        <f t="shared" si="124"/>
        <v>0</v>
      </c>
      <c r="H225" s="33">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0"/>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9"/>
      <c r="E226" s="16">
        <f t="shared" si="123"/>
        <v>0</v>
      </c>
      <c r="F226" s="36"/>
      <c r="G226" s="33">
        <f t="shared" si="124"/>
        <v>0</v>
      </c>
      <c r="H226" s="33">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0"/>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9"/>
      <c r="E227" s="16">
        <f t="shared" si="123"/>
        <v>0</v>
      </c>
      <c r="F227" s="36"/>
      <c r="G227" s="33">
        <f t="shared" si="124"/>
        <v>0</v>
      </c>
      <c r="H227" s="33">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0"/>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9"/>
      <c r="E228" s="16">
        <f t="shared" si="123"/>
        <v>0</v>
      </c>
      <c r="F228" s="36"/>
      <c r="G228" s="33">
        <f t="shared" si="124"/>
        <v>0</v>
      </c>
      <c r="H228" s="33">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0"/>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9"/>
      <c r="E229" s="16">
        <f t="shared" si="123"/>
        <v>0</v>
      </c>
      <c r="F229" s="36"/>
      <c r="G229" s="33">
        <f t="shared" si="124"/>
        <v>0</v>
      </c>
      <c r="H229" s="33">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0"/>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9"/>
      <c r="E230" s="16">
        <f t="shared" si="123"/>
        <v>0</v>
      </c>
      <c r="F230" s="36"/>
      <c r="G230" s="33">
        <f t="shared" si="124"/>
        <v>0</v>
      </c>
      <c r="H230" s="33">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0"/>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9"/>
      <c r="E231" s="16">
        <f t="shared" si="123"/>
        <v>0</v>
      </c>
      <c r="F231" s="36"/>
      <c r="G231" s="33">
        <f t="shared" si="124"/>
        <v>0</v>
      </c>
      <c r="H231" s="33">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0"/>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9"/>
      <c r="E232" s="16">
        <f t="shared" si="123"/>
        <v>0</v>
      </c>
      <c r="F232" s="36"/>
      <c r="G232" s="33">
        <f t="shared" si="124"/>
        <v>0</v>
      </c>
      <c r="H232" s="33">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0"/>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9"/>
      <c r="E233" s="16">
        <f t="shared" si="123"/>
        <v>0</v>
      </c>
      <c r="F233" s="36"/>
      <c r="G233" s="33">
        <f t="shared" si="124"/>
        <v>0</v>
      </c>
      <c r="H233" s="33">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0"/>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9"/>
      <c r="E234" s="16">
        <f t="shared" si="123"/>
        <v>0</v>
      </c>
      <c r="F234" s="36"/>
      <c r="G234" s="33">
        <f t="shared" si="124"/>
        <v>0</v>
      </c>
      <c r="H234" s="33">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0"/>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9"/>
      <c r="E235" s="16">
        <f t="shared" si="123"/>
        <v>0</v>
      </c>
      <c r="F235" s="36"/>
      <c r="G235" s="33">
        <f t="shared" si="124"/>
        <v>0</v>
      </c>
      <c r="H235" s="33">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0"/>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9"/>
      <c r="E236" s="16">
        <f t="shared" si="123"/>
        <v>0</v>
      </c>
      <c r="F236" s="36"/>
      <c r="G236" s="33">
        <f t="shared" si="124"/>
        <v>0</v>
      </c>
      <c r="H236" s="33">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0"/>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9"/>
      <c r="E237" s="16">
        <f t="shared" si="123"/>
        <v>0</v>
      </c>
      <c r="F237" s="36"/>
      <c r="G237" s="33">
        <f t="shared" si="124"/>
        <v>0</v>
      </c>
      <c r="H237" s="33">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0"/>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9"/>
      <c r="E238" s="16">
        <f t="shared" si="123"/>
        <v>0</v>
      </c>
      <c r="F238" s="36"/>
      <c r="G238" s="33">
        <f t="shared" si="124"/>
        <v>0</v>
      </c>
      <c r="H238" s="33">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0"/>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9"/>
      <c r="E239" s="16">
        <f t="shared" si="123"/>
        <v>0</v>
      </c>
      <c r="F239" s="36"/>
      <c r="G239" s="33">
        <f t="shared" si="124"/>
        <v>0</v>
      </c>
      <c r="H239" s="33">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0"/>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9"/>
      <c r="E240" s="16">
        <f t="shared" si="123"/>
        <v>0</v>
      </c>
      <c r="F240" s="36"/>
      <c r="G240" s="33">
        <f t="shared" si="124"/>
        <v>0</v>
      </c>
      <c r="H240" s="33">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0"/>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9"/>
      <c r="E241" s="16">
        <f t="shared" si="123"/>
        <v>0</v>
      </c>
      <c r="F241" s="36"/>
      <c r="G241" s="33">
        <f t="shared" si="124"/>
        <v>0</v>
      </c>
      <c r="H241" s="33">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0"/>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9"/>
      <c r="E242" s="16">
        <f t="shared" si="123"/>
        <v>0</v>
      </c>
      <c r="F242" s="36"/>
      <c r="G242" s="33">
        <f t="shared" si="124"/>
        <v>0</v>
      </c>
      <c r="H242" s="33">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0"/>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9"/>
      <c r="E243" s="16">
        <f t="shared" si="123"/>
        <v>0</v>
      </c>
      <c r="F243" s="36"/>
      <c r="G243" s="33">
        <f t="shared" si="124"/>
        <v>0</v>
      </c>
      <c r="H243" s="33">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0"/>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9"/>
      <c r="E244" s="16">
        <f t="shared" si="123"/>
        <v>0</v>
      </c>
      <c r="F244" s="36"/>
      <c r="G244" s="33">
        <f t="shared" si="124"/>
        <v>0</v>
      </c>
      <c r="H244" s="33">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0"/>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9"/>
      <c r="E245" s="16">
        <f t="shared" si="123"/>
        <v>0</v>
      </c>
      <c r="F245" s="36"/>
      <c r="G245" s="33">
        <f t="shared" si="124"/>
        <v>0</v>
      </c>
      <c r="H245" s="33">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0"/>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9"/>
      <c r="E246" s="16">
        <f t="shared" si="123"/>
        <v>0</v>
      </c>
      <c r="F246" s="36"/>
      <c r="G246" s="33">
        <f t="shared" si="124"/>
        <v>0</v>
      </c>
      <c r="H246" s="33">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0"/>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9"/>
      <c r="E247" s="16">
        <f t="shared" si="123"/>
        <v>0</v>
      </c>
      <c r="F247" s="36"/>
      <c r="G247" s="33">
        <f t="shared" si="124"/>
        <v>0</v>
      </c>
      <c r="H247" s="33">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0"/>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9"/>
      <c r="E248" s="16">
        <f t="shared" si="123"/>
        <v>0</v>
      </c>
      <c r="F248" s="36"/>
      <c r="G248" s="33">
        <f t="shared" si="124"/>
        <v>0</v>
      </c>
      <c r="H248" s="33">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0"/>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9"/>
      <c r="E249" s="16">
        <f t="shared" si="123"/>
        <v>0</v>
      </c>
      <c r="F249" s="36"/>
      <c r="G249" s="33">
        <f t="shared" si="124"/>
        <v>0</v>
      </c>
      <c r="H249" s="33">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0"/>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9"/>
      <c r="E250" s="16">
        <f t="shared" si="123"/>
        <v>0</v>
      </c>
      <c r="F250" s="36"/>
      <c r="G250" s="33">
        <f t="shared" si="124"/>
        <v>0</v>
      </c>
      <c r="H250" s="33">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0"/>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9"/>
      <c r="E251" s="16">
        <f t="shared" si="123"/>
        <v>0</v>
      </c>
      <c r="F251" s="36"/>
      <c r="G251" s="33">
        <f t="shared" si="124"/>
        <v>0</v>
      </c>
      <c r="H251" s="33">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0"/>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9"/>
      <c r="E252" s="16">
        <f t="shared" si="123"/>
        <v>0</v>
      </c>
      <c r="F252" s="36"/>
      <c r="G252" s="33">
        <f t="shared" si="124"/>
        <v>0</v>
      </c>
      <c r="H252" s="33">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0"/>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9"/>
      <c r="E253" s="16">
        <f t="shared" si="123"/>
        <v>0</v>
      </c>
      <c r="F253" s="36"/>
      <c r="G253" s="33">
        <f t="shared" si="124"/>
        <v>0</v>
      </c>
      <c r="H253" s="33">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0"/>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9"/>
      <c r="E254" s="16">
        <f t="shared" si="123"/>
        <v>0</v>
      </c>
      <c r="F254" s="36"/>
      <c r="G254" s="33">
        <f t="shared" si="124"/>
        <v>0</v>
      </c>
      <c r="H254" s="33">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0"/>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9"/>
      <c r="E255" s="16">
        <f t="shared" si="123"/>
        <v>0</v>
      </c>
      <c r="F255" s="36"/>
      <c r="G255" s="33">
        <f t="shared" si="124"/>
        <v>0</v>
      </c>
      <c r="H255" s="33">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0"/>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9"/>
      <c r="E256" s="16">
        <f t="shared" si="123"/>
        <v>0</v>
      </c>
      <c r="F256" s="36"/>
      <c r="G256" s="33">
        <f t="shared" si="124"/>
        <v>0</v>
      </c>
      <c r="H256" s="33">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0"/>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9"/>
      <c r="E257" s="16">
        <f t="shared" si="123"/>
        <v>0</v>
      </c>
      <c r="F257" s="36"/>
      <c r="G257" s="33">
        <f t="shared" si="124"/>
        <v>0</v>
      </c>
      <c r="H257" s="33">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0"/>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9"/>
      <c r="E258" s="16">
        <f t="shared" si="123"/>
        <v>0</v>
      </c>
      <c r="F258" s="36"/>
      <c r="G258" s="33">
        <f t="shared" si="124"/>
        <v>0</v>
      </c>
      <c r="H258" s="33">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0"/>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9"/>
      <c r="E259" s="16">
        <f t="shared" si="123"/>
        <v>0</v>
      </c>
      <c r="F259" s="36"/>
      <c r="G259" s="33">
        <f t="shared" si="124"/>
        <v>0</v>
      </c>
      <c r="H259" s="33">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0"/>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9"/>
      <c r="E260" s="16">
        <f t="shared" si="123"/>
        <v>0</v>
      </c>
      <c r="F260" s="36"/>
      <c r="G260" s="33">
        <f t="shared" si="124"/>
        <v>0</v>
      </c>
      <c r="H260" s="33">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0"/>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9"/>
      <c r="E261" s="16">
        <f t="shared" si="123"/>
        <v>0</v>
      </c>
      <c r="F261" s="36"/>
      <c r="G261" s="33">
        <f t="shared" si="124"/>
        <v>0</v>
      </c>
      <c r="H261" s="33">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0"/>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9"/>
      <c r="E262" s="16">
        <f t="shared" si="123"/>
        <v>0</v>
      </c>
      <c r="F262" s="36"/>
      <c r="G262" s="33">
        <f t="shared" si="124"/>
        <v>0</v>
      </c>
      <c r="H262" s="33">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0"/>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9"/>
      <c r="E263" s="16">
        <f t="shared" si="123"/>
        <v>0</v>
      </c>
      <c r="F263" s="36"/>
      <c r="G263" s="33">
        <f t="shared" si="124"/>
        <v>0</v>
      </c>
      <c r="H263" s="33">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0"/>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9"/>
      <c r="E264" s="16">
        <f t="shared" si="123"/>
        <v>0</v>
      </c>
      <c r="F264" s="36"/>
      <c r="G264" s="33">
        <f t="shared" si="124"/>
        <v>0</v>
      </c>
      <c r="H264" s="33">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0"/>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9"/>
      <c r="E265" s="16">
        <f t="shared" si="123"/>
        <v>0</v>
      </c>
      <c r="F265" s="36"/>
      <c r="G265" s="33">
        <f t="shared" si="124"/>
        <v>0</v>
      </c>
      <c r="H265" s="33">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0"/>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9"/>
      <c r="E266" s="16">
        <f t="shared" si="123"/>
        <v>0</v>
      </c>
      <c r="F266" s="36"/>
      <c r="G266" s="33">
        <f t="shared" si="124"/>
        <v>0</v>
      </c>
      <c r="H266" s="33">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0"/>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9"/>
      <c r="E267" s="16">
        <f t="shared" si="123"/>
        <v>0</v>
      </c>
      <c r="F267" s="36"/>
      <c r="G267" s="33">
        <f t="shared" si="124"/>
        <v>0</v>
      </c>
      <c r="H267" s="33">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0"/>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9"/>
      <c r="E268" s="16">
        <f t="shared" si="123"/>
        <v>0</v>
      </c>
      <c r="F268" s="36"/>
      <c r="G268" s="33">
        <f t="shared" si="124"/>
        <v>0</v>
      </c>
      <c r="H268" s="33">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0"/>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9"/>
      <c r="E269" s="16">
        <f t="shared" si="123"/>
        <v>0</v>
      </c>
      <c r="F269" s="36"/>
      <c r="G269" s="33">
        <f t="shared" si="124"/>
        <v>0</v>
      </c>
      <c r="H269" s="33">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0"/>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9"/>
      <c r="E270" s="16">
        <f t="shared" si="123"/>
        <v>0</v>
      </c>
      <c r="F270" s="36"/>
      <c r="G270" s="33">
        <f t="shared" si="124"/>
        <v>0</v>
      </c>
      <c r="H270" s="33">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0"/>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9"/>
      <c r="E271" s="16">
        <f t="shared" si="123"/>
        <v>0</v>
      </c>
      <c r="F271" s="36"/>
      <c r="G271" s="33">
        <f t="shared" si="124"/>
        <v>0</v>
      </c>
      <c r="H271" s="33">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0"/>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9"/>
      <c r="E272" s="16">
        <f t="shared" si="123"/>
        <v>0</v>
      </c>
      <c r="F272" s="36"/>
      <c r="G272" s="33">
        <f t="shared" si="124"/>
        <v>0</v>
      </c>
      <c r="H272" s="33">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0"/>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9"/>
      <c r="E273" s="16">
        <f t="shared" si="123"/>
        <v>0</v>
      </c>
      <c r="F273" s="36"/>
      <c r="G273" s="33">
        <f t="shared" si="124"/>
        <v>0</v>
      </c>
      <c r="H273" s="33">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0"/>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9"/>
      <c r="E274" s="16">
        <f t="shared" si="123"/>
        <v>0</v>
      </c>
      <c r="F274" s="36"/>
      <c r="G274" s="33">
        <f t="shared" si="124"/>
        <v>0</v>
      </c>
      <c r="H274" s="33">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0"/>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9"/>
      <c r="E275" s="16">
        <f t="shared" si="123"/>
        <v>0</v>
      </c>
      <c r="F275" s="36"/>
      <c r="G275" s="33">
        <f t="shared" si="124"/>
        <v>0</v>
      </c>
      <c r="H275" s="33">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0"/>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9"/>
      <c r="E276" s="16">
        <f t="shared" si="123"/>
        <v>0</v>
      </c>
      <c r="F276" s="36"/>
      <c r="G276" s="33">
        <f t="shared" si="124"/>
        <v>0</v>
      </c>
      <c r="H276" s="33">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0"/>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9"/>
      <c r="E277" s="16">
        <f t="shared" si="123"/>
        <v>0</v>
      </c>
      <c r="F277" s="36"/>
      <c r="G277" s="33">
        <f t="shared" si="124"/>
        <v>0</v>
      </c>
      <c r="H277" s="33">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0"/>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9"/>
      <c r="E278" s="16">
        <f t="shared" si="123"/>
        <v>0</v>
      </c>
      <c r="F278" s="36"/>
      <c r="G278" s="33">
        <f t="shared" si="124"/>
        <v>0</v>
      </c>
      <c r="H278" s="33">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0"/>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9"/>
      <c r="E279" s="16">
        <f t="shared" si="123"/>
        <v>0</v>
      </c>
      <c r="F279" s="36"/>
      <c r="G279" s="33">
        <f t="shared" si="124"/>
        <v>0</v>
      </c>
      <c r="H279" s="33">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0"/>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9"/>
      <c r="E280" s="16">
        <f t="shared" si="123"/>
        <v>0</v>
      </c>
      <c r="F280" s="36"/>
      <c r="G280" s="33">
        <f t="shared" si="124"/>
        <v>0</v>
      </c>
      <c r="H280" s="33">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0"/>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9"/>
      <c r="E281" s="16">
        <f t="shared" si="123"/>
        <v>0</v>
      </c>
      <c r="F281" s="36"/>
      <c r="G281" s="33">
        <f t="shared" si="124"/>
        <v>0</v>
      </c>
      <c r="H281" s="33">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0"/>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9"/>
      <c r="E282" s="16">
        <f t="shared" si="123"/>
        <v>0</v>
      </c>
      <c r="F282" s="36"/>
      <c r="G282" s="33">
        <f t="shared" si="124"/>
        <v>0</v>
      </c>
      <c r="H282" s="33">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0"/>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9"/>
      <c r="E283" s="16">
        <f t="shared" si="123"/>
        <v>0</v>
      </c>
      <c r="F283" s="36"/>
      <c r="G283" s="33">
        <f t="shared" si="124"/>
        <v>0</v>
      </c>
      <c r="H283" s="33">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0"/>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9"/>
      <c r="E284" s="16">
        <f t="shared" si="123"/>
        <v>0</v>
      </c>
      <c r="F284" s="36"/>
      <c r="G284" s="33">
        <f t="shared" si="124"/>
        <v>0</v>
      </c>
      <c r="H284" s="33">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0"/>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9"/>
      <c r="E285" s="16">
        <f t="shared" si="123"/>
        <v>0</v>
      </c>
      <c r="F285" s="36"/>
      <c r="G285" s="33">
        <f t="shared" si="124"/>
        <v>0</v>
      </c>
      <c r="H285" s="33">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0"/>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9"/>
      <c r="E286" s="16">
        <f t="shared" si="123"/>
        <v>0</v>
      </c>
      <c r="F286" s="36"/>
      <c r="G286" s="33">
        <f t="shared" si="124"/>
        <v>0</v>
      </c>
      <c r="H286" s="33">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0"/>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9"/>
      <c r="E287" s="16">
        <f t="shared" si="123"/>
        <v>0</v>
      </c>
      <c r="F287" s="36"/>
      <c r="G287" s="33">
        <f t="shared" si="124"/>
        <v>0</v>
      </c>
      <c r="H287" s="33">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0"/>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9"/>
      <c r="E288" s="16">
        <f t="shared" si="123"/>
        <v>0</v>
      </c>
      <c r="F288" s="36"/>
      <c r="G288" s="33">
        <f t="shared" si="124"/>
        <v>0</v>
      </c>
      <c r="H288" s="33">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0"/>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9"/>
      <c r="E289" s="16">
        <f t="shared" si="123"/>
        <v>0</v>
      </c>
      <c r="F289" s="36"/>
      <c r="G289" s="33">
        <f t="shared" si="124"/>
        <v>0</v>
      </c>
      <c r="H289" s="33">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0"/>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9"/>
      <c r="E290" s="16">
        <f t="shared" si="123"/>
        <v>0</v>
      </c>
      <c r="F290" s="36"/>
      <c r="G290" s="33">
        <f t="shared" si="124"/>
        <v>0</v>
      </c>
      <c r="H290" s="33">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0"/>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9"/>
      <c r="E291" s="16">
        <f t="shared" si="123"/>
        <v>0</v>
      </c>
      <c r="F291" s="36"/>
      <c r="G291" s="33">
        <f t="shared" si="124"/>
        <v>0</v>
      </c>
      <c r="H291" s="33">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0"/>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9"/>
      <c r="E292" s="16">
        <f t="shared" si="123"/>
        <v>0</v>
      </c>
      <c r="F292" s="36"/>
      <c r="G292" s="33">
        <f t="shared" si="124"/>
        <v>0</v>
      </c>
      <c r="H292" s="33">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0"/>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9"/>
      <c r="E293" s="16">
        <f t="shared" si="123"/>
        <v>0</v>
      </c>
      <c r="F293" s="36"/>
      <c r="G293" s="33">
        <f t="shared" si="124"/>
        <v>0</v>
      </c>
      <c r="H293" s="33">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0"/>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9"/>
      <c r="E294" s="16">
        <f t="shared" si="123"/>
        <v>0</v>
      </c>
      <c r="F294" s="36"/>
      <c r="G294" s="33">
        <f t="shared" si="124"/>
        <v>0</v>
      </c>
      <c r="H294" s="33">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0"/>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9"/>
      <c r="E295" s="16">
        <f t="shared" si="123"/>
        <v>0</v>
      </c>
      <c r="F295" s="36"/>
      <c r="G295" s="33">
        <f t="shared" si="124"/>
        <v>0</v>
      </c>
      <c r="H295" s="33">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0"/>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9"/>
      <c r="E296" s="16">
        <f t="shared" si="123"/>
        <v>0</v>
      </c>
      <c r="F296" s="36"/>
      <c r="G296" s="33">
        <f t="shared" si="124"/>
        <v>0</v>
      </c>
      <c r="H296" s="33">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0"/>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9"/>
      <c r="E297" s="16">
        <f t="shared" si="123"/>
        <v>0</v>
      </c>
      <c r="F297" s="36"/>
      <c r="G297" s="33">
        <f t="shared" si="124"/>
        <v>0</v>
      </c>
      <c r="H297" s="33">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0"/>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9"/>
      <c r="E298" s="16">
        <f t="shared" si="123"/>
        <v>0</v>
      </c>
      <c r="F298" s="36"/>
      <c r="G298" s="33">
        <f t="shared" si="124"/>
        <v>0</v>
      </c>
      <c r="H298" s="33">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0"/>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9"/>
      <c r="E299" s="16">
        <f t="shared" si="123"/>
        <v>0</v>
      </c>
      <c r="F299" s="36"/>
      <c r="G299" s="33">
        <f t="shared" si="124"/>
        <v>0</v>
      </c>
      <c r="H299" s="33">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0"/>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9"/>
      <c r="E300" s="16">
        <f t="shared" si="123"/>
        <v>0</v>
      </c>
      <c r="F300" s="44"/>
      <c r="G300" s="33">
        <f t="shared" ref="G300:G331" si="152">H300+AC300+AT300</f>
        <v>0</v>
      </c>
      <c r="H300" s="33">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5"/>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9"/>
      <c r="E301" s="16">
        <f t="shared" si="123"/>
        <v>0</v>
      </c>
      <c r="F301" s="44"/>
      <c r="G301" s="33">
        <f t="shared" si="152"/>
        <v>0</v>
      </c>
      <c r="H301" s="33">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5"/>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9"/>
      <c r="E302" s="16">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5"/>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9"/>
      <c r="E303" s="16">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0"/>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9"/>
      <c r="E304" s="16">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0"/>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9"/>
      <c r="E305" s="16">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0"/>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9"/>
      <c r="E306" s="16">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0"/>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9"/>
      <c r="E307" s="16">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0"/>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9"/>
      <c r="E308" s="16">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0"/>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9"/>
      <c r="E309" s="16">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0"/>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9"/>
      <c r="E310" s="16">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0"/>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9"/>
      <c r="E311" s="16">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0"/>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9"/>
      <c r="E312" s="16">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0"/>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9"/>
      <c r="E313" s="16">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0"/>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9"/>
      <c r="E314" s="16">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0"/>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9"/>
      <c r="E315" s="16">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0"/>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9"/>
      <c r="E316" s="16">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0"/>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9"/>
      <c r="E317" s="16">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0"/>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9"/>
      <c r="E318" s="16">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0"/>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9"/>
      <c r="E319" s="16">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0"/>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9"/>
      <c r="E320" s="16">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0"/>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9"/>
      <c r="E321" s="16">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0"/>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9"/>
      <c r="E322" s="16">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0"/>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9"/>
      <c r="E323" s="16">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0"/>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9"/>
      <c r="E324" s="16">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0"/>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9"/>
      <c r="E325" s="16">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0"/>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9"/>
      <c r="E326" s="16">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0"/>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9"/>
      <c r="E327" s="16">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0"/>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9"/>
      <c r="E328" s="16">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0"/>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9"/>
      <c r="E329" s="16">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0"/>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9"/>
      <c r="E330" s="16">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0"/>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9"/>
      <c r="E331" s="16">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0"/>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9"/>
      <c r="E332" s="16">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0"/>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9"/>
      <c r="E333" s="16">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0"/>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9"/>
      <c r="E334" s="16">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0"/>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9"/>
      <c r="E335" s="16">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0"/>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9"/>
      <c r="E336" s="16">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0"/>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9"/>
      <c r="E337" s="16">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0"/>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9"/>
      <c r="E338" s="16">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0"/>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9"/>
      <c r="E339" s="16">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0"/>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9"/>
      <c r="E340" s="16">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0"/>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9"/>
      <c r="E341" s="16">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0"/>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9"/>
      <c r="E342" s="16">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0"/>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9"/>
      <c r="E343" s="16">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0"/>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9"/>
      <c r="E344" s="16">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0"/>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9"/>
      <c r="E345" s="16">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0"/>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9"/>
      <c r="E346" s="16">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0"/>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9"/>
      <c r="E347" s="16">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0"/>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9"/>
      <c r="E348" s="16">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0"/>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9"/>
      <c r="E349" s="16">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0"/>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9"/>
      <c r="E350" s="16">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0"/>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9"/>
      <c r="E351" s="16">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0"/>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9"/>
      <c r="E352" s="16">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0"/>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9"/>
      <c r="E353" s="16">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0"/>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9"/>
      <c r="E354" s="16">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0"/>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9"/>
      <c r="E355" s="16">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0"/>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9"/>
      <c r="E356" s="16">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0"/>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9"/>
      <c r="E357" s="16">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0"/>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9"/>
      <c r="E358" s="16">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0"/>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9"/>
      <c r="E359" s="16">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0"/>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9"/>
      <c r="E360" s="16">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0"/>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9"/>
      <c r="E361" s="16">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0"/>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9"/>
      <c r="E362" s="16">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0"/>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9"/>
      <c r="E363" s="16">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0"/>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9"/>
      <c r="E364" s="16">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0"/>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9"/>
      <c r="E365" s="16">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0"/>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9"/>
      <c r="E366" s="16">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0"/>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9"/>
      <c r="E367" s="16">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0"/>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9"/>
      <c r="E368" s="16">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0"/>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9"/>
      <c r="E369" s="16">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0"/>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9"/>
      <c r="E370" s="16">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0"/>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9"/>
      <c r="E371" s="16">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0"/>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9"/>
      <c r="E372" s="16">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0"/>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9"/>
      <c r="E373" s="16">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0"/>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9"/>
      <c r="E374" s="16">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0"/>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9"/>
      <c r="E375" s="16">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0"/>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9"/>
      <c r="E376" s="16">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0"/>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9"/>
      <c r="E377" s="16">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0"/>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9"/>
      <c r="E378" s="16">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0"/>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9"/>
      <c r="E379" s="16">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0"/>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9"/>
      <c r="E380" s="16">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0"/>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9"/>
      <c r="E381" s="16">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0"/>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9"/>
      <c r="E382" s="16">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0"/>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9"/>
      <c r="E383" s="16">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0"/>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9"/>
      <c r="E384" s="16">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0"/>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9"/>
      <c r="E385" s="16">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0"/>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9"/>
      <c r="E386" s="16">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0"/>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9"/>
      <c r="E387" s="16">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0"/>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9"/>
      <c r="E388" s="16">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0"/>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9"/>
      <c r="E389" s="16">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0"/>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9"/>
      <c r="E390" s="16">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0"/>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9"/>
      <c r="E391" s="16">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0"/>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9"/>
      <c r="E392" s="16">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0"/>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9"/>
      <c r="E393" s="16">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0"/>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9"/>
      <c r="E394" s="16">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0"/>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9"/>
      <c r="E395" s="16">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5"/>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9"/>
      <c r="E396" s="16">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5"/>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9"/>
      <c r="E397" s="16">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5"/>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9"/>
      <c r="E398" s="16">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0"/>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9"/>
      <c r="E399" s="16">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0"/>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9"/>
      <c r="E400" s="16">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0"/>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9"/>
      <c r="E401" s="16">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0"/>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9"/>
      <c r="E402" s="16">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0"/>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9"/>
      <c r="E403" s="16">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0"/>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9"/>
      <c r="E404" s="16">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0"/>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9"/>
      <c r="E405" s="16">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0"/>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9"/>
      <c r="E406" s="16">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0"/>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9"/>
      <c r="E407" s="16">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0"/>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9"/>
      <c r="E408" s="16">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0"/>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9"/>
      <c r="E409" s="16">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0"/>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9"/>
      <c r="E410" s="16">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0"/>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9"/>
      <c r="E411" s="16">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0"/>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9"/>
      <c r="E412" s="16">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0"/>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9"/>
      <c r="E413" s="16">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0"/>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9"/>
      <c r="E414" s="16">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0"/>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9"/>
      <c r="E415" s="16">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0"/>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9"/>
      <c r="E416" s="16">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0"/>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9"/>
      <c r="E417" s="16">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0"/>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9"/>
      <c r="E418" s="16">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0"/>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9"/>
      <c r="E419" s="16">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0"/>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9"/>
      <c r="E420" s="16">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0"/>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9"/>
      <c r="E421" s="16">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0"/>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9"/>
      <c r="E422" s="16">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0"/>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9"/>
      <c r="E423" s="16">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0"/>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9"/>
      <c r="E424" s="16">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0"/>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9"/>
      <c r="E425" s="16">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0"/>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9"/>
      <c r="E426" s="16">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0"/>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9"/>
      <c r="E427" s="16">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0"/>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9"/>
      <c r="E428" s="16">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0"/>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9"/>
      <c r="E429" s="16">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0"/>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9"/>
      <c r="E430" s="16">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0"/>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9"/>
      <c r="E431" s="16">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0"/>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9"/>
      <c r="E432" s="16">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0"/>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9"/>
      <c r="E433" s="16">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0"/>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9"/>
      <c r="E434" s="16">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0"/>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9"/>
      <c r="E435" s="16">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0"/>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9"/>
      <c r="E436" s="16">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0"/>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9"/>
      <c r="E437" s="16">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0"/>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9"/>
      <c r="E438" s="16">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0"/>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9"/>
      <c r="E439" s="16">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0"/>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9"/>
      <c r="E440" s="16">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0"/>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9"/>
      <c r="E441" s="16">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0"/>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9"/>
      <c r="E442" s="16">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0"/>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9"/>
      <c r="E443" s="16">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0"/>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9"/>
      <c r="E444" s="16">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0"/>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9"/>
      <c r="E445" s="16">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0"/>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9"/>
      <c r="E446" s="16">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0"/>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9"/>
      <c r="E447" s="16">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0"/>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9"/>
      <c r="E448" s="16">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0"/>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9"/>
      <c r="E449" s="16">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0"/>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9"/>
      <c r="E450" s="16">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0"/>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9"/>
      <c r="E451" s="16">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0"/>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9"/>
      <c r="E452" s="16">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0"/>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9"/>
      <c r="E453" s="16">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0"/>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9"/>
      <c r="E454" s="16">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0"/>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9"/>
      <c r="E455" s="16">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0"/>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9"/>
      <c r="E456" s="16">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0"/>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9"/>
      <c r="E457" s="16">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0"/>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9"/>
      <c r="E458" s="16">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0"/>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9"/>
      <c r="E459" s="16">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0"/>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9"/>
      <c r="E460" s="16">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0"/>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9"/>
      <c r="E461" s="16">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0"/>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9"/>
      <c r="E462" s="16">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0"/>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9"/>
      <c r="E463" s="16">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0"/>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9"/>
      <c r="E464" s="16">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0"/>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9"/>
      <c r="E465" s="16">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0"/>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9"/>
      <c r="E466" s="16">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0"/>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9"/>
      <c r="E467" s="16">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0"/>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9"/>
      <c r="E468" s="16">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0"/>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9"/>
      <c r="E469" s="16">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0"/>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9"/>
      <c r="E470" s="16">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0"/>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9"/>
      <c r="E471" s="16">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0"/>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9"/>
      <c r="E472" s="16">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0"/>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9"/>
      <c r="E473" s="16">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0"/>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9"/>
      <c r="E474" s="16">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0"/>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9"/>
      <c r="E475" s="16">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0"/>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9"/>
      <c r="E476" s="16">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0"/>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9"/>
      <c r="E477" s="16">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0"/>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9"/>
      <c r="E478" s="16">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0"/>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9"/>
      <c r="E479" s="16">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0"/>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9"/>
      <c r="E480" s="16">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0"/>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9"/>
      <c r="E481" s="16">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0"/>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9"/>
      <c r="E482" s="16">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0"/>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9"/>
      <c r="E483" s="16">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0"/>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9"/>
      <c r="E484" s="16">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0"/>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9"/>
      <c r="E485" s="16">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0"/>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9"/>
      <c r="E486" s="16">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0"/>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9"/>
      <c r="E487" s="16">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0"/>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9"/>
      <c r="E488" s="16">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0"/>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9"/>
      <c r="E489" s="16">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0"/>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9"/>
      <c r="E490" s="16">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5"/>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9"/>
      <c r="E491" s="16">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5"/>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9"/>
      <c r="E492" s="16">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5"/>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9"/>
      <c r="E493" s="16">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0"/>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9"/>
      <c r="E494" s="16">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0"/>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9"/>
      <c r="E495" s="16">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0"/>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9"/>
      <c r="E496" s="16">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0"/>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9"/>
      <c r="E497" s="16">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0"/>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9"/>
      <c r="E498" s="16">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0"/>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9"/>
      <c r="E499" s="16">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0"/>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9"/>
      <c r="E500" s="16">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0"/>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9"/>
      <c r="E501" s="16">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0"/>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9"/>
      <c r="E502" s="16">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0"/>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9"/>
      <c r="E503" s="16">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0"/>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9"/>
      <c r="E504" s="16">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0"/>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9"/>
      <c r="E505" s="16">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0"/>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9"/>
      <c r="E506" s="16">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0"/>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9"/>
      <c r="E507" s="16">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0"/>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9"/>
      <c r="E508" s="16">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0"/>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9"/>
      <c r="E509" s="16">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0"/>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9"/>
      <c r="E510" s="16">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0"/>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9"/>
      <c r="E511" s="16">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0"/>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9"/>
      <c r="E512" s="16">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0"/>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9"/>
      <c r="E513" s="16">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0"/>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9"/>
      <c r="E514" s="16">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0"/>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9"/>
      <c r="E515" s="16">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0"/>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9"/>
      <c r="E516" s="16">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0"/>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9"/>
      <c r="E517" s="16">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0"/>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9"/>
      <c r="E518" s="16">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0"/>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9"/>
      <c r="E519" s="16">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0"/>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9"/>
      <c r="E520" s="16">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0"/>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9"/>
      <c r="E521" s="16">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0"/>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9"/>
      <c r="E522" s="16">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0"/>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9"/>
      <c r="E523" s="16">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0"/>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9"/>
      <c r="E524" s="16">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0"/>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9"/>
      <c r="E525" s="16">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0"/>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9"/>
      <c r="E526" s="16">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0"/>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9"/>
      <c r="E527" s="16">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0"/>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9"/>
      <c r="E528" s="16">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0"/>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9"/>
      <c r="E529" s="16">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0"/>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9"/>
      <c r="E530" s="16">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0"/>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9"/>
      <c r="E531" s="16">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0"/>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9"/>
      <c r="E532" s="16">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0"/>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9"/>
      <c r="E533" s="16">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0"/>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9"/>
      <c r="E534" s="16">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0"/>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9"/>
      <c r="E535" s="16">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0"/>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9"/>
      <c r="E536" s="16">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0"/>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9"/>
      <c r="E537" s="16">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0"/>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9"/>
      <c r="E538" s="16">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0"/>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9"/>
      <c r="E539" s="16">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0"/>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9"/>
      <c r="E540" s="16">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0"/>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9"/>
      <c r="E541" s="16">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0"/>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9"/>
      <c r="E542" s="16">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0"/>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9"/>
      <c r="E543" s="16">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0"/>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9"/>
      <c r="E544" s="16">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0"/>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9"/>
      <c r="E545" s="16">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0"/>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9"/>
      <c r="E546" s="16">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0"/>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9"/>
      <c r="E547" s="16">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0"/>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9"/>
      <c r="E548" s="16">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0"/>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9"/>
      <c r="E549" s="16">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0"/>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9"/>
      <c r="E550" s="16">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0"/>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9"/>
      <c r="E551" s="16">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0"/>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9"/>
      <c r="E552" s="16">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0"/>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9"/>
      <c r="E553" s="16">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0"/>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9"/>
      <c r="E554" s="16">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0"/>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9"/>
      <c r="E555" s="16">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0"/>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9"/>
      <c r="E556" s="16">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0"/>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9"/>
      <c r="E557" s="16">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0"/>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9"/>
      <c r="E558" s="16">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0"/>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9"/>
      <c r="E559" s="16">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0"/>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9"/>
      <c r="E560" s="16">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0"/>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9"/>
      <c r="E561" s="16">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0"/>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9"/>
      <c r="E562" s="16">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0"/>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9"/>
      <c r="E563" s="16">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0"/>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9"/>
      <c r="E564" s="16">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0"/>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9"/>
      <c r="E565" s="16">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0"/>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9"/>
      <c r="E566" s="16">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0"/>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9"/>
      <c r="E567" s="16">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0"/>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9"/>
      <c r="E568" s="16">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0"/>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9"/>
      <c r="E569" s="16">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0"/>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9"/>
      <c r="E570" s="16">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0"/>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9"/>
      <c r="E571" s="16">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0"/>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9"/>
      <c r="E572" s="16">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0"/>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9"/>
      <c r="E573" s="16">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0"/>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0"/>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0"/>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0"/>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0"/>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0"/>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0"/>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0"/>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0"/>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0"/>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0"/>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0"/>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5"/>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5"/>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5"/>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L170"/>
  <sheetViews>
    <sheetView workbookViewId="0">
      <selection activeCell="F35" sqref="F35"/>
    </sheetView>
  </sheetViews>
  <sheetFormatPr defaultRowHeight="13.5"/>
  <cols>
    <col min="2" max="2" width="12.25" customWidth="1"/>
    <col min="3" max="3" width="12.875" customWidth="1"/>
    <col min="10" max="10" width="9.5" bestFit="1" customWidth="1"/>
  </cols>
  <sheetData>
    <row r="1" spans="1:12">
      <c r="A1">
        <v>101</v>
      </c>
      <c r="B1" s="2937">
        <v>1753.73</v>
      </c>
      <c r="C1" s="2935" t="s">
        <v>3100</v>
      </c>
      <c r="D1" s="2936" t="s">
        <v>3103</v>
      </c>
      <c r="G1" s="2945" t="s">
        <v>3177</v>
      </c>
      <c r="H1" s="2945" t="s">
        <v>3178</v>
      </c>
      <c r="I1" s="2945" t="s">
        <v>3179</v>
      </c>
      <c r="J1" s="2945" t="s">
        <v>3180</v>
      </c>
      <c r="K1" s="2945" t="s">
        <v>3184</v>
      </c>
      <c r="L1" s="2945" t="s">
        <v>3181</v>
      </c>
    </row>
    <row r="2" spans="1:12">
      <c r="A2">
        <v>102</v>
      </c>
      <c r="B2" s="2937">
        <v>475.83</v>
      </c>
      <c r="C2" s="2935" t="s">
        <v>3101</v>
      </c>
      <c r="D2">
        <v>1</v>
      </c>
      <c r="G2" s="2945">
        <v>1</v>
      </c>
      <c r="H2" s="2945" t="s">
        <v>3182</v>
      </c>
      <c r="I2" s="2945" t="s">
        <v>3183</v>
      </c>
      <c r="J2" s="2945">
        <v>95.42</v>
      </c>
      <c r="K2" s="2945" t="s">
        <v>3183</v>
      </c>
      <c r="L2" s="2945" t="s">
        <v>3182</v>
      </c>
    </row>
    <row r="3" spans="1:12">
      <c r="A3">
        <v>303</v>
      </c>
      <c r="B3" s="2937">
        <v>59.58</v>
      </c>
      <c r="C3" s="2935" t="s">
        <v>3102</v>
      </c>
      <c r="D3">
        <v>3</v>
      </c>
      <c r="G3" s="2945">
        <v>2</v>
      </c>
      <c r="H3" s="2945" t="s">
        <v>3183</v>
      </c>
      <c r="I3" s="2945" t="s">
        <v>3194</v>
      </c>
      <c r="J3" s="2945">
        <v>18.82</v>
      </c>
      <c r="K3" s="2945" t="s">
        <v>3183</v>
      </c>
      <c r="L3" s="2945" t="s">
        <v>3185</v>
      </c>
    </row>
    <row r="4" spans="1:12">
      <c r="A4">
        <v>308</v>
      </c>
      <c r="B4" s="2937">
        <v>59.58</v>
      </c>
      <c r="C4" s="2935" t="s">
        <v>3102</v>
      </c>
      <c r="D4">
        <v>3</v>
      </c>
      <c r="G4" s="2945">
        <v>3</v>
      </c>
      <c r="H4" s="2945" t="s">
        <v>3183</v>
      </c>
      <c r="I4" s="2945" t="s">
        <v>3195</v>
      </c>
      <c r="J4" s="2945">
        <v>43.47</v>
      </c>
      <c r="K4" s="2945" t="s">
        <v>3183</v>
      </c>
      <c r="L4" s="2945" t="s">
        <v>3185</v>
      </c>
    </row>
    <row r="5" spans="1:12">
      <c r="A5">
        <v>311</v>
      </c>
      <c r="B5" s="2937">
        <v>236.33</v>
      </c>
      <c r="C5" s="2935" t="s">
        <v>3102</v>
      </c>
      <c r="D5">
        <v>3</v>
      </c>
      <c r="G5" s="2945">
        <v>4</v>
      </c>
      <c r="H5" s="2945" t="s">
        <v>3183</v>
      </c>
      <c r="I5" s="2945" t="s">
        <v>3196</v>
      </c>
      <c r="J5" s="2945">
        <v>6</v>
      </c>
      <c r="K5" s="2945" t="s">
        <v>3183</v>
      </c>
      <c r="L5" s="2945" t="s">
        <v>3185</v>
      </c>
    </row>
    <row r="6" spans="1:12">
      <c r="A6">
        <v>312</v>
      </c>
      <c r="B6" s="2937">
        <v>309.74</v>
      </c>
      <c r="C6" s="2935" t="s">
        <v>3102</v>
      </c>
      <c r="D6">
        <v>3</v>
      </c>
      <c r="G6" s="2945">
        <v>5</v>
      </c>
      <c r="H6" s="2945" t="s">
        <v>3183</v>
      </c>
      <c r="I6" s="2945">
        <v>-102</v>
      </c>
      <c r="J6" s="2945">
        <v>76.47</v>
      </c>
      <c r="K6" s="2945" t="s">
        <v>3189</v>
      </c>
      <c r="L6" s="2945" t="s">
        <v>3186</v>
      </c>
    </row>
    <row r="7" spans="1:12">
      <c r="A7">
        <v>313</v>
      </c>
      <c r="B7" s="2937">
        <v>310.07</v>
      </c>
      <c r="C7" s="2935" t="s">
        <v>3102</v>
      </c>
      <c r="D7">
        <v>3</v>
      </c>
      <c r="G7" s="2945">
        <v>6</v>
      </c>
      <c r="H7" s="2945" t="s">
        <v>3183</v>
      </c>
      <c r="I7" s="2945">
        <v>-103</v>
      </c>
      <c r="J7" s="2945">
        <v>332.94</v>
      </c>
      <c r="K7" s="2945" t="s">
        <v>3189</v>
      </c>
      <c r="L7" s="2945" t="s">
        <v>3187</v>
      </c>
    </row>
    <row r="8" spans="1:12">
      <c r="A8">
        <v>314</v>
      </c>
      <c r="B8" s="2937">
        <v>235.27</v>
      </c>
      <c r="C8" s="2935" t="s">
        <v>3102</v>
      </c>
      <c r="D8">
        <v>3</v>
      </c>
      <c r="G8" s="2945">
        <v>7</v>
      </c>
      <c r="H8" s="2945" t="s">
        <v>3183</v>
      </c>
      <c r="I8" s="2945">
        <v>-101</v>
      </c>
      <c r="J8" s="2945">
        <v>2465.91</v>
      </c>
      <c r="K8" s="2945" t="s">
        <v>3183</v>
      </c>
      <c r="L8" s="2945" t="s">
        <v>3188</v>
      </c>
    </row>
    <row r="9" spans="1:12">
      <c r="A9">
        <v>403</v>
      </c>
      <c r="B9" s="2937">
        <v>59.58</v>
      </c>
      <c r="C9" s="2935" t="s">
        <v>3102</v>
      </c>
      <c r="D9">
        <v>4</v>
      </c>
      <c r="G9" s="2945">
        <v>8</v>
      </c>
      <c r="H9" s="2945">
        <v>1</v>
      </c>
      <c r="I9" s="2945">
        <v>101</v>
      </c>
      <c r="J9" s="2945">
        <v>1753.73</v>
      </c>
      <c r="K9" s="2946" t="s">
        <v>3197</v>
      </c>
      <c r="L9" s="2945" t="s">
        <v>3100</v>
      </c>
    </row>
    <row r="10" spans="1:12">
      <c r="A10">
        <v>408</v>
      </c>
      <c r="B10" s="2937">
        <v>59.58</v>
      </c>
      <c r="C10" s="2935" t="s">
        <v>3102</v>
      </c>
      <c r="D10">
        <v>4</v>
      </c>
      <c r="G10" s="2945">
        <v>9</v>
      </c>
      <c r="H10" s="2945">
        <v>1</v>
      </c>
      <c r="I10" s="2945">
        <v>102</v>
      </c>
      <c r="J10" s="2945">
        <v>475.83</v>
      </c>
      <c r="K10" s="2945">
        <v>1</v>
      </c>
      <c r="L10" s="2945" t="s">
        <v>3101</v>
      </c>
    </row>
    <row r="11" spans="1:12">
      <c r="A11">
        <v>411</v>
      </c>
      <c r="B11" s="2937">
        <v>236.33</v>
      </c>
      <c r="C11" s="2935" t="s">
        <v>3102</v>
      </c>
      <c r="D11">
        <v>4</v>
      </c>
      <c r="G11" s="2945">
        <v>10</v>
      </c>
      <c r="H11" s="2945">
        <v>1</v>
      </c>
      <c r="I11" s="2945">
        <v>303</v>
      </c>
      <c r="J11" s="2945">
        <v>59.58</v>
      </c>
      <c r="K11" s="2945">
        <v>3</v>
      </c>
      <c r="L11" s="2945" t="s">
        <v>3102</v>
      </c>
    </row>
    <row r="12" spans="1:12">
      <c r="A12">
        <v>412</v>
      </c>
      <c r="B12" s="2937">
        <v>304.48</v>
      </c>
      <c r="C12" s="2935" t="s">
        <v>3102</v>
      </c>
      <c r="D12">
        <v>4</v>
      </c>
      <c r="G12" s="2945">
        <v>11</v>
      </c>
      <c r="H12" s="2945">
        <v>1</v>
      </c>
      <c r="I12" s="2945">
        <v>308</v>
      </c>
      <c r="J12" s="2945">
        <v>59.58</v>
      </c>
      <c r="K12" s="2945">
        <v>3</v>
      </c>
      <c r="L12" s="2945" t="s">
        <v>3102</v>
      </c>
    </row>
    <row r="13" spans="1:12">
      <c r="A13">
        <v>413</v>
      </c>
      <c r="B13" s="2937">
        <v>304.81</v>
      </c>
      <c r="C13" s="2935" t="s">
        <v>3102</v>
      </c>
      <c r="D13">
        <v>4</v>
      </c>
      <c r="G13" s="2945">
        <v>12</v>
      </c>
      <c r="H13" s="2945">
        <v>1</v>
      </c>
      <c r="I13" s="2945">
        <v>311</v>
      </c>
      <c r="J13" s="2945">
        <v>236.33</v>
      </c>
      <c r="K13" s="2945">
        <v>3</v>
      </c>
      <c r="L13" s="2945" t="s">
        <v>3102</v>
      </c>
    </row>
    <row r="14" spans="1:12">
      <c r="A14">
        <v>414</v>
      </c>
      <c r="B14" s="2937">
        <v>235.27</v>
      </c>
      <c r="C14" s="2935" t="s">
        <v>3102</v>
      </c>
      <c r="D14">
        <v>4</v>
      </c>
      <c r="G14" s="2945">
        <v>13</v>
      </c>
      <c r="H14" s="2945">
        <v>1</v>
      </c>
      <c r="I14" s="2945">
        <v>312</v>
      </c>
      <c r="J14" s="2945">
        <v>309.74</v>
      </c>
      <c r="K14" s="2945">
        <v>3</v>
      </c>
      <c r="L14" s="2945" t="s">
        <v>3102</v>
      </c>
    </row>
    <row r="15" spans="1:12">
      <c r="A15">
        <v>501</v>
      </c>
      <c r="B15" s="2937">
        <v>95.09</v>
      </c>
      <c r="C15" s="2935" t="s">
        <v>3102</v>
      </c>
      <c r="D15">
        <v>5</v>
      </c>
      <c r="G15" s="2945">
        <v>14</v>
      </c>
      <c r="H15" s="2945">
        <v>1</v>
      </c>
      <c r="I15" s="2945">
        <v>313</v>
      </c>
      <c r="J15" s="2945">
        <v>310.07</v>
      </c>
      <c r="K15" s="2945">
        <v>3</v>
      </c>
      <c r="L15" s="2945" t="s">
        <v>3102</v>
      </c>
    </row>
    <row r="16" spans="1:12">
      <c r="A16">
        <v>502</v>
      </c>
      <c r="B16" s="2937">
        <v>141.44999999999999</v>
      </c>
      <c r="C16" s="2935" t="s">
        <v>3102</v>
      </c>
      <c r="D16">
        <v>5</v>
      </c>
      <c r="G16" s="2945">
        <v>15</v>
      </c>
      <c r="H16" s="2945">
        <v>1</v>
      </c>
      <c r="I16" s="2945">
        <v>314</v>
      </c>
      <c r="J16" s="2945">
        <v>235.27</v>
      </c>
      <c r="K16" s="2945">
        <v>3</v>
      </c>
      <c r="L16" s="2945" t="s">
        <v>3102</v>
      </c>
    </row>
    <row r="17" spans="1:12">
      <c r="A17">
        <v>503</v>
      </c>
      <c r="B17" s="2937">
        <v>59.37</v>
      </c>
      <c r="C17" s="2935" t="s">
        <v>3102</v>
      </c>
      <c r="D17">
        <v>5</v>
      </c>
      <c r="G17" s="2945">
        <v>16</v>
      </c>
      <c r="H17" s="2945">
        <v>1</v>
      </c>
      <c r="I17" s="2945">
        <v>403</v>
      </c>
      <c r="J17" s="2945">
        <v>59.58</v>
      </c>
      <c r="K17" s="2945">
        <v>4</v>
      </c>
      <c r="L17" s="2945" t="s">
        <v>3102</v>
      </c>
    </row>
    <row r="18" spans="1:12">
      <c r="A18">
        <v>504</v>
      </c>
      <c r="B18" s="2937">
        <v>115.54</v>
      </c>
      <c r="C18" s="2935" t="s">
        <v>3102</v>
      </c>
      <c r="D18">
        <v>5</v>
      </c>
      <c r="G18" s="2945">
        <v>17</v>
      </c>
      <c r="H18" s="2945">
        <v>1</v>
      </c>
      <c r="I18" s="2945">
        <v>408</v>
      </c>
      <c r="J18" s="2945">
        <v>59.58</v>
      </c>
      <c r="K18" s="2945">
        <v>4</v>
      </c>
      <c r="L18" s="2945" t="s">
        <v>3102</v>
      </c>
    </row>
    <row r="19" spans="1:12">
      <c r="A19">
        <v>505</v>
      </c>
      <c r="B19" s="2937">
        <v>134.91</v>
      </c>
      <c r="C19" s="2935" t="s">
        <v>3102</v>
      </c>
      <c r="D19">
        <v>5</v>
      </c>
      <c r="G19" s="2945">
        <v>18</v>
      </c>
      <c r="H19" s="2945">
        <v>1</v>
      </c>
      <c r="I19" s="2945">
        <v>411</v>
      </c>
      <c r="J19" s="2945">
        <v>236.33</v>
      </c>
      <c r="K19" s="2945">
        <v>4</v>
      </c>
      <c r="L19" s="2945" t="s">
        <v>3102</v>
      </c>
    </row>
    <row r="20" spans="1:12">
      <c r="A20">
        <v>506</v>
      </c>
      <c r="B20" s="2937">
        <v>135.22</v>
      </c>
      <c r="C20" s="2935" t="s">
        <v>3102</v>
      </c>
      <c r="D20">
        <v>5</v>
      </c>
      <c r="G20" s="2945">
        <v>19</v>
      </c>
      <c r="H20" s="2945">
        <v>1</v>
      </c>
      <c r="I20" s="2945">
        <v>412</v>
      </c>
      <c r="J20" s="2945">
        <v>304.48</v>
      </c>
      <c r="K20" s="2945">
        <v>4</v>
      </c>
      <c r="L20" s="2945" t="s">
        <v>3102</v>
      </c>
    </row>
    <row r="21" spans="1:12">
      <c r="A21">
        <v>507</v>
      </c>
      <c r="B21" s="2937">
        <v>115.54</v>
      </c>
      <c r="C21" s="2935" t="s">
        <v>3102</v>
      </c>
      <c r="D21">
        <v>5</v>
      </c>
      <c r="G21" s="2945">
        <v>20</v>
      </c>
      <c r="H21" s="2945">
        <v>1</v>
      </c>
      <c r="I21" s="2945">
        <v>413</v>
      </c>
      <c r="J21" s="2945">
        <v>304.81</v>
      </c>
      <c r="K21" s="2945">
        <v>4</v>
      </c>
      <c r="L21" s="2945" t="s">
        <v>3102</v>
      </c>
    </row>
    <row r="22" spans="1:12">
      <c r="A22">
        <v>509</v>
      </c>
      <c r="B22" s="2937">
        <v>141.44999999999999</v>
      </c>
      <c r="C22" s="2935" t="s">
        <v>3102</v>
      </c>
      <c r="D22">
        <v>5</v>
      </c>
      <c r="G22" s="2945">
        <v>21</v>
      </c>
      <c r="H22" s="2945">
        <v>1</v>
      </c>
      <c r="I22" s="2945">
        <v>414</v>
      </c>
      <c r="J22" s="2945">
        <v>235.27</v>
      </c>
      <c r="K22" s="2945">
        <v>4</v>
      </c>
      <c r="L22" s="2945" t="s">
        <v>3102</v>
      </c>
    </row>
    <row r="23" spans="1:12">
      <c r="A23">
        <v>603</v>
      </c>
      <c r="B23" s="2937">
        <v>59.37</v>
      </c>
      <c r="C23" s="2935" t="s">
        <v>3102</v>
      </c>
      <c r="D23">
        <v>6</v>
      </c>
      <c r="G23" s="2945">
        <v>22</v>
      </c>
      <c r="H23" s="2945">
        <v>1</v>
      </c>
      <c r="I23" s="2945">
        <v>501</v>
      </c>
      <c r="J23" s="2945">
        <v>95.09</v>
      </c>
      <c r="K23" s="2945">
        <v>5</v>
      </c>
      <c r="L23" s="2945" t="s">
        <v>3102</v>
      </c>
    </row>
    <row r="24" spans="1:12">
      <c r="A24">
        <v>608</v>
      </c>
      <c r="B24">
        <v>59.37</v>
      </c>
      <c r="C24" s="2935" t="s">
        <v>3102</v>
      </c>
      <c r="D24">
        <v>6</v>
      </c>
      <c r="G24" s="2945">
        <v>23</v>
      </c>
      <c r="H24" s="2945">
        <v>1</v>
      </c>
      <c r="I24" s="2945">
        <v>502</v>
      </c>
      <c r="J24" s="2945">
        <v>141.44999999999999</v>
      </c>
      <c r="K24" s="2945">
        <v>5</v>
      </c>
      <c r="L24" s="2945" t="s">
        <v>3102</v>
      </c>
    </row>
    <row r="25" spans="1:12">
      <c r="A25">
        <v>611</v>
      </c>
      <c r="B25">
        <v>236.54</v>
      </c>
      <c r="C25" s="2935" t="s">
        <v>3102</v>
      </c>
      <c r="D25">
        <v>6</v>
      </c>
      <c r="G25" s="2945">
        <v>24</v>
      </c>
      <c r="H25" s="2945">
        <v>1</v>
      </c>
      <c r="I25" s="2945">
        <v>503</v>
      </c>
      <c r="J25" s="2945">
        <v>59.37</v>
      </c>
      <c r="K25" s="2945">
        <v>5</v>
      </c>
      <c r="L25" s="2945" t="s">
        <v>3102</v>
      </c>
    </row>
    <row r="26" spans="1:12">
      <c r="A26">
        <v>612</v>
      </c>
      <c r="B26">
        <v>250.45</v>
      </c>
      <c r="C26" s="2935" t="s">
        <v>3102</v>
      </c>
      <c r="D26">
        <v>6</v>
      </c>
      <c r="G26" s="2945">
        <v>25</v>
      </c>
      <c r="H26" s="2945">
        <v>1</v>
      </c>
      <c r="I26" s="2945">
        <v>504</v>
      </c>
      <c r="J26" s="2945">
        <v>115.54</v>
      </c>
      <c r="K26" s="2945">
        <v>5</v>
      </c>
      <c r="L26" s="2945" t="s">
        <v>3102</v>
      </c>
    </row>
    <row r="27" spans="1:12">
      <c r="A27">
        <v>613</v>
      </c>
      <c r="B27">
        <v>250.76</v>
      </c>
      <c r="C27" s="2935" t="s">
        <v>3102</v>
      </c>
      <c r="D27">
        <v>6</v>
      </c>
      <c r="G27" s="2945">
        <v>26</v>
      </c>
      <c r="H27" s="2945">
        <v>1</v>
      </c>
      <c r="I27" s="2945">
        <v>505</v>
      </c>
      <c r="J27" s="2945">
        <v>134.91</v>
      </c>
      <c r="K27" s="2945">
        <v>5</v>
      </c>
      <c r="L27" s="2945" t="s">
        <v>3102</v>
      </c>
    </row>
    <row r="28" spans="1:12">
      <c r="A28">
        <v>614</v>
      </c>
      <c r="B28">
        <v>235.48</v>
      </c>
      <c r="C28" s="2935" t="s">
        <v>3102</v>
      </c>
      <c r="D28">
        <v>6</v>
      </c>
      <c r="G28" s="2945">
        <v>27</v>
      </c>
      <c r="H28" s="2945">
        <v>1</v>
      </c>
      <c r="I28" s="2945">
        <v>506</v>
      </c>
      <c r="J28" s="2945">
        <v>135.22</v>
      </c>
      <c r="K28" s="2945">
        <v>5</v>
      </c>
      <c r="L28" s="2945" t="s">
        <v>3102</v>
      </c>
    </row>
    <row r="29" spans="1:12">
      <c r="A29">
        <v>703</v>
      </c>
      <c r="B29">
        <v>59.37</v>
      </c>
      <c r="C29" s="2935" t="s">
        <v>3102</v>
      </c>
      <c r="D29">
        <v>7</v>
      </c>
      <c r="G29" s="2945">
        <v>28</v>
      </c>
      <c r="H29" s="2945">
        <v>1</v>
      </c>
      <c r="I29" s="2945">
        <v>507</v>
      </c>
      <c r="J29" s="2945">
        <v>115.54</v>
      </c>
      <c r="K29" s="2945">
        <v>5</v>
      </c>
      <c r="L29" s="2945" t="s">
        <v>3102</v>
      </c>
    </row>
    <row r="30" spans="1:12">
      <c r="A30">
        <v>708</v>
      </c>
      <c r="B30">
        <v>59.37</v>
      </c>
      <c r="C30" s="2935" t="s">
        <v>3102</v>
      </c>
      <c r="D30">
        <v>7</v>
      </c>
      <c r="G30" s="2945">
        <v>29</v>
      </c>
      <c r="H30" s="2945">
        <v>1</v>
      </c>
      <c r="I30" s="2945">
        <v>508</v>
      </c>
      <c r="J30" s="2945">
        <v>59.37</v>
      </c>
      <c r="K30" s="2945">
        <v>5</v>
      </c>
      <c r="L30" s="2945" t="s">
        <v>3107</v>
      </c>
    </row>
    <row r="31" spans="1:12">
      <c r="A31">
        <v>711</v>
      </c>
      <c r="B31">
        <v>236.54</v>
      </c>
      <c r="C31" s="2935" t="s">
        <v>3102</v>
      </c>
      <c r="D31">
        <v>7</v>
      </c>
      <c r="G31" s="2945">
        <v>30</v>
      </c>
      <c r="H31" s="2945">
        <v>1</v>
      </c>
      <c r="I31" s="2945">
        <v>509</v>
      </c>
      <c r="J31" s="2945">
        <v>141.44999999999999</v>
      </c>
      <c r="K31" s="2945">
        <v>5</v>
      </c>
      <c r="L31" s="2945" t="s">
        <v>3102</v>
      </c>
    </row>
    <row r="32" spans="1:12">
      <c r="A32">
        <v>712</v>
      </c>
      <c r="B32">
        <v>250.45</v>
      </c>
      <c r="C32" s="2935" t="s">
        <v>3102</v>
      </c>
      <c r="D32">
        <v>7</v>
      </c>
      <c r="G32" s="2945">
        <v>31</v>
      </c>
      <c r="H32" s="2945">
        <v>1</v>
      </c>
      <c r="I32" s="2945">
        <v>510</v>
      </c>
      <c r="J32" s="2945">
        <v>94.03</v>
      </c>
      <c r="K32" s="2945">
        <v>5</v>
      </c>
      <c r="L32" s="2945" t="s">
        <v>3107</v>
      </c>
    </row>
    <row r="33" spans="1:12">
      <c r="A33">
        <v>713</v>
      </c>
      <c r="B33">
        <v>250.76</v>
      </c>
      <c r="C33" s="2935" t="s">
        <v>3102</v>
      </c>
      <c r="D33">
        <v>7</v>
      </c>
      <c r="G33" s="2945">
        <v>32</v>
      </c>
      <c r="H33" s="2945">
        <v>1</v>
      </c>
      <c r="I33" s="2945">
        <v>603</v>
      </c>
      <c r="J33" s="2945">
        <v>59.37</v>
      </c>
      <c r="K33" s="2945">
        <v>6</v>
      </c>
      <c r="L33" s="2945" t="s">
        <v>3102</v>
      </c>
    </row>
    <row r="34" spans="1:12">
      <c r="A34">
        <v>714</v>
      </c>
      <c r="B34">
        <v>235.48</v>
      </c>
      <c r="C34" s="2935" t="s">
        <v>3102</v>
      </c>
      <c r="D34">
        <v>7</v>
      </c>
      <c r="G34" s="2945">
        <v>33</v>
      </c>
      <c r="H34" s="2945">
        <v>1</v>
      </c>
      <c r="I34" s="2945">
        <v>608</v>
      </c>
      <c r="J34" s="2945">
        <v>59.37</v>
      </c>
      <c r="K34" s="2945">
        <v>6</v>
      </c>
      <c r="L34" s="2945" t="s">
        <v>3102</v>
      </c>
    </row>
    <row r="35" spans="1:12">
      <c r="A35">
        <v>803</v>
      </c>
      <c r="B35">
        <v>59.37</v>
      </c>
      <c r="C35" s="2935" t="s">
        <v>3102</v>
      </c>
      <c r="D35">
        <v>8</v>
      </c>
      <c r="G35" s="2945">
        <v>34</v>
      </c>
      <c r="H35" s="2945">
        <v>1</v>
      </c>
      <c r="I35" s="2945">
        <v>611</v>
      </c>
      <c r="J35" s="2945">
        <v>236.54</v>
      </c>
      <c r="K35" s="2945">
        <v>6</v>
      </c>
      <c r="L35" s="2945" t="s">
        <v>3102</v>
      </c>
    </row>
    <row r="36" spans="1:12">
      <c r="A36">
        <v>808</v>
      </c>
      <c r="B36">
        <v>59.37</v>
      </c>
      <c r="C36" s="2935" t="s">
        <v>3102</v>
      </c>
      <c r="D36">
        <v>8</v>
      </c>
      <c r="G36" s="2945">
        <v>35</v>
      </c>
      <c r="H36" s="2945">
        <v>1</v>
      </c>
      <c r="I36" s="2945">
        <v>612</v>
      </c>
      <c r="J36" s="2945">
        <v>250.45</v>
      </c>
      <c r="K36" s="2945">
        <v>6</v>
      </c>
      <c r="L36" s="2945" t="s">
        <v>3102</v>
      </c>
    </row>
    <row r="37" spans="1:12">
      <c r="A37">
        <v>811</v>
      </c>
      <c r="B37">
        <v>236.54</v>
      </c>
      <c r="C37" s="2935" t="s">
        <v>3102</v>
      </c>
      <c r="D37">
        <v>8</v>
      </c>
      <c r="G37" s="2945">
        <v>36</v>
      </c>
      <c r="H37" s="2945">
        <v>1</v>
      </c>
      <c r="I37" s="2945">
        <v>613</v>
      </c>
      <c r="J37" s="2945">
        <v>250.76</v>
      </c>
      <c r="K37" s="2945">
        <v>6</v>
      </c>
      <c r="L37" s="2945" t="s">
        <v>3102</v>
      </c>
    </row>
    <row r="38" spans="1:12">
      <c r="A38">
        <v>812</v>
      </c>
      <c r="B38">
        <v>250.45</v>
      </c>
      <c r="C38" s="2935" t="s">
        <v>3102</v>
      </c>
      <c r="D38">
        <v>8</v>
      </c>
      <c r="G38" s="2945">
        <v>37</v>
      </c>
      <c r="H38" s="2945">
        <v>1</v>
      </c>
      <c r="I38" s="2945">
        <v>614</v>
      </c>
      <c r="J38" s="2945">
        <v>235.48</v>
      </c>
      <c r="K38" s="2945">
        <v>6</v>
      </c>
      <c r="L38" s="2945" t="s">
        <v>3102</v>
      </c>
    </row>
    <row r="39" spans="1:12">
      <c r="A39">
        <v>813</v>
      </c>
      <c r="B39">
        <v>250.76</v>
      </c>
      <c r="C39" s="2935" t="s">
        <v>3102</v>
      </c>
      <c r="D39">
        <v>8</v>
      </c>
      <c r="G39" s="2945">
        <v>38</v>
      </c>
      <c r="H39" s="2945">
        <v>1</v>
      </c>
      <c r="I39" s="2945">
        <v>703</v>
      </c>
      <c r="J39" s="2945">
        <v>59.37</v>
      </c>
      <c r="K39" s="2945">
        <v>7</v>
      </c>
      <c r="L39" s="2945" t="s">
        <v>3102</v>
      </c>
    </row>
    <row r="40" spans="1:12">
      <c r="A40">
        <v>814</v>
      </c>
      <c r="B40">
        <v>235.48</v>
      </c>
      <c r="C40" s="2935" t="s">
        <v>3102</v>
      </c>
      <c r="D40">
        <v>8</v>
      </c>
      <c r="G40" s="2945">
        <v>39</v>
      </c>
      <c r="H40" s="2945">
        <v>1</v>
      </c>
      <c r="I40" s="2945">
        <v>708</v>
      </c>
      <c r="J40" s="2945">
        <v>59.37</v>
      </c>
      <c r="K40" s="2945">
        <v>7</v>
      </c>
      <c r="L40" s="2945" t="s">
        <v>3102</v>
      </c>
    </row>
    <row r="41" spans="1:12">
      <c r="A41">
        <v>903</v>
      </c>
      <c r="B41">
        <v>59.37</v>
      </c>
      <c r="C41" s="2935" t="s">
        <v>3102</v>
      </c>
      <c r="D41">
        <v>9</v>
      </c>
      <c r="G41" s="2945">
        <v>40</v>
      </c>
      <c r="H41" s="2945">
        <v>1</v>
      </c>
      <c r="I41" s="2945">
        <v>711</v>
      </c>
      <c r="J41" s="2945">
        <v>236.54</v>
      </c>
      <c r="K41" s="2945">
        <v>7</v>
      </c>
      <c r="L41" s="2945" t="s">
        <v>3102</v>
      </c>
    </row>
    <row r="42" spans="1:12">
      <c r="A42">
        <v>908</v>
      </c>
      <c r="B42">
        <v>59.37</v>
      </c>
      <c r="C42" s="2935" t="s">
        <v>3102</v>
      </c>
      <c r="D42">
        <v>9</v>
      </c>
      <c r="G42" s="2945">
        <v>41</v>
      </c>
      <c r="H42" s="2945">
        <v>1</v>
      </c>
      <c r="I42" s="2945">
        <v>712</v>
      </c>
      <c r="J42" s="2945">
        <v>250.45</v>
      </c>
      <c r="K42" s="2945">
        <v>7</v>
      </c>
      <c r="L42" s="2945" t="s">
        <v>3102</v>
      </c>
    </row>
    <row r="43" spans="1:12">
      <c r="A43">
        <v>911</v>
      </c>
      <c r="B43">
        <v>236.54</v>
      </c>
      <c r="C43" s="2935" t="s">
        <v>3102</v>
      </c>
      <c r="D43">
        <v>9</v>
      </c>
      <c r="G43" s="2945">
        <v>42</v>
      </c>
      <c r="H43" s="2945">
        <v>1</v>
      </c>
      <c r="I43" s="2945">
        <v>713</v>
      </c>
      <c r="J43" s="2945">
        <v>250.76</v>
      </c>
      <c r="K43" s="2945">
        <v>7</v>
      </c>
      <c r="L43" s="2945" t="s">
        <v>3102</v>
      </c>
    </row>
    <row r="44" spans="1:12">
      <c r="A44">
        <v>912</v>
      </c>
      <c r="B44">
        <v>250.45</v>
      </c>
      <c r="C44" s="2935" t="s">
        <v>3102</v>
      </c>
      <c r="D44">
        <v>9</v>
      </c>
      <c r="G44" s="2945">
        <v>43</v>
      </c>
      <c r="H44" s="2945">
        <v>1</v>
      </c>
      <c r="I44" s="2945">
        <v>714</v>
      </c>
      <c r="J44" s="2945">
        <v>235.48</v>
      </c>
      <c r="K44" s="2945">
        <v>7</v>
      </c>
      <c r="L44" s="2945" t="s">
        <v>3102</v>
      </c>
    </row>
    <row r="45" spans="1:12">
      <c r="A45">
        <v>913</v>
      </c>
      <c r="B45">
        <v>250.76</v>
      </c>
      <c r="C45" s="2935" t="s">
        <v>3102</v>
      </c>
      <c r="D45">
        <v>9</v>
      </c>
      <c r="G45" s="2945">
        <v>44</v>
      </c>
      <c r="H45" s="2945">
        <v>1</v>
      </c>
      <c r="I45" s="2945">
        <v>803</v>
      </c>
      <c r="J45" s="2945">
        <v>59.37</v>
      </c>
      <c r="K45" s="2945">
        <v>8</v>
      </c>
      <c r="L45" s="2945" t="s">
        <v>3102</v>
      </c>
    </row>
    <row r="46" spans="1:12">
      <c r="A46">
        <v>914</v>
      </c>
      <c r="B46">
        <v>235.48</v>
      </c>
      <c r="C46" s="2935" t="s">
        <v>3102</v>
      </c>
      <c r="D46">
        <v>9</v>
      </c>
      <c r="G46" s="2945">
        <v>45</v>
      </c>
      <c r="H46" s="2945">
        <v>1</v>
      </c>
      <c r="I46" s="2945">
        <v>808</v>
      </c>
      <c r="J46" s="2945">
        <v>59.37</v>
      </c>
      <c r="K46" s="2945">
        <v>8</v>
      </c>
      <c r="L46" s="2945" t="s">
        <v>3102</v>
      </c>
    </row>
    <row r="47" spans="1:12">
      <c r="A47">
        <v>1003</v>
      </c>
      <c r="B47">
        <v>59.37</v>
      </c>
      <c r="C47" s="2935" t="s">
        <v>3102</v>
      </c>
      <c r="D47">
        <v>10</v>
      </c>
      <c r="G47" s="2945">
        <v>46</v>
      </c>
      <c r="H47" s="2945">
        <v>1</v>
      </c>
      <c r="I47" s="2945">
        <v>811</v>
      </c>
      <c r="J47" s="2945">
        <v>236.54</v>
      </c>
      <c r="K47" s="2945">
        <v>8</v>
      </c>
      <c r="L47" s="2945" t="s">
        <v>3102</v>
      </c>
    </row>
    <row r="48" spans="1:12">
      <c r="A48">
        <v>1008</v>
      </c>
      <c r="B48">
        <v>59.37</v>
      </c>
      <c r="C48" s="2935" t="s">
        <v>3102</v>
      </c>
      <c r="D48">
        <v>10</v>
      </c>
      <c r="G48" s="2945">
        <v>47</v>
      </c>
      <c r="H48" s="2945">
        <v>1</v>
      </c>
      <c r="I48" s="2945">
        <v>812</v>
      </c>
      <c r="J48" s="2945">
        <v>250.45</v>
      </c>
      <c r="K48" s="2945">
        <v>8</v>
      </c>
      <c r="L48" s="2945" t="s">
        <v>3102</v>
      </c>
    </row>
    <row r="49" spans="1:12">
      <c r="A49">
        <v>1011</v>
      </c>
      <c r="B49">
        <v>236.54</v>
      </c>
      <c r="C49" s="2935" t="s">
        <v>3102</v>
      </c>
      <c r="D49">
        <v>10</v>
      </c>
      <c r="G49" s="2945">
        <v>48</v>
      </c>
      <c r="H49" s="2945">
        <v>1</v>
      </c>
      <c r="I49" s="2945">
        <v>813</v>
      </c>
      <c r="J49" s="2945">
        <v>250.76</v>
      </c>
      <c r="K49" s="2945">
        <v>8</v>
      </c>
      <c r="L49" s="2945" t="s">
        <v>3102</v>
      </c>
    </row>
    <row r="50" spans="1:12">
      <c r="A50">
        <v>1012</v>
      </c>
      <c r="B50">
        <v>250.45</v>
      </c>
      <c r="C50" s="2935" t="s">
        <v>3102</v>
      </c>
      <c r="D50">
        <v>10</v>
      </c>
      <c r="G50" s="2945">
        <v>49</v>
      </c>
      <c r="H50" s="2945">
        <v>1</v>
      </c>
      <c r="I50" s="2945">
        <v>814</v>
      </c>
      <c r="J50" s="2945">
        <v>235.48</v>
      </c>
      <c r="K50" s="2945">
        <v>8</v>
      </c>
      <c r="L50" s="2945" t="s">
        <v>3102</v>
      </c>
    </row>
    <row r="51" spans="1:12">
      <c r="A51">
        <v>1013</v>
      </c>
      <c r="B51">
        <v>250.76</v>
      </c>
      <c r="C51" s="2935" t="s">
        <v>3102</v>
      </c>
      <c r="D51">
        <v>10</v>
      </c>
      <c r="G51" s="2945">
        <v>50</v>
      </c>
      <c r="H51" s="2945">
        <v>1</v>
      </c>
      <c r="I51" s="2945">
        <v>903</v>
      </c>
      <c r="J51" s="2945">
        <v>59.37</v>
      </c>
      <c r="K51" s="2945">
        <v>9</v>
      </c>
      <c r="L51" s="2945" t="s">
        <v>3102</v>
      </c>
    </row>
    <row r="52" spans="1:12">
      <c r="A52">
        <v>1014</v>
      </c>
      <c r="B52">
        <v>235.48</v>
      </c>
      <c r="C52" s="2935" t="s">
        <v>3102</v>
      </c>
      <c r="D52">
        <v>10</v>
      </c>
      <c r="G52" s="2945">
        <v>51</v>
      </c>
      <c r="H52" s="2945">
        <v>1</v>
      </c>
      <c r="I52" s="2945">
        <v>908</v>
      </c>
      <c r="J52" s="2945">
        <v>59.37</v>
      </c>
      <c r="K52" s="2945">
        <v>9</v>
      </c>
      <c r="L52" s="2945" t="s">
        <v>3102</v>
      </c>
    </row>
    <row r="53" spans="1:12">
      <c r="A53">
        <v>1103</v>
      </c>
      <c r="B53">
        <v>47.13</v>
      </c>
      <c r="C53" s="2935" t="s">
        <v>3102</v>
      </c>
      <c r="D53">
        <v>11</v>
      </c>
      <c r="G53" s="2945">
        <v>52</v>
      </c>
      <c r="H53" s="2945">
        <v>1</v>
      </c>
      <c r="I53" s="2945">
        <v>911</v>
      </c>
      <c r="J53" s="2945">
        <v>236.54</v>
      </c>
      <c r="K53" s="2945">
        <v>9</v>
      </c>
      <c r="L53" s="2945" t="s">
        <v>3102</v>
      </c>
    </row>
    <row r="54" spans="1:12">
      <c r="A54">
        <v>1108</v>
      </c>
      <c r="B54">
        <v>47.13</v>
      </c>
      <c r="C54" s="2935" t="s">
        <v>3102</v>
      </c>
      <c r="D54">
        <v>11</v>
      </c>
      <c r="G54" s="2945">
        <v>53</v>
      </c>
      <c r="H54" s="2945">
        <v>1</v>
      </c>
      <c r="I54" s="2945">
        <v>912</v>
      </c>
      <c r="J54" s="2945">
        <v>250.45</v>
      </c>
      <c r="K54" s="2945">
        <v>9</v>
      </c>
      <c r="L54" s="2945" t="s">
        <v>3102</v>
      </c>
    </row>
    <row r="55" spans="1:12">
      <c r="A55">
        <v>1111</v>
      </c>
      <c r="B55">
        <v>202.02</v>
      </c>
      <c r="C55" s="2935" t="s">
        <v>3102</v>
      </c>
      <c r="D55">
        <v>11</v>
      </c>
      <c r="G55" s="2945">
        <v>54</v>
      </c>
      <c r="H55" s="2945">
        <v>1</v>
      </c>
      <c r="I55" s="2945">
        <v>913</v>
      </c>
      <c r="J55" s="2945">
        <v>250.76</v>
      </c>
      <c r="K55" s="2945">
        <v>9</v>
      </c>
      <c r="L55" s="2945" t="s">
        <v>3102</v>
      </c>
    </row>
    <row r="56" spans="1:12">
      <c r="A56">
        <v>1112</v>
      </c>
      <c r="B56">
        <v>245.04</v>
      </c>
      <c r="C56" s="2935" t="s">
        <v>3102</v>
      </c>
      <c r="D56">
        <v>11</v>
      </c>
      <c r="G56" s="2945">
        <v>55</v>
      </c>
      <c r="H56" s="2945">
        <v>1</v>
      </c>
      <c r="I56" s="2945">
        <v>914</v>
      </c>
      <c r="J56" s="2945">
        <v>235.48</v>
      </c>
      <c r="K56" s="2945">
        <v>9</v>
      </c>
      <c r="L56" s="2945" t="s">
        <v>3102</v>
      </c>
    </row>
    <row r="57" spans="1:12">
      <c r="A57">
        <v>1113</v>
      </c>
      <c r="B57">
        <v>245.34</v>
      </c>
      <c r="C57" s="2935" t="s">
        <v>3102</v>
      </c>
      <c r="D57">
        <v>11</v>
      </c>
      <c r="G57" s="2945">
        <v>56</v>
      </c>
      <c r="H57" s="2945">
        <v>1</v>
      </c>
      <c r="I57" s="2945">
        <v>1003</v>
      </c>
      <c r="J57" s="2945">
        <v>59.37</v>
      </c>
      <c r="K57" s="2945">
        <v>10</v>
      </c>
      <c r="L57" s="2945" t="s">
        <v>3102</v>
      </c>
    </row>
    <row r="58" spans="1:12">
      <c r="A58">
        <v>1114</v>
      </c>
      <c r="B58">
        <v>200.96</v>
      </c>
      <c r="C58" s="2935" t="s">
        <v>3102</v>
      </c>
      <c r="D58">
        <v>11</v>
      </c>
      <c r="G58" s="2945">
        <v>57</v>
      </c>
      <c r="H58" s="2945">
        <v>1</v>
      </c>
      <c r="I58" s="2945">
        <v>1008</v>
      </c>
      <c r="J58" s="2945">
        <v>59.37</v>
      </c>
      <c r="K58" s="2945">
        <v>10</v>
      </c>
      <c r="L58" s="2945" t="s">
        <v>3102</v>
      </c>
    </row>
    <row r="59" spans="1:12">
      <c r="A59">
        <v>1203</v>
      </c>
      <c r="B59">
        <v>47.13</v>
      </c>
      <c r="C59" s="2935" t="s">
        <v>3102</v>
      </c>
      <c r="D59">
        <v>12</v>
      </c>
      <c r="G59" s="2945">
        <v>58</v>
      </c>
      <c r="H59" s="2945">
        <v>1</v>
      </c>
      <c r="I59" s="2945">
        <v>1011</v>
      </c>
      <c r="J59" s="2945">
        <v>236.54</v>
      </c>
      <c r="K59" s="2945">
        <v>10</v>
      </c>
      <c r="L59" s="2945" t="s">
        <v>3102</v>
      </c>
    </row>
    <row r="60" spans="1:12">
      <c r="A60">
        <v>1208</v>
      </c>
      <c r="B60">
        <v>47.13</v>
      </c>
      <c r="C60" s="2935" t="s">
        <v>3102</v>
      </c>
      <c r="D60">
        <v>12</v>
      </c>
      <c r="G60" s="2945">
        <v>59</v>
      </c>
      <c r="H60" s="2945">
        <v>1</v>
      </c>
      <c r="I60" s="2945">
        <v>1012</v>
      </c>
      <c r="J60" s="2945">
        <v>250.45</v>
      </c>
      <c r="K60" s="2945">
        <v>10</v>
      </c>
      <c r="L60" s="2945" t="s">
        <v>3102</v>
      </c>
    </row>
    <row r="61" spans="1:12">
      <c r="A61">
        <v>1211</v>
      </c>
      <c r="B61">
        <v>202.02</v>
      </c>
      <c r="C61" s="2935" t="s">
        <v>3102</v>
      </c>
      <c r="D61">
        <v>12</v>
      </c>
      <c r="G61" s="2945">
        <v>60</v>
      </c>
      <c r="H61" s="2945">
        <v>1</v>
      </c>
      <c r="I61" s="2945">
        <v>1013</v>
      </c>
      <c r="J61" s="2945">
        <v>250.76</v>
      </c>
      <c r="K61" s="2945">
        <v>10</v>
      </c>
      <c r="L61" s="2945" t="s">
        <v>3102</v>
      </c>
    </row>
    <row r="62" spans="1:12">
      <c r="A62">
        <v>1212</v>
      </c>
      <c r="B62">
        <v>245.04</v>
      </c>
      <c r="C62" s="2935" t="s">
        <v>3102</v>
      </c>
      <c r="D62">
        <v>12</v>
      </c>
      <c r="G62" s="2945">
        <v>61</v>
      </c>
      <c r="H62" s="2945">
        <v>1</v>
      </c>
      <c r="I62" s="2945">
        <v>1014</v>
      </c>
      <c r="J62" s="2945">
        <v>235.48</v>
      </c>
      <c r="K62" s="2945">
        <v>10</v>
      </c>
      <c r="L62" s="2945" t="s">
        <v>3102</v>
      </c>
    </row>
    <row r="63" spans="1:12">
      <c r="A63">
        <v>1213</v>
      </c>
      <c r="B63">
        <v>245.34</v>
      </c>
      <c r="C63" s="2935" t="s">
        <v>3102</v>
      </c>
      <c r="D63">
        <v>12</v>
      </c>
      <c r="G63" s="2945">
        <v>62</v>
      </c>
      <c r="H63" s="2945">
        <v>1</v>
      </c>
      <c r="I63" s="2945">
        <v>1103</v>
      </c>
      <c r="J63" s="2945">
        <v>47.13</v>
      </c>
      <c r="K63" s="2945">
        <v>11</v>
      </c>
      <c r="L63" s="2945" t="s">
        <v>3102</v>
      </c>
    </row>
    <row r="64" spans="1:12">
      <c r="A64">
        <v>1214</v>
      </c>
      <c r="B64">
        <v>200.96</v>
      </c>
      <c r="C64" s="2935" t="s">
        <v>3102</v>
      </c>
      <c r="D64">
        <v>12</v>
      </c>
      <c r="G64" s="2945">
        <v>63</v>
      </c>
      <c r="H64" s="2945">
        <v>1</v>
      </c>
      <c r="I64" s="2945">
        <v>1108</v>
      </c>
      <c r="J64" s="2945">
        <v>47.13</v>
      </c>
      <c r="K64" s="2945">
        <v>11</v>
      </c>
      <c r="L64" s="2945" t="s">
        <v>3102</v>
      </c>
    </row>
    <row r="65" spans="1:12">
      <c r="A65">
        <v>1303</v>
      </c>
      <c r="B65">
        <v>47.13</v>
      </c>
      <c r="C65" s="2935" t="s">
        <v>3102</v>
      </c>
      <c r="D65">
        <v>13</v>
      </c>
      <c r="G65" s="2945">
        <v>64</v>
      </c>
      <c r="H65" s="2945">
        <v>1</v>
      </c>
      <c r="I65" s="2945">
        <v>1111</v>
      </c>
      <c r="J65" s="2945">
        <v>202.02</v>
      </c>
      <c r="K65" s="2945">
        <v>11</v>
      </c>
      <c r="L65" s="2945" t="s">
        <v>3102</v>
      </c>
    </row>
    <row r="66" spans="1:12">
      <c r="A66">
        <v>1308</v>
      </c>
      <c r="B66">
        <v>47.13</v>
      </c>
      <c r="C66" s="2935" t="s">
        <v>3102</v>
      </c>
      <c r="D66">
        <v>13</v>
      </c>
      <c r="G66" s="2945">
        <v>65</v>
      </c>
      <c r="H66" s="2945">
        <v>1</v>
      </c>
      <c r="I66" s="2945">
        <v>1112</v>
      </c>
      <c r="J66" s="2945">
        <v>245.04</v>
      </c>
      <c r="K66" s="2945">
        <v>11</v>
      </c>
      <c r="L66" s="2945" t="s">
        <v>3102</v>
      </c>
    </row>
    <row r="67" spans="1:12">
      <c r="A67">
        <v>1311</v>
      </c>
      <c r="B67">
        <v>202.02</v>
      </c>
      <c r="C67" s="2935" t="s">
        <v>3102</v>
      </c>
      <c r="D67">
        <v>13</v>
      </c>
      <c r="G67" s="2945">
        <v>66</v>
      </c>
      <c r="H67" s="2945">
        <v>1</v>
      </c>
      <c r="I67" s="2945">
        <v>1113</v>
      </c>
      <c r="J67" s="2945">
        <v>245.34</v>
      </c>
      <c r="K67" s="2945">
        <v>11</v>
      </c>
      <c r="L67" s="2945" t="s">
        <v>3102</v>
      </c>
    </row>
    <row r="68" spans="1:12">
      <c r="A68">
        <v>1312</v>
      </c>
      <c r="B68">
        <v>245.04</v>
      </c>
      <c r="C68" s="2935" t="s">
        <v>3102</v>
      </c>
      <c r="D68">
        <v>13</v>
      </c>
      <c r="G68" s="2945">
        <v>67</v>
      </c>
      <c r="H68" s="2945">
        <v>1</v>
      </c>
      <c r="I68" s="2945">
        <v>1114</v>
      </c>
      <c r="J68" s="2945">
        <v>200.96</v>
      </c>
      <c r="K68" s="2945">
        <v>11</v>
      </c>
      <c r="L68" s="2945" t="s">
        <v>3102</v>
      </c>
    </row>
    <row r="69" spans="1:12">
      <c r="A69">
        <v>1313</v>
      </c>
      <c r="B69">
        <v>245.34</v>
      </c>
      <c r="C69" s="2935" t="s">
        <v>3102</v>
      </c>
      <c r="D69">
        <v>13</v>
      </c>
      <c r="G69" s="2945">
        <v>68</v>
      </c>
      <c r="H69" s="2945">
        <v>1</v>
      </c>
      <c r="I69" s="2945">
        <v>1203</v>
      </c>
      <c r="J69" s="2945">
        <v>47.13</v>
      </c>
      <c r="K69" s="2945">
        <v>12</v>
      </c>
      <c r="L69" s="2945" t="s">
        <v>3102</v>
      </c>
    </row>
    <row r="70" spans="1:12">
      <c r="A70">
        <v>1314</v>
      </c>
      <c r="B70">
        <v>200.96</v>
      </c>
      <c r="C70" s="2935" t="s">
        <v>3102</v>
      </c>
      <c r="D70">
        <v>13</v>
      </c>
      <c r="G70" s="2945">
        <v>69</v>
      </c>
      <c r="H70" s="2945">
        <v>1</v>
      </c>
      <c r="I70" s="2945">
        <v>1208</v>
      </c>
      <c r="J70" s="2945">
        <v>47.13</v>
      </c>
      <c r="K70" s="2945">
        <v>12</v>
      </c>
      <c r="L70" s="2945" t="s">
        <v>3102</v>
      </c>
    </row>
    <row r="71" spans="1:12">
      <c r="A71">
        <v>1403</v>
      </c>
      <c r="B71">
        <v>47.13</v>
      </c>
      <c r="C71" s="2935" t="s">
        <v>3102</v>
      </c>
      <c r="D71">
        <v>14</v>
      </c>
      <c r="G71" s="2945">
        <v>70</v>
      </c>
      <c r="H71" s="2945">
        <v>1</v>
      </c>
      <c r="I71" s="2945">
        <v>1211</v>
      </c>
      <c r="J71" s="2945">
        <v>202.02</v>
      </c>
      <c r="K71" s="2945">
        <v>12</v>
      </c>
      <c r="L71" s="2945" t="s">
        <v>3102</v>
      </c>
    </row>
    <row r="72" spans="1:12">
      <c r="A72">
        <v>1408</v>
      </c>
      <c r="B72">
        <v>47.13</v>
      </c>
      <c r="C72" s="2935" t="s">
        <v>3102</v>
      </c>
      <c r="D72">
        <v>14</v>
      </c>
      <c r="G72" s="2945">
        <v>71</v>
      </c>
      <c r="H72" s="2945">
        <v>1</v>
      </c>
      <c r="I72" s="2945">
        <v>1212</v>
      </c>
      <c r="J72" s="2945">
        <v>245.04</v>
      </c>
      <c r="K72" s="2945">
        <v>12</v>
      </c>
      <c r="L72" s="2945" t="s">
        <v>3102</v>
      </c>
    </row>
    <row r="73" spans="1:12">
      <c r="A73">
        <v>1411</v>
      </c>
      <c r="B73">
        <v>202.02</v>
      </c>
      <c r="C73" s="2935" t="s">
        <v>3102</v>
      </c>
      <c r="D73">
        <v>14</v>
      </c>
      <c r="G73" s="2945">
        <v>72</v>
      </c>
      <c r="H73" s="2945">
        <v>1</v>
      </c>
      <c r="I73" s="2945">
        <v>1213</v>
      </c>
      <c r="J73" s="2945">
        <v>245.34</v>
      </c>
      <c r="K73" s="2945">
        <v>12</v>
      </c>
      <c r="L73" s="2945" t="s">
        <v>3102</v>
      </c>
    </row>
    <row r="74" spans="1:12">
      <c r="A74">
        <v>1412</v>
      </c>
      <c r="B74">
        <v>245.04</v>
      </c>
      <c r="C74" s="2935" t="s">
        <v>3102</v>
      </c>
      <c r="D74">
        <v>14</v>
      </c>
      <c r="G74" s="2945">
        <v>73</v>
      </c>
      <c r="H74" s="2945">
        <v>1</v>
      </c>
      <c r="I74" s="2945">
        <v>1214</v>
      </c>
      <c r="J74" s="2945">
        <v>200.96</v>
      </c>
      <c r="K74" s="2945">
        <v>12</v>
      </c>
      <c r="L74" s="2945" t="s">
        <v>3102</v>
      </c>
    </row>
    <row r="75" spans="1:12">
      <c r="A75">
        <v>1413</v>
      </c>
      <c r="B75">
        <v>245.34</v>
      </c>
      <c r="C75" s="2935" t="s">
        <v>3102</v>
      </c>
      <c r="D75">
        <v>14</v>
      </c>
      <c r="G75" s="2945">
        <v>74</v>
      </c>
      <c r="H75" s="2945">
        <v>1</v>
      </c>
      <c r="I75" s="2945">
        <v>1303</v>
      </c>
      <c r="J75" s="2945">
        <v>47.13</v>
      </c>
      <c r="K75" s="2945">
        <v>13</v>
      </c>
      <c r="L75" s="2945" t="s">
        <v>3102</v>
      </c>
    </row>
    <row r="76" spans="1:12">
      <c r="A76">
        <v>1414</v>
      </c>
      <c r="B76">
        <v>200.96</v>
      </c>
      <c r="C76" s="2935" t="s">
        <v>3102</v>
      </c>
      <c r="D76">
        <v>14</v>
      </c>
      <c r="G76" s="2945">
        <v>75</v>
      </c>
      <c r="H76" s="2945">
        <v>1</v>
      </c>
      <c r="I76" s="2945">
        <v>1308</v>
      </c>
      <c r="J76" s="2945">
        <v>47.13</v>
      </c>
      <c r="K76" s="2945">
        <v>13</v>
      </c>
      <c r="L76" s="2945" t="s">
        <v>3102</v>
      </c>
    </row>
    <row r="77" spans="1:12">
      <c r="A77">
        <v>1503</v>
      </c>
      <c r="B77">
        <v>47.13</v>
      </c>
      <c r="C77" s="2935" t="s">
        <v>3102</v>
      </c>
      <c r="D77">
        <v>15</v>
      </c>
      <c r="G77" s="2945">
        <v>76</v>
      </c>
      <c r="H77" s="2945">
        <v>1</v>
      </c>
      <c r="I77" s="2945">
        <v>1311</v>
      </c>
      <c r="J77" s="2945">
        <v>202.02</v>
      </c>
      <c r="K77" s="2945">
        <v>13</v>
      </c>
      <c r="L77" s="2945" t="s">
        <v>3102</v>
      </c>
    </row>
    <row r="78" spans="1:12">
      <c r="A78">
        <v>1508</v>
      </c>
      <c r="B78">
        <v>47.13</v>
      </c>
      <c r="C78" s="2935" t="s">
        <v>3102</v>
      </c>
      <c r="D78">
        <v>15</v>
      </c>
      <c r="G78" s="2945">
        <v>77</v>
      </c>
      <c r="H78" s="2945">
        <v>1</v>
      </c>
      <c r="I78" s="2945">
        <v>1312</v>
      </c>
      <c r="J78" s="2945">
        <v>245.04</v>
      </c>
      <c r="K78" s="2945">
        <v>13</v>
      </c>
      <c r="L78" s="2945" t="s">
        <v>3102</v>
      </c>
    </row>
    <row r="79" spans="1:12">
      <c r="A79">
        <v>1511</v>
      </c>
      <c r="B79">
        <v>202.02</v>
      </c>
      <c r="C79" s="2935" t="s">
        <v>3102</v>
      </c>
      <c r="D79">
        <v>15</v>
      </c>
      <c r="G79" s="2945">
        <v>78</v>
      </c>
      <c r="H79" s="2945">
        <v>1</v>
      </c>
      <c r="I79" s="2945">
        <v>1313</v>
      </c>
      <c r="J79" s="2945">
        <v>245.34</v>
      </c>
      <c r="K79" s="2945">
        <v>13</v>
      </c>
      <c r="L79" s="2945" t="s">
        <v>3102</v>
      </c>
    </row>
    <row r="80" spans="1:12">
      <c r="A80">
        <v>1512</v>
      </c>
      <c r="B80">
        <v>245.04</v>
      </c>
      <c r="C80" s="2935" t="s">
        <v>3102</v>
      </c>
      <c r="D80">
        <v>15</v>
      </c>
      <c r="G80" s="2945">
        <v>79</v>
      </c>
      <c r="H80" s="2945">
        <v>1</v>
      </c>
      <c r="I80" s="2945">
        <v>1314</v>
      </c>
      <c r="J80" s="2945">
        <v>200.96</v>
      </c>
      <c r="K80" s="2945">
        <v>13</v>
      </c>
      <c r="L80" s="2945" t="s">
        <v>3102</v>
      </c>
    </row>
    <row r="81" spans="1:12">
      <c r="A81">
        <v>1513</v>
      </c>
      <c r="B81">
        <v>245.34</v>
      </c>
      <c r="C81" s="2935" t="s">
        <v>3102</v>
      </c>
      <c r="D81">
        <v>15</v>
      </c>
      <c r="G81" s="2945">
        <v>80</v>
      </c>
      <c r="H81" s="2945">
        <v>1</v>
      </c>
      <c r="I81" s="2945">
        <v>1403</v>
      </c>
      <c r="J81" s="2945">
        <v>47.13</v>
      </c>
      <c r="K81" s="2945">
        <v>14</v>
      </c>
      <c r="L81" s="2945" t="s">
        <v>3102</v>
      </c>
    </row>
    <row r="82" spans="1:12">
      <c r="A82">
        <v>1514</v>
      </c>
      <c r="B82">
        <v>200.96</v>
      </c>
      <c r="C82" s="2935" t="s">
        <v>3102</v>
      </c>
      <c r="D82">
        <v>15</v>
      </c>
      <c r="G82" s="2945">
        <v>81</v>
      </c>
      <c r="H82" s="2945">
        <v>1</v>
      </c>
      <c r="I82" s="2945">
        <v>1408</v>
      </c>
      <c r="J82" s="2945">
        <v>47.13</v>
      </c>
      <c r="K82" s="2945">
        <v>14</v>
      </c>
      <c r="L82" s="2945" t="s">
        <v>3102</v>
      </c>
    </row>
    <row r="83" spans="1:12">
      <c r="A83">
        <v>1603</v>
      </c>
      <c r="B83">
        <v>47.13</v>
      </c>
      <c r="C83" s="2935" t="s">
        <v>3102</v>
      </c>
      <c r="D83">
        <v>16</v>
      </c>
      <c r="G83" s="2945">
        <v>82</v>
      </c>
      <c r="H83" s="2945">
        <v>1</v>
      </c>
      <c r="I83" s="2945">
        <v>1411</v>
      </c>
      <c r="J83" s="2945">
        <v>202.02</v>
      </c>
      <c r="K83" s="2945">
        <v>14</v>
      </c>
      <c r="L83" s="2945" t="s">
        <v>3102</v>
      </c>
    </row>
    <row r="84" spans="1:12">
      <c r="A84">
        <v>1608</v>
      </c>
      <c r="B84">
        <v>47.13</v>
      </c>
      <c r="C84" s="2935" t="s">
        <v>3102</v>
      </c>
      <c r="D84">
        <v>16</v>
      </c>
      <c r="G84" s="2945">
        <v>83</v>
      </c>
      <c r="H84" s="2945">
        <v>1</v>
      </c>
      <c r="I84" s="2945">
        <v>1412</v>
      </c>
      <c r="J84" s="2945">
        <v>245.04</v>
      </c>
      <c r="K84" s="2945">
        <v>14</v>
      </c>
      <c r="L84" s="2945" t="s">
        <v>3102</v>
      </c>
    </row>
    <row r="85" spans="1:12">
      <c r="A85">
        <v>1611</v>
      </c>
      <c r="B85">
        <v>202.02</v>
      </c>
      <c r="C85" s="2935" t="s">
        <v>3102</v>
      </c>
      <c r="D85">
        <v>16</v>
      </c>
      <c r="G85" s="2945">
        <v>84</v>
      </c>
      <c r="H85" s="2945">
        <v>1</v>
      </c>
      <c r="I85" s="2945">
        <v>1413</v>
      </c>
      <c r="J85" s="2945">
        <v>245.34</v>
      </c>
      <c r="K85" s="2945">
        <v>14</v>
      </c>
      <c r="L85" s="2945" t="s">
        <v>3102</v>
      </c>
    </row>
    <row r="86" spans="1:12">
      <c r="A86">
        <v>1612</v>
      </c>
      <c r="B86">
        <v>245.04</v>
      </c>
      <c r="C86" s="2935" t="s">
        <v>3102</v>
      </c>
      <c r="D86">
        <v>16</v>
      </c>
      <c r="G86" s="2945">
        <v>85</v>
      </c>
      <c r="H86" s="2945">
        <v>1</v>
      </c>
      <c r="I86" s="2945">
        <v>1414</v>
      </c>
      <c r="J86" s="2945">
        <v>200.96</v>
      </c>
      <c r="K86" s="2945">
        <v>14</v>
      </c>
      <c r="L86" s="2945" t="s">
        <v>3102</v>
      </c>
    </row>
    <row r="87" spans="1:12">
      <c r="A87">
        <v>1613</v>
      </c>
      <c r="B87">
        <v>245.34</v>
      </c>
      <c r="C87" s="2935" t="s">
        <v>3102</v>
      </c>
      <c r="D87">
        <v>16</v>
      </c>
      <c r="G87" s="2945">
        <v>86</v>
      </c>
      <c r="H87" s="2945">
        <v>1</v>
      </c>
      <c r="I87" s="2945">
        <v>1503</v>
      </c>
      <c r="J87" s="2945">
        <v>47.13</v>
      </c>
      <c r="K87" s="2945">
        <v>15</v>
      </c>
      <c r="L87" s="2945" t="s">
        <v>3102</v>
      </c>
    </row>
    <row r="88" spans="1:12">
      <c r="A88">
        <v>1614</v>
      </c>
      <c r="B88">
        <v>200.96</v>
      </c>
      <c r="C88" s="2935" t="s">
        <v>3102</v>
      </c>
      <c r="D88">
        <v>16</v>
      </c>
      <c r="G88" s="2945">
        <v>87</v>
      </c>
      <c r="H88" s="2945">
        <v>1</v>
      </c>
      <c r="I88" s="2945">
        <v>1508</v>
      </c>
      <c r="J88" s="2945">
        <v>47.13</v>
      </c>
      <c r="K88" s="2945">
        <v>15</v>
      </c>
      <c r="L88" s="2945" t="s">
        <v>3102</v>
      </c>
    </row>
    <row r="89" spans="1:12">
      <c r="A89">
        <v>1703</v>
      </c>
      <c r="B89">
        <v>47.13</v>
      </c>
      <c r="C89" s="2935" t="s">
        <v>3102</v>
      </c>
      <c r="D89">
        <v>17</v>
      </c>
      <c r="G89" s="2945">
        <v>88</v>
      </c>
      <c r="H89" s="2945">
        <v>1</v>
      </c>
      <c r="I89" s="2945">
        <v>1511</v>
      </c>
      <c r="J89" s="2945">
        <v>202.02</v>
      </c>
      <c r="K89" s="2945">
        <v>15</v>
      </c>
      <c r="L89" s="2945" t="s">
        <v>3102</v>
      </c>
    </row>
    <row r="90" spans="1:12">
      <c r="A90">
        <v>1708</v>
      </c>
      <c r="B90">
        <v>47.13</v>
      </c>
      <c r="C90" s="2935" t="s">
        <v>3102</v>
      </c>
      <c r="D90">
        <v>17</v>
      </c>
      <c r="G90" s="2945">
        <v>89</v>
      </c>
      <c r="H90" s="2945">
        <v>1</v>
      </c>
      <c r="I90" s="2945">
        <v>1512</v>
      </c>
      <c r="J90" s="2945">
        <v>245.04</v>
      </c>
      <c r="K90" s="2945">
        <v>15</v>
      </c>
      <c r="L90" s="2945" t="s">
        <v>3102</v>
      </c>
    </row>
    <row r="91" spans="1:12">
      <c r="A91">
        <v>1711</v>
      </c>
      <c r="B91">
        <v>202.02</v>
      </c>
      <c r="C91" s="2935" t="s">
        <v>3102</v>
      </c>
      <c r="D91">
        <v>17</v>
      </c>
      <c r="G91" s="2945">
        <v>90</v>
      </c>
      <c r="H91" s="2945">
        <v>1</v>
      </c>
      <c r="I91" s="2945">
        <v>1513</v>
      </c>
      <c r="J91" s="2945">
        <v>245.34</v>
      </c>
      <c r="K91" s="2945">
        <v>15</v>
      </c>
      <c r="L91" s="2945" t="s">
        <v>3102</v>
      </c>
    </row>
    <row r="92" spans="1:12">
      <c r="A92">
        <v>1712</v>
      </c>
      <c r="B92">
        <v>245.04</v>
      </c>
      <c r="C92" s="2935" t="s">
        <v>3102</v>
      </c>
      <c r="D92">
        <v>17</v>
      </c>
      <c r="G92" s="2945">
        <v>91</v>
      </c>
      <c r="H92" s="2945">
        <v>1</v>
      </c>
      <c r="I92" s="2945">
        <v>1514</v>
      </c>
      <c r="J92" s="2945">
        <v>200.96</v>
      </c>
      <c r="K92" s="2945">
        <v>15</v>
      </c>
      <c r="L92" s="2945" t="s">
        <v>3102</v>
      </c>
    </row>
    <row r="93" spans="1:12">
      <c r="A93">
        <v>1713</v>
      </c>
      <c r="B93">
        <v>245.34</v>
      </c>
      <c r="C93" s="2935" t="s">
        <v>3102</v>
      </c>
      <c r="D93">
        <v>17</v>
      </c>
      <c r="G93" s="2945">
        <v>92</v>
      </c>
      <c r="H93" s="2945">
        <v>1</v>
      </c>
      <c r="I93" s="2945">
        <v>1603</v>
      </c>
      <c r="J93" s="2945">
        <v>47.13</v>
      </c>
      <c r="K93" s="2945">
        <v>16</v>
      </c>
      <c r="L93" s="2945" t="s">
        <v>3102</v>
      </c>
    </row>
    <row r="94" spans="1:12">
      <c r="A94">
        <v>1714</v>
      </c>
      <c r="B94">
        <v>200.96</v>
      </c>
      <c r="C94" s="2935" t="s">
        <v>3102</v>
      </c>
      <c r="D94">
        <v>17</v>
      </c>
      <c r="G94" s="2945">
        <v>93</v>
      </c>
      <c r="H94" s="2945">
        <v>1</v>
      </c>
      <c r="I94" s="2945">
        <v>1608</v>
      </c>
      <c r="J94" s="2945">
        <v>47.13</v>
      </c>
      <c r="K94" s="2945">
        <v>16</v>
      </c>
      <c r="L94" s="2945" t="s">
        <v>3102</v>
      </c>
    </row>
    <row r="95" spans="1:12">
      <c r="A95">
        <v>1803</v>
      </c>
      <c r="B95">
        <v>47.13</v>
      </c>
      <c r="C95" s="2935" t="s">
        <v>3102</v>
      </c>
      <c r="D95">
        <v>18</v>
      </c>
      <c r="G95" s="2945">
        <v>94</v>
      </c>
      <c r="H95" s="2945">
        <v>1</v>
      </c>
      <c r="I95" s="2945">
        <v>1611</v>
      </c>
      <c r="J95" s="2945">
        <v>202.02</v>
      </c>
      <c r="K95" s="2945">
        <v>16</v>
      </c>
      <c r="L95" s="2945" t="s">
        <v>3102</v>
      </c>
    </row>
    <row r="96" spans="1:12">
      <c r="A96">
        <v>1808</v>
      </c>
      <c r="B96">
        <v>47.13</v>
      </c>
      <c r="C96" s="2935" t="s">
        <v>3102</v>
      </c>
      <c r="D96">
        <v>18</v>
      </c>
      <c r="G96" s="2945">
        <v>95</v>
      </c>
      <c r="H96" s="2945">
        <v>1</v>
      </c>
      <c r="I96" s="2945">
        <v>1612</v>
      </c>
      <c r="J96" s="2945">
        <v>245.04</v>
      </c>
      <c r="K96" s="2945">
        <v>16</v>
      </c>
      <c r="L96" s="2945" t="s">
        <v>3102</v>
      </c>
    </row>
    <row r="97" spans="1:12">
      <c r="A97">
        <v>1811</v>
      </c>
      <c r="B97">
        <v>202.02</v>
      </c>
      <c r="C97" s="2935" t="s">
        <v>3102</v>
      </c>
      <c r="D97">
        <v>18</v>
      </c>
      <c r="G97" s="2945">
        <v>96</v>
      </c>
      <c r="H97" s="2945">
        <v>1</v>
      </c>
      <c r="I97" s="2945">
        <v>1613</v>
      </c>
      <c r="J97" s="2945">
        <v>245.34</v>
      </c>
      <c r="K97" s="2945">
        <v>16</v>
      </c>
      <c r="L97" s="2945" t="s">
        <v>3102</v>
      </c>
    </row>
    <row r="98" spans="1:12">
      <c r="A98">
        <v>1812</v>
      </c>
      <c r="B98">
        <v>245.04</v>
      </c>
      <c r="C98" s="2935" t="s">
        <v>3102</v>
      </c>
      <c r="D98">
        <v>18</v>
      </c>
      <c r="G98" s="2945">
        <v>97</v>
      </c>
      <c r="H98" s="2945">
        <v>1</v>
      </c>
      <c r="I98" s="2945">
        <v>1614</v>
      </c>
      <c r="J98" s="2945">
        <v>200.96</v>
      </c>
      <c r="K98" s="2945">
        <v>16</v>
      </c>
      <c r="L98" s="2945" t="s">
        <v>3102</v>
      </c>
    </row>
    <row r="99" spans="1:12">
      <c r="A99">
        <v>1813</v>
      </c>
      <c r="B99">
        <v>245.34</v>
      </c>
      <c r="C99" s="2935" t="s">
        <v>3102</v>
      </c>
      <c r="D99">
        <v>18</v>
      </c>
      <c r="G99" s="2945">
        <v>98</v>
      </c>
      <c r="H99" s="2945">
        <v>1</v>
      </c>
      <c r="I99" s="2945">
        <v>1703</v>
      </c>
      <c r="J99" s="2945">
        <v>47.13</v>
      </c>
      <c r="K99" s="2945">
        <v>17</v>
      </c>
      <c r="L99" s="2945" t="s">
        <v>3102</v>
      </c>
    </row>
    <row r="100" spans="1:12">
      <c r="A100">
        <v>1814</v>
      </c>
      <c r="B100">
        <v>200.96</v>
      </c>
      <c r="C100" s="2935" t="s">
        <v>3102</v>
      </c>
      <c r="D100">
        <v>18</v>
      </c>
      <c r="G100" s="2945">
        <v>99</v>
      </c>
      <c r="H100" s="2945">
        <v>1</v>
      </c>
      <c r="I100" s="2945">
        <v>1708</v>
      </c>
      <c r="J100" s="2945">
        <v>47.13</v>
      </c>
      <c r="K100" s="2945">
        <v>17</v>
      </c>
      <c r="L100" s="2945" t="s">
        <v>3102</v>
      </c>
    </row>
    <row r="101" spans="1:12">
      <c r="A101">
        <v>1903</v>
      </c>
      <c r="B101">
        <v>47.13</v>
      </c>
      <c r="C101" s="2935" t="s">
        <v>3102</v>
      </c>
      <c r="D101">
        <v>19</v>
      </c>
      <c r="G101" s="2945">
        <v>100</v>
      </c>
      <c r="H101" s="2945">
        <v>1</v>
      </c>
      <c r="I101" s="2945">
        <v>1711</v>
      </c>
      <c r="J101" s="2945">
        <v>202.02</v>
      </c>
      <c r="K101" s="2945">
        <v>17</v>
      </c>
      <c r="L101" s="2945" t="s">
        <v>3102</v>
      </c>
    </row>
    <row r="102" spans="1:12">
      <c r="A102">
        <v>1908</v>
      </c>
      <c r="B102">
        <v>47.13</v>
      </c>
      <c r="C102" s="2935" t="s">
        <v>3102</v>
      </c>
      <c r="D102">
        <v>19</v>
      </c>
      <c r="G102" s="2945">
        <v>101</v>
      </c>
      <c r="H102" s="2945">
        <v>1</v>
      </c>
      <c r="I102" s="2945">
        <v>1712</v>
      </c>
      <c r="J102" s="2945">
        <v>245.04</v>
      </c>
      <c r="K102" s="2945">
        <v>17</v>
      </c>
      <c r="L102" s="2945" t="s">
        <v>3102</v>
      </c>
    </row>
    <row r="103" spans="1:12">
      <c r="A103">
        <v>1911</v>
      </c>
      <c r="B103">
        <v>202.02</v>
      </c>
      <c r="C103" s="2935" t="s">
        <v>3102</v>
      </c>
      <c r="D103">
        <v>19</v>
      </c>
      <c r="G103" s="2945">
        <v>102</v>
      </c>
      <c r="H103" s="2945">
        <v>1</v>
      </c>
      <c r="I103" s="2945">
        <v>1713</v>
      </c>
      <c r="J103" s="2945">
        <v>245.34</v>
      </c>
      <c r="K103" s="2945">
        <v>17</v>
      </c>
      <c r="L103" s="2945" t="s">
        <v>3102</v>
      </c>
    </row>
    <row r="104" spans="1:12">
      <c r="A104">
        <v>1912</v>
      </c>
      <c r="B104">
        <v>245.04</v>
      </c>
      <c r="C104" s="2935" t="s">
        <v>3102</v>
      </c>
      <c r="D104">
        <v>19</v>
      </c>
      <c r="G104" s="2945">
        <v>103</v>
      </c>
      <c r="H104" s="2945">
        <v>1</v>
      </c>
      <c r="I104" s="2945">
        <v>1714</v>
      </c>
      <c r="J104" s="2945">
        <v>200.96</v>
      </c>
      <c r="K104" s="2945">
        <v>17</v>
      </c>
      <c r="L104" s="2945" t="s">
        <v>3102</v>
      </c>
    </row>
    <row r="105" spans="1:12">
      <c r="A105">
        <v>1913</v>
      </c>
      <c r="B105">
        <v>245.34</v>
      </c>
      <c r="C105" s="2935" t="s">
        <v>3102</v>
      </c>
      <c r="D105">
        <v>19</v>
      </c>
      <c r="G105" s="2945">
        <v>104</v>
      </c>
      <c r="H105" s="2945">
        <v>1</v>
      </c>
      <c r="I105" s="2945">
        <v>1803</v>
      </c>
      <c r="J105" s="2945">
        <v>47.13</v>
      </c>
      <c r="K105" s="2945">
        <v>18</v>
      </c>
      <c r="L105" s="2945" t="s">
        <v>3102</v>
      </c>
    </row>
    <row r="106" spans="1:12">
      <c r="A106">
        <v>1914</v>
      </c>
      <c r="B106">
        <v>200.96</v>
      </c>
      <c r="C106" s="2935" t="s">
        <v>3102</v>
      </c>
      <c r="D106">
        <v>19</v>
      </c>
      <c r="G106" s="2945">
        <v>105</v>
      </c>
      <c r="H106" s="2945">
        <v>1</v>
      </c>
      <c r="I106" s="2945">
        <v>1808</v>
      </c>
      <c r="J106" s="2945">
        <v>47.13</v>
      </c>
      <c r="K106" s="2945">
        <v>18</v>
      </c>
      <c r="L106" s="2945" t="s">
        <v>3102</v>
      </c>
    </row>
    <row r="107" spans="1:12">
      <c r="A107">
        <v>2003</v>
      </c>
      <c r="B107">
        <v>47.13</v>
      </c>
      <c r="C107" s="2935" t="s">
        <v>3102</v>
      </c>
      <c r="D107">
        <v>20</v>
      </c>
      <c r="G107" s="2945">
        <v>106</v>
      </c>
      <c r="H107" s="2945">
        <v>1</v>
      </c>
      <c r="I107" s="2945">
        <v>1811</v>
      </c>
      <c r="J107" s="2945">
        <v>202.02</v>
      </c>
      <c r="K107" s="2945">
        <v>18</v>
      </c>
      <c r="L107" s="2945" t="s">
        <v>3102</v>
      </c>
    </row>
    <row r="108" spans="1:12">
      <c r="A108">
        <v>2008</v>
      </c>
      <c r="B108">
        <v>47.13</v>
      </c>
      <c r="C108" s="2935" t="s">
        <v>3102</v>
      </c>
      <c r="D108">
        <v>20</v>
      </c>
      <c r="G108" s="2945">
        <v>107</v>
      </c>
      <c r="H108" s="2945">
        <v>1</v>
      </c>
      <c r="I108" s="2945">
        <v>1812</v>
      </c>
      <c r="J108" s="2945">
        <v>245.04</v>
      </c>
      <c r="K108" s="2945">
        <v>18</v>
      </c>
      <c r="L108" s="2945" t="s">
        <v>3102</v>
      </c>
    </row>
    <row r="109" spans="1:12">
      <c r="A109">
        <v>2011</v>
      </c>
      <c r="B109">
        <v>202.02</v>
      </c>
      <c r="C109" s="2935" t="s">
        <v>3102</v>
      </c>
      <c r="D109">
        <v>20</v>
      </c>
      <c r="G109" s="2945">
        <v>108</v>
      </c>
      <c r="H109" s="2945">
        <v>1</v>
      </c>
      <c r="I109" s="2945">
        <v>1813</v>
      </c>
      <c r="J109" s="2945">
        <v>245.34</v>
      </c>
      <c r="K109" s="2945">
        <v>18</v>
      </c>
      <c r="L109" s="2945" t="s">
        <v>3102</v>
      </c>
    </row>
    <row r="110" spans="1:12">
      <c r="A110">
        <v>2012</v>
      </c>
      <c r="B110">
        <v>245.04</v>
      </c>
      <c r="C110" s="2935" t="s">
        <v>3102</v>
      </c>
      <c r="D110">
        <v>20</v>
      </c>
      <c r="G110" s="2945">
        <v>109</v>
      </c>
      <c r="H110" s="2945">
        <v>1</v>
      </c>
      <c r="I110" s="2945">
        <v>1814</v>
      </c>
      <c r="J110" s="2945">
        <v>200.96</v>
      </c>
      <c r="K110" s="2945">
        <v>18</v>
      </c>
      <c r="L110" s="2945" t="s">
        <v>3102</v>
      </c>
    </row>
    <row r="111" spans="1:12">
      <c r="A111">
        <v>2013</v>
      </c>
      <c r="B111">
        <v>245.34</v>
      </c>
      <c r="C111" s="2935" t="s">
        <v>3102</v>
      </c>
      <c r="D111">
        <v>20</v>
      </c>
      <c r="G111" s="2945">
        <v>110</v>
      </c>
      <c r="H111" s="2945">
        <v>1</v>
      </c>
      <c r="I111" s="2945">
        <v>1903</v>
      </c>
      <c r="J111" s="2945">
        <v>47.13</v>
      </c>
      <c r="K111" s="2945">
        <v>19</v>
      </c>
      <c r="L111" s="2945" t="s">
        <v>3102</v>
      </c>
    </row>
    <row r="112" spans="1:12">
      <c r="A112">
        <v>2014</v>
      </c>
      <c r="B112">
        <v>200.96</v>
      </c>
      <c r="C112" s="2935" t="s">
        <v>3102</v>
      </c>
      <c r="D112">
        <v>20</v>
      </c>
      <c r="G112" s="2945">
        <v>111</v>
      </c>
      <c r="H112" s="2945">
        <v>1</v>
      </c>
      <c r="I112" s="2945">
        <v>1908</v>
      </c>
      <c r="J112" s="2945">
        <v>47.13</v>
      </c>
      <c r="K112" s="2945">
        <v>19</v>
      </c>
      <c r="L112" s="2945" t="s">
        <v>3102</v>
      </c>
    </row>
    <row r="113" spans="1:12">
      <c r="A113">
        <v>2103</v>
      </c>
      <c r="B113">
        <v>47.13</v>
      </c>
      <c r="C113" s="2935" t="s">
        <v>3102</v>
      </c>
      <c r="D113">
        <v>21</v>
      </c>
      <c r="G113" s="2945">
        <v>112</v>
      </c>
      <c r="H113" s="2945">
        <v>1</v>
      </c>
      <c r="I113" s="2945">
        <v>1911</v>
      </c>
      <c r="J113" s="2945">
        <v>202.02</v>
      </c>
      <c r="K113" s="2945">
        <v>19</v>
      </c>
      <c r="L113" s="2945" t="s">
        <v>3102</v>
      </c>
    </row>
    <row r="114" spans="1:12">
      <c r="A114">
        <v>2108</v>
      </c>
      <c r="B114">
        <v>47.13</v>
      </c>
      <c r="C114" s="2935" t="s">
        <v>3102</v>
      </c>
      <c r="D114">
        <v>21</v>
      </c>
      <c r="G114" s="2945">
        <v>113</v>
      </c>
      <c r="H114" s="2945">
        <v>1</v>
      </c>
      <c r="I114" s="2945">
        <v>1912</v>
      </c>
      <c r="J114" s="2945">
        <v>245.04</v>
      </c>
      <c r="K114" s="2945">
        <v>19</v>
      </c>
      <c r="L114" s="2945" t="s">
        <v>3102</v>
      </c>
    </row>
    <row r="115" spans="1:12">
      <c r="A115">
        <v>2111</v>
      </c>
      <c r="B115">
        <v>202.02</v>
      </c>
      <c r="C115" s="2935" t="s">
        <v>3102</v>
      </c>
      <c r="D115">
        <v>21</v>
      </c>
      <c r="G115" s="2945">
        <v>114</v>
      </c>
      <c r="H115" s="2945">
        <v>1</v>
      </c>
      <c r="I115" s="2945">
        <v>1913</v>
      </c>
      <c r="J115" s="2945">
        <v>245.34</v>
      </c>
      <c r="K115" s="2945">
        <v>19</v>
      </c>
      <c r="L115" s="2945" t="s">
        <v>3102</v>
      </c>
    </row>
    <row r="116" spans="1:12">
      <c r="A116">
        <v>2112</v>
      </c>
      <c r="B116">
        <v>245.04</v>
      </c>
      <c r="C116" s="2935" t="s">
        <v>3102</v>
      </c>
      <c r="D116">
        <v>21</v>
      </c>
      <c r="G116" s="2945">
        <v>115</v>
      </c>
      <c r="H116" s="2945">
        <v>1</v>
      </c>
      <c r="I116" s="2945">
        <v>1914</v>
      </c>
      <c r="J116" s="2945">
        <v>200.96</v>
      </c>
      <c r="K116" s="2945">
        <v>19</v>
      </c>
      <c r="L116" s="2945" t="s">
        <v>3102</v>
      </c>
    </row>
    <row r="117" spans="1:12">
      <c r="A117">
        <v>2113</v>
      </c>
      <c r="B117">
        <v>245.34</v>
      </c>
      <c r="C117" s="2935" t="s">
        <v>3102</v>
      </c>
      <c r="D117">
        <v>21</v>
      </c>
      <c r="G117" s="2945">
        <v>116</v>
      </c>
      <c r="H117" s="2945">
        <v>1</v>
      </c>
      <c r="I117" s="2945">
        <v>2003</v>
      </c>
      <c r="J117" s="2945">
        <v>47.13</v>
      </c>
      <c r="K117" s="2945">
        <v>20</v>
      </c>
      <c r="L117" s="2945" t="s">
        <v>3102</v>
      </c>
    </row>
    <row r="118" spans="1:12">
      <c r="A118">
        <v>2114</v>
      </c>
      <c r="B118">
        <v>200.96</v>
      </c>
      <c r="C118" s="2935" t="s">
        <v>3102</v>
      </c>
      <c r="D118">
        <v>21</v>
      </c>
      <c r="G118" s="2945">
        <v>117</v>
      </c>
      <c r="H118" s="2945">
        <v>1</v>
      </c>
      <c r="I118" s="2945">
        <v>2008</v>
      </c>
      <c r="J118" s="2945">
        <v>47.13</v>
      </c>
      <c r="K118" s="2945">
        <v>20</v>
      </c>
      <c r="L118" s="2945" t="s">
        <v>3102</v>
      </c>
    </row>
    <row r="119" spans="1:12">
      <c r="A119">
        <v>2203</v>
      </c>
      <c r="B119">
        <v>47.13</v>
      </c>
      <c r="C119" s="2935" t="s">
        <v>3102</v>
      </c>
      <c r="D119">
        <v>22</v>
      </c>
      <c r="G119" s="2945">
        <v>118</v>
      </c>
      <c r="H119" s="2945">
        <v>1</v>
      </c>
      <c r="I119" s="2945">
        <v>2011</v>
      </c>
      <c r="J119" s="2945">
        <v>202.02</v>
      </c>
      <c r="K119" s="2945">
        <v>20</v>
      </c>
      <c r="L119" s="2945" t="s">
        <v>3102</v>
      </c>
    </row>
    <row r="120" spans="1:12">
      <c r="A120">
        <v>2208</v>
      </c>
      <c r="B120">
        <v>47.13</v>
      </c>
      <c r="C120" s="2935" t="s">
        <v>3102</v>
      </c>
      <c r="D120">
        <v>22</v>
      </c>
      <c r="G120" s="2945">
        <v>119</v>
      </c>
      <c r="H120" s="2945">
        <v>1</v>
      </c>
      <c r="I120" s="2945">
        <v>2012</v>
      </c>
      <c r="J120" s="2945">
        <v>245.04</v>
      </c>
      <c r="K120" s="2945">
        <v>20</v>
      </c>
      <c r="L120" s="2945" t="s">
        <v>3102</v>
      </c>
    </row>
    <row r="121" spans="1:12">
      <c r="A121">
        <v>2211</v>
      </c>
      <c r="B121">
        <v>202.02</v>
      </c>
      <c r="C121" s="2935" t="s">
        <v>3102</v>
      </c>
      <c r="D121">
        <v>22</v>
      </c>
      <c r="G121" s="2945">
        <v>120</v>
      </c>
      <c r="H121" s="2945">
        <v>1</v>
      </c>
      <c r="I121" s="2945">
        <v>2013</v>
      </c>
      <c r="J121" s="2945">
        <v>245.34</v>
      </c>
      <c r="K121" s="2945">
        <v>20</v>
      </c>
      <c r="L121" s="2945" t="s">
        <v>3102</v>
      </c>
    </row>
    <row r="122" spans="1:12">
      <c r="A122">
        <v>2212</v>
      </c>
      <c r="B122">
        <v>245.04</v>
      </c>
      <c r="C122" s="2935" t="s">
        <v>3102</v>
      </c>
      <c r="D122">
        <v>22</v>
      </c>
      <c r="G122" s="2945">
        <v>121</v>
      </c>
      <c r="H122" s="2945">
        <v>1</v>
      </c>
      <c r="I122" s="2945">
        <v>2014</v>
      </c>
      <c r="J122" s="2945">
        <v>200.96</v>
      </c>
      <c r="K122" s="2945">
        <v>20</v>
      </c>
      <c r="L122" s="2945" t="s">
        <v>3102</v>
      </c>
    </row>
    <row r="123" spans="1:12">
      <c r="A123">
        <v>2213</v>
      </c>
      <c r="B123">
        <v>245.34</v>
      </c>
      <c r="C123" s="2935" t="s">
        <v>3102</v>
      </c>
      <c r="D123">
        <v>22</v>
      </c>
      <c r="G123" s="2945">
        <v>122</v>
      </c>
      <c r="H123" s="2945">
        <v>1</v>
      </c>
      <c r="I123" s="2945">
        <v>2103</v>
      </c>
      <c r="J123" s="2945">
        <v>47.13</v>
      </c>
      <c r="K123" s="2945">
        <v>21</v>
      </c>
      <c r="L123" s="2945" t="s">
        <v>3102</v>
      </c>
    </row>
    <row r="124" spans="1:12">
      <c r="A124">
        <v>2214</v>
      </c>
      <c r="B124">
        <v>200.96</v>
      </c>
      <c r="C124" s="2935" t="s">
        <v>3102</v>
      </c>
      <c r="D124">
        <v>22</v>
      </c>
      <c r="G124" s="2945">
        <v>123</v>
      </c>
      <c r="H124" s="2945">
        <v>1</v>
      </c>
      <c r="I124" s="2945">
        <v>2108</v>
      </c>
      <c r="J124" s="2945">
        <v>47.13</v>
      </c>
      <c r="K124" s="2945">
        <v>21</v>
      </c>
      <c r="L124" s="2945" t="s">
        <v>3102</v>
      </c>
    </row>
    <row r="125" spans="1:12">
      <c r="A125">
        <v>2303</v>
      </c>
      <c r="B125">
        <v>45.77</v>
      </c>
      <c r="C125" s="2935" t="s">
        <v>3102</v>
      </c>
      <c r="D125">
        <v>23</v>
      </c>
      <c r="G125" s="2945">
        <v>124</v>
      </c>
      <c r="H125" s="2945">
        <v>1</v>
      </c>
      <c r="I125" s="2945">
        <v>2111</v>
      </c>
      <c r="J125" s="2945">
        <v>202.02</v>
      </c>
      <c r="K125" s="2945">
        <v>21</v>
      </c>
      <c r="L125" s="2945" t="s">
        <v>3102</v>
      </c>
    </row>
    <row r="126" spans="1:12">
      <c r="A126">
        <v>2308</v>
      </c>
      <c r="B126">
        <v>45.77</v>
      </c>
      <c r="C126" s="2935" t="s">
        <v>3102</v>
      </c>
      <c r="D126">
        <v>23</v>
      </c>
      <c r="G126" s="2945">
        <v>125</v>
      </c>
      <c r="H126" s="2945">
        <v>1</v>
      </c>
      <c r="I126" s="2945">
        <v>2112</v>
      </c>
      <c r="J126" s="2945">
        <v>245.04</v>
      </c>
      <c r="K126" s="2945">
        <v>21</v>
      </c>
      <c r="L126" s="2945" t="s">
        <v>3102</v>
      </c>
    </row>
    <row r="127" spans="1:12">
      <c r="A127">
        <v>2311</v>
      </c>
      <c r="B127">
        <v>197.36</v>
      </c>
      <c r="C127" s="2935" t="s">
        <v>3102</v>
      </c>
      <c r="D127">
        <v>23</v>
      </c>
      <c r="G127" s="2945">
        <v>126</v>
      </c>
      <c r="H127" s="2945">
        <v>1</v>
      </c>
      <c r="I127" s="2945">
        <v>2113</v>
      </c>
      <c r="J127" s="2945">
        <v>245.34</v>
      </c>
      <c r="K127" s="2945">
        <v>21</v>
      </c>
      <c r="L127" s="2945" t="s">
        <v>3102</v>
      </c>
    </row>
    <row r="128" spans="1:12">
      <c r="A128">
        <v>2312</v>
      </c>
      <c r="B128">
        <v>241.17</v>
      </c>
      <c r="C128" s="2935" t="s">
        <v>3102</v>
      </c>
      <c r="D128">
        <v>23</v>
      </c>
      <c r="G128" s="2945">
        <v>127</v>
      </c>
      <c r="H128" s="2945">
        <v>1</v>
      </c>
      <c r="I128" s="2945">
        <v>2114</v>
      </c>
      <c r="J128" s="2945">
        <v>200.96</v>
      </c>
      <c r="K128" s="2945">
        <v>21</v>
      </c>
      <c r="L128" s="2945" t="s">
        <v>3102</v>
      </c>
    </row>
    <row r="129" spans="1:12">
      <c r="A129">
        <v>2313</v>
      </c>
      <c r="B129">
        <v>241.48</v>
      </c>
      <c r="C129" s="2935" t="s">
        <v>3102</v>
      </c>
      <c r="D129">
        <v>23</v>
      </c>
      <c r="G129" s="2945">
        <v>128</v>
      </c>
      <c r="H129" s="2945">
        <v>1</v>
      </c>
      <c r="I129" s="2945">
        <v>2203</v>
      </c>
      <c r="J129" s="2945">
        <v>47.13</v>
      </c>
      <c r="K129" s="2945">
        <v>22</v>
      </c>
      <c r="L129" s="2945" t="s">
        <v>3102</v>
      </c>
    </row>
    <row r="130" spans="1:12">
      <c r="A130">
        <v>2314</v>
      </c>
      <c r="B130">
        <v>196.29</v>
      </c>
      <c r="C130" s="2935" t="s">
        <v>3102</v>
      </c>
      <c r="D130">
        <v>23</v>
      </c>
      <c r="G130" s="2945">
        <v>129</v>
      </c>
      <c r="H130" s="2945">
        <v>1</v>
      </c>
      <c r="I130" s="2945">
        <v>2208</v>
      </c>
      <c r="J130" s="2945">
        <v>47.13</v>
      </c>
      <c r="K130" s="2945">
        <v>22</v>
      </c>
      <c r="L130" s="2945" t="s">
        <v>3102</v>
      </c>
    </row>
    <row r="131" spans="1:12">
      <c r="A131">
        <v>2403</v>
      </c>
      <c r="B131">
        <v>45.77</v>
      </c>
      <c r="C131" s="2935" t="s">
        <v>3102</v>
      </c>
      <c r="D131">
        <v>24</v>
      </c>
      <c r="G131" s="2945">
        <v>130</v>
      </c>
      <c r="H131" s="2945">
        <v>1</v>
      </c>
      <c r="I131" s="2945">
        <v>2211</v>
      </c>
      <c r="J131" s="2945">
        <v>202.02</v>
      </c>
      <c r="K131" s="2945">
        <v>22</v>
      </c>
      <c r="L131" s="2945" t="s">
        <v>3102</v>
      </c>
    </row>
    <row r="132" spans="1:12">
      <c r="A132">
        <v>2408</v>
      </c>
      <c r="B132">
        <v>45.77</v>
      </c>
      <c r="C132" s="2935" t="s">
        <v>3102</v>
      </c>
      <c r="D132">
        <v>24</v>
      </c>
      <c r="G132" s="2945">
        <v>131</v>
      </c>
      <c r="H132" s="2945">
        <v>1</v>
      </c>
      <c r="I132" s="2945">
        <v>2212</v>
      </c>
      <c r="J132" s="2945">
        <v>245.04</v>
      </c>
      <c r="K132" s="2945">
        <v>22</v>
      </c>
      <c r="L132" s="2945" t="s">
        <v>3102</v>
      </c>
    </row>
    <row r="133" spans="1:12">
      <c r="A133">
        <v>2411</v>
      </c>
      <c r="B133">
        <v>197.36</v>
      </c>
      <c r="C133" s="2935" t="s">
        <v>3102</v>
      </c>
      <c r="D133">
        <v>24</v>
      </c>
      <c r="G133" s="2945">
        <v>132</v>
      </c>
      <c r="H133" s="2945">
        <v>1</v>
      </c>
      <c r="I133" s="2945">
        <v>2213</v>
      </c>
      <c r="J133" s="2945">
        <v>245.34</v>
      </c>
      <c r="K133" s="2945">
        <v>22</v>
      </c>
      <c r="L133" s="2945" t="s">
        <v>3102</v>
      </c>
    </row>
    <row r="134" spans="1:12">
      <c r="A134">
        <v>2412</v>
      </c>
      <c r="B134">
        <v>241.17</v>
      </c>
      <c r="C134" s="2935" t="s">
        <v>3102</v>
      </c>
      <c r="D134">
        <v>24</v>
      </c>
      <c r="G134" s="2945">
        <v>133</v>
      </c>
      <c r="H134" s="2945">
        <v>1</v>
      </c>
      <c r="I134" s="2945">
        <v>2214</v>
      </c>
      <c r="J134" s="2945">
        <v>200.96</v>
      </c>
      <c r="K134" s="2945">
        <v>22</v>
      </c>
      <c r="L134" s="2945" t="s">
        <v>3102</v>
      </c>
    </row>
    <row r="135" spans="1:12">
      <c r="A135">
        <v>2413</v>
      </c>
      <c r="B135">
        <v>241.48</v>
      </c>
      <c r="C135" s="2935" t="s">
        <v>3102</v>
      </c>
      <c r="D135">
        <v>24</v>
      </c>
      <c r="G135" s="2945">
        <v>134</v>
      </c>
      <c r="H135" s="2945">
        <v>1</v>
      </c>
      <c r="I135" s="2945">
        <v>2303</v>
      </c>
      <c r="J135" s="2945">
        <v>45.77</v>
      </c>
      <c r="K135" s="2945">
        <v>23</v>
      </c>
      <c r="L135" s="2945" t="s">
        <v>3102</v>
      </c>
    </row>
    <row r="136" spans="1:12">
      <c r="A136">
        <v>2414</v>
      </c>
      <c r="B136">
        <v>196.29</v>
      </c>
      <c r="C136" s="2935" t="s">
        <v>3102</v>
      </c>
      <c r="D136">
        <v>24</v>
      </c>
      <c r="G136" s="2945">
        <v>135</v>
      </c>
      <c r="H136" s="2945">
        <v>1</v>
      </c>
      <c r="I136" s="2945">
        <v>2308</v>
      </c>
      <c r="J136" s="2945">
        <v>45.77</v>
      </c>
      <c r="K136" s="2945">
        <v>23</v>
      </c>
      <c r="L136" s="2945" t="s">
        <v>3102</v>
      </c>
    </row>
    <row r="137" spans="1:12">
      <c r="A137">
        <v>2503</v>
      </c>
      <c r="B137">
        <v>45.77</v>
      </c>
      <c r="C137" s="2935" t="s">
        <v>3102</v>
      </c>
      <c r="D137">
        <v>25</v>
      </c>
      <c r="G137" s="2945">
        <v>136</v>
      </c>
      <c r="H137" s="2945">
        <v>1</v>
      </c>
      <c r="I137" s="2945">
        <v>2311</v>
      </c>
      <c r="J137" s="2945">
        <v>197.36</v>
      </c>
      <c r="K137" s="2945">
        <v>23</v>
      </c>
      <c r="L137" s="2945" t="s">
        <v>3102</v>
      </c>
    </row>
    <row r="138" spans="1:12">
      <c r="A138">
        <v>2508</v>
      </c>
      <c r="B138">
        <v>45.77</v>
      </c>
      <c r="C138" s="2935" t="s">
        <v>3102</v>
      </c>
      <c r="D138">
        <v>25</v>
      </c>
      <c r="G138" s="2945">
        <v>137</v>
      </c>
      <c r="H138" s="2945">
        <v>1</v>
      </c>
      <c r="I138" s="2945">
        <v>2312</v>
      </c>
      <c r="J138" s="2945">
        <v>241.17</v>
      </c>
      <c r="K138" s="2945">
        <v>23</v>
      </c>
      <c r="L138" s="2945" t="s">
        <v>3102</v>
      </c>
    </row>
    <row r="139" spans="1:12">
      <c r="A139">
        <v>2511</v>
      </c>
      <c r="B139">
        <v>197.36</v>
      </c>
      <c r="C139" s="2935" t="s">
        <v>3102</v>
      </c>
      <c r="D139">
        <v>25</v>
      </c>
      <c r="G139" s="2945">
        <v>138</v>
      </c>
      <c r="H139" s="2945">
        <v>1</v>
      </c>
      <c r="I139" s="2945">
        <v>2313</v>
      </c>
      <c r="J139" s="2945">
        <v>241.48</v>
      </c>
      <c r="K139" s="2945">
        <v>23</v>
      </c>
      <c r="L139" s="2945" t="s">
        <v>3102</v>
      </c>
    </row>
    <row r="140" spans="1:12">
      <c r="A140">
        <v>2512</v>
      </c>
      <c r="B140">
        <v>241.17</v>
      </c>
      <c r="C140" s="2935" t="s">
        <v>3102</v>
      </c>
      <c r="D140">
        <v>25</v>
      </c>
      <c r="G140" s="2945">
        <v>139</v>
      </c>
      <c r="H140" s="2945">
        <v>1</v>
      </c>
      <c r="I140" s="2945">
        <v>2314</v>
      </c>
      <c r="J140" s="2945">
        <v>196.29</v>
      </c>
      <c r="K140" s="2945">
        <v>23</v>
      </c>
      <c r="L140" s="2945" t="s">
        <v>3102</v>
      </c>
    </row>
    <row r="141" spans="1:12">
      <c r="A141">
        <v>2513</v>
      </c>
      <c r="B141">
        <v>241.48</v>
      </c>
      <c r="C141" s="2935" t="s">
        <v>3102</v>
      </c>
      <c r="D141">
        <v>25</v>
      </c>
      <c r="G141" s="2945">
        <v>140</v>
      </c>
      <c r="H141" s="2945">
        <v>1</v>
      </c>
      <c r="I141" s="2945">
        <v>2403</v>
      </c>
      <c r="J141" s="2945">
        <v>45.77</v>
      </c>
      <c r="K141" s="2945">
        <v>24</v>
      </c>
      <c r="L141" s="2945" t="s">
        <v>3102</v>
      </c>
    </row>
    <row r="142" spans="1:12">
      <c r="A142">
        <v>2514</v>
      </c>
      <c r="B142">
        <v>196.29</v>
      </c>
      <c r="C142" s="2935" t="s">
        <v>3102</v>
      </c>
      <c r="D142">
        <v>25</v>
      </c>
      <c r="G142" s="2945">
        <v>141</v>
      </c>
      <c r="H142" s="2945">
        <v>1</v>
      </c>
      <c r="I142" s="2945">
        <v>2408</v>
      </c>
      <c r="J142" s="2945">
        <v>45.77</v>
      </c>
      <c r="K142" s="2945">
        <v>24</v>
      </c>
      <c r="L142" s="2945" t="s">
        <v>3102</v>
      </c>
    </row>
    <row r="143" spans="1:12">
      <c r="A143">
        <v>2609</v>
      </c>
      <c r="B143">
        <v>198.42</v>
      </c>
      <c r="C143" s="2935" t="s">
        <v>3102</v>
      </c>
      <c r="D143">
        <v>26</v>
      </c>
      <c r="G143" s="2945">
        <v>142</v>
      </c>
      <c r="H143" s="2945">
        <v>1</v>
      </c>
      <c r="I143" s="2945">
        <v>2411</v>
      </c>
      <c r="J143" s="2945">
        <v>197.36</v>
      </c>
      <c r="K143" s="2945">
        <v>24</v>
      </c>
      <c r="L143" s="2945" t="s">
        <v>3102</v>
      </c>
    </row>
    <row r="144" spans="1:12">
      <c r="A144">
        <v>2610</v>
      </c>
      <c r="B144">
        <v>267.61</v>
      </c>
      <c r="C144" s="2935" t="s">
        <v>3102</v>
      </c>
      <c r="D144">
        <v>26</v>
      </c>
      <c r="G144" s="2945">
        <v>143</v>
      </c>
      <c r="H144" s="2945">
        <v>1</v>
      </c>
      <c r="I144" s="2945">
        <v>2412</v>
      </c>
      <c r="J144" s="2945">
        <v>241.17</v>
      </c>
      <c r="K144" s="2945">
        <v>24</v>
      </c>
      <c r="L144" s="2945" t="s">
        <v>3102</v>
      </c>
    </row>
    <row r="145" spans="1:12">
      <c r="A145">
        <v>2611</v>
      </c>
      <c r="B145">
        <v>267.92</v>
      </c>
      <c r="C145" s="2935" t="s">
        <v>3102</v>
      </c>
      <c r="D145">
        <v>26</v>
      </c>
      <c r="G145" s="2945">
        <v>144</v>
      </c>
      <c r="H145" s="2945">
        <v>1</v>
      </c>
      <c r="I145" s="2945">
        <v>2413</v>
      </c>
      <c r="J145" s="2945">
        <v>241.48</v>
      </c>
      <c r="K145" s="2945">
        <v>24</v>
      </c>
      <c r="L145" s="2945" t="s">
        <v>3102</v>
      </c>
    </row>
    <row r="146" spans="1:12">
      <c r="A146">
        <v>2612</v>
      </c>
      <c r="B146">
        <v>197.35</v>
      </c>
      <c r="C146" s="2935" t="s">
        <v>3102</v>
      </c>
      <c r="D146">
        <v>26</v>
      </c>
      <c r="G146" s="2945">
        <v>145</v>
      </c>
      <c r="H146" s="2945">
        <v>1</v>
      </c>
      <c r="I146" s="2945">
        <v>2414</v>
      </c>
      <c r="J146" s="2945">
        <v>196.29</v>
      </c>
      <c r="K146" s="2945">
        <v>24</v>
      </c>
      <c r="L146" s="2945" t="s">
        <v>3102</v>
      </c>
    </row>
    <row r="147" spans="1:12">
      <c r="A147">
        <v>2703</v>
      </c>
      <c r="B147">
        <v>117.93</v>
      </c>
      <c r="C147" s="2935" t="s">
        <v>3102</v>
      </c>
      <c r="D147">
        <v>27</v>
      </c>
      <c r="G147" s="2945">
        <v>146</v>
      </c>
      <c r="H147" s="2945">
        <v>1</v>
      </c>
      <c r="I147" s="2945">
        <v>2503</v>
      </c>
      <c r="J147" s="2945">
        <v>45.77</v>
      </c>
      <c r="K147" s="2945">
        <v>25</v>
      </c>
      <c r="L147" s="2945" t="s">
        <v>3102</v>
      </c>
    </row>
    <row r="148" spans="1:12">
      <c r="A148">
        <v>2704</v>
      </c>
      <c r="B148">
        <v>118.24</v>
      </c>
      <c r="C148" s="2935" t="s">
        <v>3102</v>
      </c>
      <c r="D148">
        <v>27</v>
      </c>
      <c r="G148" s="2945">
        <v>147</v>
      </c>
      <c r="H148" s="2945">
        <v>1</v>
      </c>
      <c r="I148" s="2945">
        <v>2508</v>
      </c>
      <c r="J148" s="2945">
        <v>45.77</v>
      </c>
      <c r="K148" s="2945">
        <v>25</v>
      </c>
      <c r="L148" s="2945" t="s">
        <v>3102</v>
      </c>
    </row>
    <row r="149" spans="1:12">
      <c r="A149">
        <v>2707</v>
      </c>
      <c r="B149">
        <v>195.24</v>
      </c>
      <c r="C149" s="2935" t="s">
        <v>3102</v>
      </c>
      <c r="D149">
        <v>27</v>
      </c>
      <c r="G149" s="2945">
        <v>148</v>
      </c>
      <c r="H149" s="2945">
        <v>1</v>
      </c>
      <c r="I149" s="2945">
        <v>2511</v>
      </c>
      <c r="J149" s="2945">
        <v>197.36</v>
      </c>
      <c r="K149" s="2945">
        <v>25</v>
      </c>
      <c r="L149" s="2945" t="s">
        <v>3102</v>
      </c>
    </row>
    <row r="150" spans="1:12">
      <c r="A150">
        <v>2708</v>
      </c>
      <c r="B150">
        <v>194.7</v>
      </c>
      <c r="C150" s="2935" t="s">
        <v>3102</v>
      </c>
      <c r="D150">
        <v>27</v>
      </c>
      <c r="G150" s="2945">
        <v>149</v>
      </c>
      <c r="H150" s="2945">
        <v>1</v>
      </c>
      <c r="I150" s="2945">
        <v>2512</v>
      </c>
      <c r="J150" s="2945">
        <v>241.17</v>
      </c>
      <c r="K150" s="2945">
        <v>25</v>
      </c>
      <c r="L150" s="2945" t="s">
        <v>3102</v>
      </c>
    </row>
    <row r="151" spans="1:12">
      <c r="A151">
        <v>2803</v>
      </c>
      <c r="B151">
        <v>117.93</v>
      </c>
      <c r="C151" s="2935" t="s">
        <v>3102</v>
      </c>
      <c r="D151">
        <v>28</v>
      </c>
      <c r="G151" s="2945">
        <v>150</v>
      </c>
      <c r="H151" s="2945">
        <v>1</v>
      </c>
      <c r="I151" s="2945">
        <v>2513</v>
      </c>
      <c r="J151" s="2945">
        <v>241.48</v>
      </c>
      <c r="K151" s="2945">
        <v>25</v>
      </c>
      <c r="L151" s="2945" t="s">
        <v>3102</v>
      </c>
    </row>
    <row r="152" spans="1:12">
      <c r="A152">
        <v>2804</v>
      </c>
      <c r="B152">
        <v>118.24</v>
      </c>
      <c r="C152" s="2935" t="s">
        <v>3102</v>
      </c>
      <c r="D152">
        <v>28</v>
      </c>
      <c r="G152" s="2945">
        <v>151</v>
      </c>
      <c r="H152" s="2945">
        <v>1</v>
      </c>
      <c r="I152" s="2945">
        <v>2514</v>
      </c>
      <c r="J152" s="2945">
        <v>196.29</v>
      </c>
      <c r="K152" s="2945">
        <v>25</v>
      </c>
      <c r="L152" s="2945" t="s">
        <v>3102</v>
      </c>
    </row>
    <row r="153" spans="1:12">
      <c r="A153">
        <v>2807</v>
      </c>
      <c r="B153">
        <v>195.24</v>
      </c>
      <c r="C153" s="2935" t="s">
        <v>3102</v>
      </c>
      <c r="D153">
        <v>28</v>
      </c>
      <c r="G153" s="2945">
        <v>152</v>
      </c>
      <c r="H153" s="2945">
        <v>1</v>
      </c>
      <c r="I153" s="2945">
        <v>2609</v>
      </c>
      <c r="J153" s="2945">
        <v>198.42</v>
      </c>
      <c r="K153" s="2945">
        <v>26</v>
      </c>
      <c r="L153" s="2945" t="s">
        <v>3102</v>
      </c>
    </row>
    <row r="154" spans="1:12">
      <c r="A154">
        <v>2808</v>
      </c>
      <c r="B154">
        <v>194.7</v>
      </c>
      <c r="C154" s="2935" t="s">
        <v>3102</v>
      </c>
      <c r="D154">
        <v>28</v>
      </c>
      <c r="G154" s="2945">
        <v>153</v>
      </c>
      <c r="H154" s="2945">
        <v>1</v>
      </c>
      <c r="I154" s="2945">
        <v>2610</v>
      </c>
      <c r="J154" s="2945">
        <v>267.61</v>
      </c>
      <c r="K154" s="2945">
        <v>26</v>
      </c>
      <c r="L154" s="2945" t="s">
        <v>3102</v>
      </c>
    </row>
    <row r="155" spans="1:12">
      <c r="A155">
        <v>508</v>
      </c>
      <c r="B155" s="2937">
        <v>59.37</v>
      </c>
      <c r="C155" s="2935" t="s">
        <v>3107</v>
      </c>
      <c r="D155">
        <v>5</v>
      </c>
      <c r="G155" s="2945">
        <v>154</v>
      </c>
      <c r="H155" s="2945">
        <v>1</v>
      </c>
      <c r="I155" s="2945">
        <v>2611</v>
      </c>
      <c r="J155" s="2945">
        <v>267.92</v>
      </c>
      <c r="K155" s="2945">
        <v>26</v>
      </c>
      <c r="L155" s="2945" t="s">
        <v>3102</v>
      </c>
    </row>
    <row r="156" spans="1:12">
      <c r="A156">
        <v>510</v>
      </c>
      <c r="B156" s="2937">
        <v>94.03</v>
      </c>
      <c r="C156" s="2935" t="s">
        <v>3107</v>
      </c>
      <c r="D156">
        <v>5</v>
      </c>
      <c r="G156" s="2945">
        <v>155</v>
      </c>
      <c r="H156" s="2945">
        <v>1</v>
      </c>
      <c r="I156" s="2945">
        <v>2612</v>
      </c>
      <c r="J156" s="2945">
        <v>197.35</v>
      </c>
      <c r="K156" s="2945">
        <v>26</v>
      </c>
      <c r="L156" s="2945" t="s">
        <v>3102</v>
      </c>
    </row>
    <row r="157" spans="1:12">
      <c r="A157" t="s">
        <v>3104</v>
      </c>
      <c r="B157">
        <v>18.82</v>
      </c>
      <c r="G157" s="2945">
        <v>156</v>
      </c>
      <c r="H157" s="2945">
        <v>1</v>
      </c>
      <c r="I157" s="2945">
        <v>2703</v>
      </c>
      <c r="J157" s="2945">
        <v>117.93</v>
      </c>
      <c r="K157" s="2945">
        <v>27</v>
      </c>
      <c r="L157" s="2945" t="s">
        <v>3102</v>
      </c>
    </row>
    <row r="158" spans="1:12">
      <c r="A158" t="s">
        <v>3105</v>
      </c>
      <c r="B158">
        <v>43.47</v>
      </c>
      <c r="G158" s="2945">
        <v>157</v>
      </c>
      <c r="H158" s="2945">
        <v>1</v>
      </c>
      <c r="I158" s="2945">
        <v>2704</v>
      </c>
      <c r="J158" s="2945">
        <v>118.24</v>
      </c>
      <c r="K158" s="2945">
        <v>27</v>
      </c>
      <c r="L158" s="2945" t="s">
        <v>3102</v>
      </c>
    </row>
    <row r="159" spans="1:12">
      <c r="A159" t="s">
        <v>3106</v>
      </c>
      <c r="B159">
        <v>6</v>
      </c>
      <c r="G159" s="2945">
        <v>158</v>
      </c>
      <c r="H159" s="2945">
        <v>1</v>
      </c>
      <c r="I159" s="2945">
        <v>2707</v>
      </c>
      <c r="J159" s="2945">
        <v>195.24</v>
      </c>
      <c r="K159" s="2945">
        <v>27</v>
      </c>
      <c r="L159" s="2945" t="s">
        <v>3102</v>
      </c>
    </row>
    <row r="160" spans="1:12">
      <c r="A160">
        <v>-102</v>
      </c>
      <c r="B160">
        <v>76.47</v>
      </c>
      <c r="G160" s="2945">
        <v>159</v>
      </c>
      <c r="H160" s="2945">
        <v>1</v>
      </c>
      <c r="I160" s="2945">
        <v>2708</v>
      </c>
      <c r="J160" s="2945">
        <v>194.7</v>
      </c>
      <c r="K160" s="2945">
        <v>27</v>
      </c>
      <c r="L160" s="2945" t="s">
        <v>3102</v>
      </c>
    </row>
    <row r="161" spans="1:12">
      <c r="A161">
        <v>-103</v>
      </c>
      <c r="B161">
        <v>332.94</v>
      </c>
      <c r="G161" s="2945">
        <v>160</v>
      </c>
      <c r="H161" s="2945">
        <v>1</v>
      </c>
      <c r="I161" s="2945">
        <v>2803</v>
      </c>
      <c r="J161" s="2945">
        <v>117.93</v>
      </c>
      <c r="K161" s="2945">
        <v>28</v>
      </c>
      <c r="L161" s="2945" t="s">
        <v>3102</v>
      </c>
    </row>
    <row r="162" spans="1:12">
      <c r="A162">
        <v>-101</v>
      </c>
      <c r="B162">
        <v>2465.91</v>
      </c>
      <c r="G162" s="2945">
        <v>161</v>
      </c>
      <c r="H162" s="2945">
        <v>1</v>
      </c>
      <c r="I162" s="2945">
        <v>2804</v>
      </c>
      <c r="J162" s="2945">
        <v>118.24</v>
      </c>
      <c r="K162" s="2945">
        <v>28</v>
      </c>
      <c r="L162" s="2945" t="s">
        <v>3102</v>
      </c>
    </row>
    <row r="163" spans="1:12">
      <c r="A163" s="2935" t="s">
        <v>3108</v>
      </c>
      <c r="B163">
        <v>95.42</v>
      </c>
      <c r="G163" s="2945">
        <v>162</v>
      </c>
      <c r="H163" s="2945">
        <v>1</v>
      </c>
      <c r="I163" s="2945">
        <v>2807</v>
      </c>
      <c r="J163" s="2945">
        <v>195.24</v>
      </c>
      <c r="K163" s="2945">
        <v>28</v>
      </c>
      <c r="L163" s="2945" t="s">
        <v>3102</v>
      </c>
    </row>
    <row r="164" spans="1:12">
      <c r="G164" s="2945">
        <v>163</v>
      </c>
      <c r="H164" s="2945">
        <v>1</v>
      </c>
      <c r="I164" s="2945">
        <v>2808</v>
      </c>
      <c r="J164" s="2945">
        <v>194.7</v>
      </c>
      <c r="K164" s="2945">
        <v>28</v>
      </c>
      <c r="L164" s="2945" t="s">
        <v>3102</v>
      </c>
    </row>
    <row r="165" spans="1:12">
      <c r="A165" s="2935" t="s">
        <v>3109</v>
      </c>
      <c r="B165">
        <f>B2</f>
        <v>475.83</v>
      </c>
      <c r="G165" s="2945" t="s">
        <v>3190</v>
      </c>
      <c r="H165" s="2945"/>
      <c r="I165" s="2945"/>
      <c r="J165" s="2945">
        <f>B167</f>
        <v>25747.52</v>
      </c>
      <c r="K165" s="2945"/>
      <c r="L165" s="2945"/>
    </row>
    <row r="166" spans="1:12">
      <c r="A166" s="2935" t="s">
        <v>3110</v>
      </c>
      <c r="B166">
        <f>B1</f>
        <v>1753.73</v>
      </c>
      <c r="G166" s="2945" t="s">
        <v>3191</v>
      </c>
      <c r="H166" s="2945"/>
      <c r="I166" s="2945"/>
      <c r="J166" s="2945">
        <f>B165+B166</f>
        <v>2229.56</v>
      </c>
      <c r="K166" s="2945"/>
      <c r="L166" s="2945"/>
    </row>
    <row r="167" spans="1:12">
      <c r="A167" s="2935" t="s">
        <v>3102</v>
      </c>
      <c r="B167">
        <f>SUM(B3:B154)</f>
        <v>25747.52</v>
      </c>
      <c r="G167" s="2945" t="s">
        <v>3192</v>
      </c>
      <c r="H167" s="2945"/>
      <c r="I167" s="2945"/>
      <c r="J167" s="2945">
        <f>B163+B168+B169</f>
        <v>726.52</v>
      </c>
      <c r="K167" s="2945"/>
      <c r="L167" s="2945"/>
    </row>
    <row r="168" spans="1:12">
      <c r="A168" s="2935" t="s">
        <v>3111</v>
      </c>
      <c r="B168">
        <f>J30+B156</f>
        <v>153.4</v>
      </c>
      <c r="G168" s="2945" t="s">
        <v>3193</v>
      </c>
      <c r="H168" s="2945"/>
      <c r="I168" s="2945"/>
      <c r="J168" s="2948">
        <f>J165+J166+J167</f>
        <v>28703.600000000002</v>
      </c>
      <c r="K168" s="2945"/>
      <c r="L168" s="2945"/>
    </row>
    <row r="169" spans="1:12">
      <c r="A169" s="2935" t="s">
        <v>3112</v>
      </c>
      <c r="B169">
        <f>SUM(B157:B161)</f>
        <v>477.7</v>
      </c>
    </row>
    <row r="170" spans="1:12">
      <c r="A170" s="2935" t="s">
        <v>3113</v>
      </c>
      <c r="B170">
        <f>B162</f>
        <v>2465.91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3" sqref="G23"/>
    </sheetView>
  </sheetViews>
  <sheetFormatPr defaultColWidth="9.25" defaultRowHeight="14.25"/>
  <cols>
    <col min="1" max="1" width="12.125" style="2207" customWidth="1"/>
    <col min="2" max="2" width="10.25" style="2207" customWidth="1"/>
    <col min="3" max="3" width="18.5" style="2207" customWidth="1"/>
    <col min="4" max="4" width="11.625" style="2207" customWidth="1"/>
    <col min="5" max="5" width="13.375" style="2207" customWidth="1"/>
    <col min="6" max="8" width="11.5" style="2207" customWidth="1"/>
    <col min="9" max="9" width="11.125" style="2207" customWidth="1"/>
    <col min="10" max="10" width="3.125" style="2207" customWidth="1"/>
    <col min="11" max="16" width="10" style="2207" customWidth="1"/>
    <col min="17" max="17" width="2.625" style="2207" customWidth="1"/>
    <col min="18" max="18" width="9.375" style="2207" bestFit="1" customWidth="1"/>
    <col min="19" max="19" width="10.5" style="2207" bestFit="1" customWidth="1"/>
    <col min="20" max="16384" width="9.25" style="2207"/>
  </cols>
  <sheetData>
    <row r="1" spans="1:16" ht="18.75">
      <c r="A1" s="2206" t="s">
        <v>1932</v>
      </c>
      <c r="B1" s="1377"/>
      <c r="C1" s="1377"/>
      <c r="D1" s="1377"/>
      <c r="E1" s="1377"/>
      <c r="F1" s="1377"/>
      <c r="G1" s="1377"/>
      <c r="H1" s="1377"/>
      <c r="I1" s="1377"/>
      <c r="J1" s="1377"/>
      <c r="K1" s="1377"/>
      <c r="L1" s="1377"/>
      <c r="M1" s="1377"/>
      <c r="N1" s="1377"/>
      <c r="O1" s="1377"/>
      <c r="P1" s="1377"/>
    </row>
    <row r="2" spans="1:16" ht="15">
      <c r="A2" s="3048" t="s">
        <v>1933</v>
      </c>
      <c r="B2" s="3048"/>
      <c r="C2" s="3048"/>
      <c r="D2" s="960" t="s">
        <v>1909</v>
      </c>
      <c r="E2" s="2208" t="s">
        <v>1910</v>
      </c>
      <c r="F2" s="1377"/>
      <c r="G2" s="2209"/>
      <c r="H2" s="2210"/>
      <c r="I2" s="2211" t="s">
        <v>1934</v>
      </c>
      <c r="J2" s="1377"/>
      <c r="K2" s="1377"/>
      <c r="L2" s="1377"/>
      <c r="M2" s="1377"/>
      <c r="N2" s="1412"/>
      <c r="O2" s="1377"/>
      <c r="P2" s="1377"/>
    </row>
    <row r="3" spans="1:16" ht="15.75" thickBot="1">
      <c r="A3" s="3049" t="s">
        <v>1907</v>
      </c>
      <c r="B3" s="3049"/>
      <c r="C3" s="3049"/>
      <c r="D3" s="46">
        <f>'数据-基础表'!AY6</f>
        <v>2337.9</v>
      </c>
      <c r="E3" s="46">
        <f>'数据-基础表'!AZ5</f>
        <v>28703.600000000002</v>
      </c>
      <c r="F3" s="1377"/>
      <c r="G3" s="1384"/>
      <c r="H3" s="1232" t="s">
        <v>1908</v>
      </c>
      <c r="I3" s="55">
        <f>ROUND('数据-基础表'!B3/'数据-基础表'!A3,2)</f>
        <v>12.28</v>
      </c>
      <c r="J3" s="1377"/>
      <c r="K3" s="1377"/>
      <c r="L3" s="1377"/>
      <c r="M3" s="1377"/>
      <c r="N3" s="1412"/>
      <c r="O3" s="1377"/>
      <c r="P3" s="1377"/>
    </row>
    <row r="4" spans="1:16" ht="15">
      <c r="A4" s="3050"/>
      <c r="B4" s="3051"/>
      <c r="C4" s="3052"/>
      <c r="D4" s="2212" t="s">
        <v>1909</v>
      </c>
      <c r="E4" s="2213" t="s">
        <v>1910</v>
      </c>
      <c r="F4" s="1377"/>
      <c r="G4" s="2214" t="s">
        <v>1935</v>
      </c>
      <c r="H4" s="1232" t="s">
        <v>1915</v>
      </c>
      <c r="I4" s="55">
        <f>ROUND(SUMIF('数据-基础表'!I9:AS9,"地上",'数据-基础表'!I5:AS5)/'数据-基础表'!A3,2)</f>
        <v>12.07</v>
      </c>
      <c r="J4" s="1377"/>
      <c r="K4" s="1377"/>
      <c r="L4" s="1377"/>
      <c r="M4" s="1377"/>
      <c r="N4" s="1412"/>
      <c r="O4" s="1377"/>
      <c r="P4" s="1377"/>
    </row>
    <row r="5" spans="1:16">
      <c r="A5" s="47" t="s">
        <v>1911</v>
      </c>
      <c r="B5" s="3053" t="s">
        <v>1912</v>
      </c>
      <c r="C5" s="3053"/>
      <c r="D5" s="48">
        <f>ROUND($D$3*E5/$E$3,2)</f>
        <v>0</v>
      </c>
      <c r="E5" s="49">
        <f>SUMIF('数据-基础表'!$11:$11,"住宅",'数据-基础表'!$5:$5)</f>
        <v>0</v>
      </c>
      <c r="F5" s="1377"/>
      <c r="G5" s="1384"/>
      <c r="H5" s="1232" t="s">
        <v>1908</v>
      </c>
      <c r="I5" s="55">
        <f>ROUND(E31/D31,2)</f>
        <v>12.28</v>
      </c>
      <c r="J5" s="1377"/>
      <c r="K5" s="1377"/>
      <c r="L5" s="1377"/>
      <c r="M5" s="1377"/>
      <c r="N5" s="1377"/>
      <c r="O5" s="1377"/>
      <c r="P5" s="1377"/>
    </row>
    <row r="6" spans="1:16" ht="15" thickBot="1">
      <c r="A6" s="2215"/>
      <c r="B6" s="3053" t="s">
        <v>1913</v>
      </c>
      <c r="C6" s="3053"/>
      <c r="D6" s="48">
        <f>ROUND($D$3*E6/$E$3,2)</f>
        <v>2337.9</v>
      </c>
      <c r="E6" s="49">
        <f>E3-E5</f>
        <v>28703.600000000002</v>
      </c>
      <c r="F6" s="1377"/>
      <c r="G6" s="2216" t="s">
        <v>1914</v>
      </c>
      <c r="H6" s="1384" t="s">
        <v>1915</v>
      </c>
      <c r="I6" s="932">
        <f>ROUND(F31/D31,2)</f>
        <v>12.07</v>
      </c>
      <c r="J6" s="1377"/>
      <c r="K6" s="1377"/>
      <c r="L6" s="1377"/>
      <c r="M6" s="1377"/>
      <c r="N6" s="1377"/>
      <c r="O6" s="1377"/>
      <c r="P6" s="1377"/>
    </row>
    <row r="7" spans="1:16" ht="15">
      <c r="A7" s="3045"/>
      <c r="B7" s="3046"/>
      <c r="C7" s="3047"/>
      <c r="D7" s="2212" t="s">
        <v>1909</v>
      </c>
      <c r="E7" s="2217" t="s">
        <v>1916</v>
      </c>
      <c r="F7" s="1377"/>
      <c r="G7" s="2209" t="s">
        <v>1917</v>
      </c>
      <c r="H7" s="64"/>
      <c r="I7" s="418"/>
      <c r="J7" s="1377"/>
      <c r="K7" s="1377"/>
      <c r="L7" s="1377"/>
      <c r="M7" s="1377"/>
      <c r="N7" s="1377"/>
      <c r="O7" s="1377"/>
      <c r="P7" s="1377"/>
    </row>
    <row r="8" spans="1:16" ht="15" thickBot="1">
      <c r="A8" s="47" t="s">
        <v>1918</v>
      </c>
      <c r="B8" s="50" t="s">
        <v>1919</v>
      </c>
      <c r="C8" s="48" t="s">
        <v>1920</v>
      </c>
      <c r="D8" s="48">
        <f t="shared" ref="D8:D15" si="0">ROUND($D$3*E8/$E$3,2)</f>
        <v>2278.73</v>
      </c>
      <c r="E8" s="51">
        <f>SUMIF('数据-基础表'!BB10:BK10,"地上",'数据-基础表'!BB5:BK5)</f>
        <v>27977.08</v>
      </c>
      <c r="F8" s="1377"/>
      <c r="G8" s="2218"/>
      <c r="H8" s="2218"/>
      <c r="I8" s="1377"/>
      <c r="J8" s="1377"/>
      <c r="K8" s="1377"/>
      <c r="L8" s="1377"/>
      <c r="M8" s="1377"/>
      <c r="N8" s="1377"/>
      <c r="O8" s="1377"/>
      <c r="P8" s="1377"/>
    </row>
    <row r="9" spans="1:16" hidden="1">
      <c r="A9" s="2219"/>
      <c r="B9" s="2220"/>
      <c r="C9" s="48" t="s">
        <v>1921</v>
      </c>
      <c r="D9" s="48">
        <f t="shared" si="0"/>
        <v>0</v>
      </c>
      <c r="E9" s="52">
        <v>0</v>
      </c>
      <c r="F9" s="1377"/>
      <c r="G9" s="2218"/>
      <c r="H9" s="2218"/>
      <c r="I9" s="1377"/>
      <c r="J9" s="1377"/>
      <c r="K9" s="1377"/>
      <c r="L9" s="1377"/>
      <c r="M9" s="1377"/>
      <c r="N9" s="1377"/>
      <c r="O9" s="1377"/>
      <c r="P9" s="1377"/>
    </row>
    <row r="10" spans="1:16" hidden="1">
      <c r="A10" s="2219"/>
      <c r="B10" s="2220"/>
      <c r="C10" s="48" t="s">
        <v>1930</v>
      </c>
      <c r="D10" s="48">
        <f t="shared" si="0"/>
        <v>0</v>
      </c>
      <c r="E10" s="51">
        <f>SUMPRODUCT(('数据-基础表'!BB10:BK10="地下")*('数据-基础表'!BB11:BK11="商业")*('数据-基础表'!BB5:BK5))</f>
        <v>0</v>
      </c>
      <c r="F10" s="1377"/>
      <c r="G10" s="2218"/>
      <c r="H10" s="2218"/>
      <c r="I10" s="1377"/>
      <c r="J10" s="1377"/>
      <c r="K10" s="1377"/>
      <c r="L10" s="1377"/>
      <c r="M10" s="1377"/>
      <c r="N10" s="1377"/>
      <c r="O10" s="1377"/>
      <c r="P10" s="1377"/>
    </row>
    <row r="11" spans="1:16" hidden="1">
      <c r="A11" s="2219"/>
      <c r="B11" s="2220"/>
      <c r="C11" s="48" t="s">
        <v>1922</v>
      </c>
      <c r="D11" s="48">
        <f t="shared" si="0"/>
        <v>0</v>
      </c>
      <c r="E11" s="51">
        <f>SUMPRODUCT(('数据-基础表'!BB10:BK10="地下")*('数据-基础表'!BB11:BK11="办公")*('数据-基础表'!BB5:BK5))+'数据-基础表'!BP5</f>
        <v>0</v>
      </c>
      <c r="F11" s="1377"/>
      <c r="G11" s="2218"/>
      <c r="H11" s="2218"/>
      <c r="I11" s="1377"/>
      <c r="J11" s="1377"/>
      <c r="K11" s="1377"/>
      <c r="L11" s="1377"/>
      <c r="M11" s="1377"/>
      <c r="N11" s="1377"/>
      <c r="O11" s="1377"/>
      <c r="P11" s="1377"/>
    </row>
    <row r="12" spans="1:16" hidden="1">
      <c r="A12" s="2219"/>
      <c r="B12" s="2220"/>
      <c r="C12" s="48" t="s">
        <v>1923</v>
      </c>
      <c r="D12" s="48">
        <f t="shared" si="0"/>
        <v>0</v>
      </c>
      <c r="E12" s="51">
        <f>SUMPRODUCT(('数据-基础表'!BB10:BK10="地下")*('数据-基础表'!BB11:BK11="仓储")*('数据-基础表'!BB5:BK5))</f>
        <v>0</v>
      </c>
      <c r="F12" s="1377"/>
      <c r="G12" s="2218"/>
      <c r="H12" s="2218"/>
      <c r="I12" s="1377"/>
      <c r="J12" s="1377"/>
      <c r="K12" s="1377"/>
      <c r="L12" s="1377"/>
      <c r="M12" s="1377"/>
      <c r="N12" s="1377"/>
      <c r="O12" s="1377"/>
      <c r="P12" s="1377"/>
    </row>
    <row r="13" spans="1:16" hidden="1">
      <c r="A13" s="2219"/>
      <c r="B13" s="2220"/>
      <c r="C13" s="48" t="s">
        <v>1924</v>
      </c>
      <c r="D13" s="48">
        <f t="shared" si="0"/>
        <v>0</v>
      </c>
      <c r="E13" s="51">
        <f>SUMPRODUCT(('数据-基础表'!BB10:BK10="地下")*('数据-基础表'!BB11:BK11="车库")*('数据-基础表'!BB5:BK5))</f>
        <v>0</v>
      </c>
      <c r="F13" s="1377"/>
      <c r="G13" s="2218"/>
      <c r="H13" s="2218"/>
      <c r="I13" s="1377"/>
      <c r="J13" s="1377"/>
      <c r="K13" s="1377"/>
      <c r="L13" s="1377"/>
      <c r="M13" s="1377"/>
      <c r="N13" s="1377"/>
      <c r="O13" s="1377"/>
      <c r="P13" s="1377"/>
    </row>
    <row r="14" spans="1:16" hidden="1">
      <c r="A14" s="2219"/>
      <c r="B14" s="2220"/>
      <c r="C14" s="48" t="s">
        <v>1936</v>
      </c>
      <c r="D14" s="48">
        <f t="shared" si="0"/>
        <v>0</v>
      </c>
      <c r="E14" s="51">
        <f>SUMPRODUCT(('数据-基础表'!BB10:BK10="地下")*('数据-基础表'!BB11:BK11="车库—商业")*('数据-基础表'!BB5:BK5))</f>
        <v>0</v>
      </c>
      <c r="F14" s="1377"/>
      <c r="G14" s="2218"/>
      <c r="H14" s="2218"/>
      <c r="I14" s="1377"/>
      <c r="J14" s="1377"/>
      <c r="K14" s="1377"/>
      <c r="L14" s="1377"/>
      <c r="M14" s="1377"/>
      <c r="N14" s="1377"/>
      <c r="O14" s="1377"/>
      <c r="P14" s="1377"/>
    </row>
    <row r="15" spans="1:16" ht="15" hidden="1" thickBot="1">
      <c r="A15" s="2219"/>
      <c r="B15" s="2220"/>
      <c r="C15" s="48" t="s">
        <v>1931</v>
      </c>
      <c r="D15" s="48">
        <f t="shared" si="0"/>
        <v>0</v>
      </c>
      <c r="E15" s="51">
        <f>SUMPRODUCT(('数据-基础表'!BB10:BK10="地下")*('数据-基础表'!BB11:BK11="车库—办公")*('数据-基础表'!BB5:BK5))</f>
        <v>0</v>
      </c>
      <c r="F15" s="1377"/>
      <c r="G15" s="2218"/>
      <c r="H15" s="2218"/>
      <c r="I15" s="1377"/>
      <c r="J15" s="1377"/>
      <c r="K15" s="1377"/>
      <c r="L15" s="1377"/>
      <c r="M15" s="1377"/>
      <c r="N15" s="1377"/>
      <c r="O15" s="1377"/>
      <c r="P15" s="1377"/>
    </row>
    <row r="16" spans="1:16" ht="15.75" thickBot="1">
      <c r="A16" s="2215"/>
      <c r="B16" s="2220"/>
      <c r="C16" s="50" t="s">
        <v>1925</v>
      </c>
      <c r="D16" s="50">
        <f>SUM(D8:D15)</f>
        <v>2278.73</v>
      </c>
      <c r="E16" s="53">
        <f>SUM(E8:E15)</f>
        <v>27977.08</v>
      </c>
      <c r="F16" s="1377"/>
      <c r="G16" s="2218"/>
      <c r="H16" s="2221" t="s">
        <v>1937</v>
      </c>
      <c r="I16" s="2222"/>
      <c r="J16" s="1377"/>
      <c r="K16" s="3042" t="s">
        <v>1937</v>
      </c>
      <c r="L16" s="3043"/>
      <c r="M16" s="3043"/>
      <c r="N16" s="3043"/>
      <c r="O16" s="3043"/>
      <c r="P16" s="3044"/>
    </row>
    <row r="17" spans="1:19" ht="15">
      <c r="A17" s="2223" t="s">
        <v>1938</v>
      </c>
      <c r="B17" s="2224" t="s">
        <v>1939</v>
      </c>
      <c r="C17" s="2225" t="s">
        <v>1940</v>
      </c>
      <c r="D17" s="2226" t="s">
        <v>1928</v>
      </c>
      <c r="E17" s="2227" t="s">
        <v>1929</v>
      </c>
      <c r="F17" s="2228"/>
      <c r="G17" s="2229"/>
      <c r="H17" s="2230" t="s">
        <v>1941</v>
      </c>
      <c r="I17" s="2231" t="s">
        <v>1926</v>
      </c>
      <c r="J17" s="1377"/>
      <c r="K17" s="3039" t="s">
        <v>1942</v>
      </c>
      <c r="L17" s="3040"/>
      <c r="M17" s="3041"/>
      <c r="N17" s="3039" t="s">
        <v>1943</v>
      </c>
      <c r="O17" s="3040"/>
      <c r="P17" s="3041"/>
      <c r="R17" s="2209" t="s">
        <v>1944</v>
      </c>
      <c r="S17" s="64"/>
    </row>
    <row r="18" spans="1:19" ht="15">
      <c r="A18" s="2219"/>
      <c r="B18" s="2232"/>
      <c r="C18" s="2233"/>
      <c r="D18" s="2234"/>
      <c r="E18" s="2235" t="s">
        <v>1945</v>
      </c>
      <c r="F18" s="2236" t="s">
        <v>1946</v>
      </c>
      <c r="G18" s="2237" t="s">
        <v>1947</v>
      </c>
      <c r="H18" s="1247" t="s">
        <v>1948</v>
      </c>
      <c r="I18" s="2238" t="s">
        <v>1949</v>
      </c>
      <c r="J18" s="1377"/>
      <c r="K18" s="1247" t="s">
        <v>1950</v>
      </c>
      <c r="L18" s="2239" t="s">
        <v>1951</v>
      </c>
      <c r="M18" s="1039" t="s">
        <v>1952</v>
      </c>
      <c r="N18" s="1247" t="s">
        <v>1950</v>
      </c>
      <c r="O18" s="2239" t="s">
        <v>1951</v>
      </c>
      <c r="P18" s="1039" t="s">
        <v>1952</v>
      </c>
      <c r="R18" s="1232" t="s">
        <v>1953</v>
      </c>
      <c r="S18" s="1232" t="s">
        <v>1954</v>
      </c>
    </row>
    <row r="19" spans="1:19">
      <c r="A19" s="2240"/>
      <c r="B19" s="50" t="s">
        <v>1927</v>
      </c>
      <c r="C19" s="2949" t="s">
        <v>3200</v>
      </c>
      <c r="D19" s="48">
        <f>ROUND($D$3*E19/$E$3,2)</f>
        <v>2092.2800000000002</v>
      </c>
      <c r="E19" s="56">
        <f t="shared" ref="E19:E26" si="1">SUM(F19:G19)</f>
        <v>25687.94</v>
      </c>
      <c r="F19" s="57">
        <f>'数据-基础表'!I13-F21</f>
        <v>25687.94</v>
      </c>
      <c r="G19" s="58"/>
      <c r="H19" s="720">
        <f>ROUND($D$3*I19/$E$3,2)</f>
        <v>54.33</v>
      </c>
      <c r="I19" s="51">
        <f t="shared" ref="I19:I26" si="2">IF($I$17="自定义",P19,M19)</f>
        <v>667.07</v>
      </c>
      <c r="J19" s="1377"/>
      <c r="K19" s="1376">
        <f t="shared" ref="K19:K26" si="3">ROUND(E$28*E19/E$27,2)</f>
        <v>667.07</v>
      </c>
      <c r="L19" s="1232">
        <f t="shared" ref="L19:L26" si="4">ROUND(IF(COUNTIF(C19,"*住宅*")&gt;0,E$29*E19/E$32,0),2)</f>
        <v>0</v>
      </c>
      <c r="M19" s="1388">
        <f>K19+L19</f>
        <v>667.07</v>
      </c>
      <c r="N19" s="2241"/>
      <c r="O19" s="2242"/>
      <c r="P19" s="1388">
        <f>N19+O19</f>
        <v>0</v>
      </c>
      <c r="R19" s="1232">
        <f t="shared" ref="R19:S26" si="5">D19+H19</f>
        <v>2146.61</v>
      </c>
      <c r="S19" s="1233">
        <f t="shared" si="5"/>
        <v>26355.01</v>
      </c>
    </row>
    <row r="20" spans="1:19">
      <c r="A20" s="2243"/>
      <c r="B20" s="50" t="s">
        <v>1955</v>
      </c>
      <c r="C20" s="2949" t="s">
        <v>3199</v>
      </c>
      <c r="D20" s="48">
        <f t="shared" ref="D20:D26" si="6">ROUND($D$3*E20/$E$3,2)</f>
        <v>181.6</v>
      </c>
      <c r="E20" s="56">
        <f t="shared" si="1"/>
        <v>2229.56</v>
      </c>
      <c r="F20" s="57">
        <f>'数据-基础表'!K5</f>
        <v>2229.56</v>
      </c>
      <c r="G20" s="58"/>
      <c r="H20" s="720">
        <f t="shared" ref="H20:H26" si="7">ROUND($D$3*I20/$E$3,2)</f>
        <v>4.72</v>
      </c>
      <c r="I20" s="51">
        <f t="shared" si="2"/>
        <v>57.9</v>
      </c>
      <c r="J20" s="1377"/>
      <c r="K20" s="1376">
        <f t="shared" si="3"/>
        <v>57.9</v>
      </c>
      <c r="L20" s="1232">
        <f t="shared" si="4"/>
        <v>0</v>
      </c>
      <c r="M20" s="1388">
        <f t="shared" ref="M20:M26" si="8">K20+L20</f>
        <v>57.9</v>
      </c>
      <c r="N20" s="2241"/>
      <c r="O20" s="2242"/>
      <c r="P20" s="1388">
        <f t="shared" ref="P20:P26" si="9">N20+O20</f>
        <v>0</v>
      </c>
      <c r="R20" s="1232">
        <f t="shared" si="5"/>
        <v>186.32</v>
      </c>
      <c r="S20" s="1233">
        <f t="shared" si="5"/>
        <v>2287.46</v>
      </c>
    </row>
    <row r="21" spans="1:19">
      <c r="A21" s="2243"/>
      <c r="B21" s="50" t="s">
        <v>1955</v>
      </c>
      <c r="C21" s="2956" t="s">
        <v>3202</v>
      </c>
      <c r="D21" s="48">
        <f t="shared" si="6"/>
        <v>4.8499999999999996</v>
      </c>
      <c r="E21" s="56">
        <f t="shared" si="1"/>
        <v>59.58</v>
      </c>
      <c r="F21" s="2955">
        <f>面积!J11</f>
        <v>59.58</v>
      </c>
      <c r="G21" s="58"/>
      <c r="H21" s="720">
        <f t="shared" si="7"/>
        <v>0.13</v>
      </c>
      <c r="I21" s="51">
        <f t="shared" si="2"/>
        <v>1.55</v>
      </c>
      <c r="J21" s="1377"/>
      <c r="K21" s="1376">
        <f t="shared" si="3"/>
        <v>1.55</v>
      </c>
      <c r="L21" s="1232">
        <f t="shared" si="4"/>
        <v>0</v>
      </c>
      <c r="M21" s="1388">
        <f t="shared" si="8"/>
        <v>1.55</v>
      </c>
      <c r="N21" s="2241"/>
      <c r="O21" s="2242"/>
      <c r="P21" s="1388">
        <f t="shared" si="9"/>
        <v>0</v>
      </c>
      <c r="R21" s="1232">
        <f t="shared" si="5"/>
        <v>4.9799999999999995</v>
      </c>
      <c r="S21" s="1233">
        <f t="shared" si="5"/>
        <v>61.129999999999995</v>
      </c>
    </row>
    <row r="22" spans="1:19">
      <c r="A22" s="2243"/>
      <c r="B22" s="50" t="s">
        <v>1955</v>
      </c>
      <c r="C22" s="60"/>
      <c r="D22" s="48">
        <f t="shared" si="6"/>
        <v>0</v>
      </c>
      <c r="E22" s="56">
        <f t="shared" si="1"/>
        <v>0</v>
      </c>
      <c r="F22" s="61"/>
      <c r="G22" s="62"/>
      <c r="H22" s="720">
        <f t="shared" si="7"/>
        <v>0</v>
      </c>
      <c r="I22" s="51">
        <f t="shared" si="2"/>
        <v>0</v>
      </c>
      <c r="J22" s="1377"/>
      <c r="K22" s="1376">
        <f t="shared" si="3"/>
        <v>0</v>
      </c>
      <c r="L22" s="1232">
        <f t="shared" si="4"/>
        <v>0</v>
      </c>
      <c r="M22" s="1388">
        <f t="shared" si="8"/>
        <v>0</v>
      </c>
      <c r="N22" s="2241"/>
      <c r="O22" s="2242"/>
      <c r="P22" s="1388">
        <f t="shared" si="9"/>
        <v>0</v>
      </c>
      <c r="R22" s="1232">
        <f t="shared" si="5"/>
        <v>0</v>
      </c>
      <c r="S22" s="1233">
        <f t="shared" si="5"/>
        <v>0</v>
      </c>
    </row>
    <row r="23" spans="1:19">
      <c r="A23" s="2243"/>
      <c r="B23" s="50" t="s">
        <v>1955</v>
      </c>
      <c r="C23" s="60"/>
      <c r="D23" s="48">
        <f>ROUND($D$3*E23/$E$3,2)</f>
        <v>0</v>
      </c>
      <c r="E23" s="56">
        <f>SUM(F23:G23)</f>
        <v>0</v>
      </c>
      <c r="F23" s="61"/>
      <c r="G23" s="62"/>
      <c r="H23" s="720">
        <f>ROUND($D$3*I23/$E$3,2)</f>
        <v>0</v>
      </c>
      <c r="I23" s="51">
        <f t="shared" si="2"/>
        <v>0</v>
      </c>
      <c r="J23" s="1377"/>
      <c r="K23" s="1376">
        <f t="shared" si="3"/>
        <v>0</v>
      </c>
      <c r="L23" s="1232">
        <f t="shared" si="4"/>
        <v>0</v>
      </c>
      <c r="M23" s="1388">
        <f t="shared" si="8"/>
        <v>0</v>
      </c>
      <c r="N23" s="2241"/>
      <c r="O23" s="2242"/>
      <c r="P23" s="1388">
        <f t="shared" si="9"/>
        <v>0</v>
      </c>
      <c r="R23" s="1232">
        <f t="shared" si="5"/>
        <v>0</v>
      </c>
      <c r="S23" s="1233">
        <f t="shared" si="5"/>
        <v>0</v>
      </c>
    </row>
    <row r="24" spans="1:19">
      <c r="A24" s="2243"/>
      <c r="B24" s="50" t="s">
        <v>1955</v>
      </c>
      <c r="C24" s="60"/>
      <c r="D24" s="48">
        <f>ROUND($D$3*E24/$E$3,2)</f>
        <v>0</v>
      </c>
      <c r="E24" s="56">
        <f>SUM(F24:G24)</f>
        <v>0</v>
      </c>
      <c r="F24" s="61"/>
      <c r="G24" s="62"/>
      <c r="H24" s="720">
        <f>ROUND($D$3*I24/$E$3,2)</f>
        <v>0</v>
      </c>
      <c r="I24" s="51">
        <f t="shared" si="2"/>
        <v>0</v>
      </c>
      <c r="J24" s="1377"/>
      <c r="K24" s="1376">
        <f t="shared" si="3"/>
        <v>0</v>
      </c>
      <c r="L24" s="1232">
        <f t="shared" si="4"/>
        <v>0</v>
      </c>
      <c r="M24" s="1388">
        <f t="shared" si="8"/>
        <v>0</v>
      </c>
      <c r="N24" s="2241"/>
      <c r="O24" s="2242"/>
      <c r="P24" s="1388">
        <f t="shared" si="9"/>
        <v>0</v>
      </c>
      <c r="R24" s="1232">
        <f t="shared" si="5"/>
        <v>0</v>
      </c>
      <c r="S24" s="1233">
        <f t="shared" si="5"/>
        <v>0</v>
      </c>
    </row>
    <row r="25" spans="1:19">
      <c r="A25" s="2243"/>
      <c r="B25" s="50" t="s">
        <v>1955</v>
      </c>
      <c r="C25" s="60"/>
      <c r="D25" s="48">
        <f t="shared" si="6"/>
        <v>0</v>
      </c>
      <c r="E25" s="56">
        <f t="shared" si="1"/>
        <v>0</v>
      </c>
      <c r="F25" s="61"/>
      <c r="G25" s="62"/>
      <c r="H25" s="47">
        <f t="shared" si="7"/>
        <v>0</v>
      </c>
      <c r="I25" s="51">
        <f t="shared" si="2"/>
        <v>0</v>
      </c>
      <c r="J25" s="1377"/>
      <c r="K25" s="1376">
        <f t="shared" si="3"/>
        <v>0</v>
      </c>
      <c r="L25" s="1232">
        <f t="shared" si="4"/>
        <v>0</v>
      </c>
      <c r="M25" s="1388">
        <f t="shared" si="8"/>
        <v>0</v>
      </c>
      <c r="N25" s="2241"/>
      <c r="O25" s="2242"/>
      <c r="P25" s="1388">
        <f t="shared" si="9"/>
        <v>0</v>
      </c>
      <c r="R25" s="1232">
        <f t="shared" si="5"/>
        <v>0</v>
      </c>
      <c r="S25" s="1233">
        <f t="shared" si="5"/>
        <v>0</v>
      </c>
    </row>
    <row r="26" spans="1:19">
      <c r="A26" s="2243"/>
      <c r="B26" s="50" t="s">
        <v>1955</v>
      </c>
      <c r="C26" s="63"/>
      <c r="D26" s="48">
        <f t="shared" si="6"/>
        <v>0</v>
      </c>
      <c r="E26" s="56">
        <f t="shared" si="1"/>
        <v>0</v>
      </c>
      <c r="F26" s="61"/>
      <c r="G26" s="62"/>
      <c r="H26" s="47">
        <f t="shared" si="7"/>
        <v>0</v>
      </c>
      <c r="I26" s="51">
        <f t="shared" si="2"/>
        <v>0</v>
      </c>
      <c r="J26" s="1377"/>
      <c r="K26" s="1383">
        <f t="shared" si="3"/>
        <v>0</v>
      </c>
      <c r="L26" s="1384">
        <f t="shared" si="4"/>
        <v>0</v>
      </c>
      <c r="M26" s="67">
        <f t="shared" si="8"/>
        <v>0</v>
      </c>
      <c r="N26" s="2244"/>
      <c r="O26" s="2245"/>
      <c r="P26" s="67">
        <f t="shared" si="9"/>
        <v>0</v>
      </c>
      <c r="R26" s="1232">
        <f t="shared" si="5"/>
        <v>0</v>
      </c>
      <c r="S26" s="1233">
        <f t="shared" si="5"/>
        <v>0</v>
      </c>
    </row>
    <row r="27" spans="1:19" ht="29.25" thickBot="1">
      <c r="A27" s="2243"/>
      <c r="B27" s="48"/>
      <c r="C27" s="2246" t="s">
        <v>1956</v>
      </c>
      <c r="D27" s="1378">
        <f>SUM(D19:D26)</f>
        <v>2278.73</v>
      </c>
      <c r="E27" s="1379">
        <f>IF(SUM(E19:E26)='数据-基础表'!BA5,SUM(E19:E26),IF(F27="地上面积有误","面积有误","地下面积有误"))</f>
        <v>27977.08</v>
      </c>
      <c r="F27" s="1378">
        <f>IF(SUM(F19:F26)=E8,SUM(F19:F26),"地上面积有误")</f>
        <v>27977.08</v>
      </c>
      <c r="G27" s="1380">
        <f>SUM(G19:G26)</f>
        <v>0</v>
      </c>
      <c r="H27" s="1381">
        <f>SUM(H19:H26)</f>
        <v>59.18</v>
      </c>
      <c r="I27" s="1382">
        <f>SUM(I19:I26)</f>
        <v>726.52</v>
      </c>
      <c r="J27" s="1377"/>
      <c r="K27" s="1385">
        <f>SUM(K19:K26)</f>
        <v>726.52</v>
      </c>
      <c r="L27" s="1386">
        <f>SUM(L19:L26)</f>
        <v>0</v>
      </c>
      <c r="M27" s="1389">
        <f>SUM(M19:M26)</f>
        <v>726.52</v>
      </c>
      <c r="N27" s="1385">
        <f t="shared" ref="N27:O27" si="10">SUM(N19:N26)</f>
        <v>0</v>
      </c>
      <c r="O27" s="1386">
        <f t="shared" si="10"/>
        <v>0</v>
      </c>
      <c r="P27" s="1387">
        <f>SUM(P19:P26)</f>
        <v>0</v>
      </c>
      <c r="R27" s="1234" t="str">
        <f>IF(SUM(R19:R26)=$D$3,SUM(R19:R26),SUM(R19:R26)&amp;"误差"&amp;ROUND(SUM(R19:R26)-$D$3,2))</f>
        <v>2337.91误差0.01</v>
      </c>
      <c r="S27" s="1232">
        <f>IF(SUM(S19:S26)=$E$3,SUM(S19:S26),SUM(S19:S26)&amp;"误差"&amp;ROUND(SUM(S19:S26)-E3,2))</f>
        <v>28703.599999999999</v>
      </c>
    </row>
    <row r="28" spans="1:19">
      <c r="A28" s="2243"/>
      <c r="B28" s="50" t="s">
        <v>1957</v>
      </c>
      <c r="C28" s="1244" t="s">
        <v>1958</v>
      </c>
      <c r="D28" s="48">
        <f>ROUND($D$3*E28/$E$3,2)</f>
        <v>59.17</v>
      </c>
      <c r="E28" s="56">
        <f>SUM(F28:G28)</f>
        <v>726.52</v>
      </c>
      <c r="F28" s="64">
        <f>'数据-基础表'!BQ5+'数据-基础表'!BS5</f>
        <v>248.82</v>
      </c>
      <c r="G28" s="65">
        <f>'数据-基础表'!BR5+'数据-基础表'!BT5</f>
        <v>477.7</v>
      </c>
      <c r="H28" s="1377"/>
      <c r="I28" s="1377"/>
      <c r="J28" s="1377"/>
      <c r="K28" s="1377"/>
      <c r="L28" s="1377"/>
      <c r="M28" s="1377"/>
      <c r="N28" s="1377"/>
      <c r="O28" s="1377"/>
      <c r="P28" s="1377"/>
    </row>
    <row r="29" spans="1:19">
      <c r="A29" s="2243"/>
      <c r="B29" s="50" t="s">
        <v>1957</v>
      </c>
      <c r="C29" s="2247" t="s">
        <v>1959</v>
      </c>
      <c r="D29" s="48">
        <f>ROUND($D$3*E29/$E$3,2)</f>
        <v>0</v>
      </c>
      <c r="E29" s="56">
        <f>SUM(F29:G29)</f>
        <v>0</v>
      </c>
      <c r="F29" s="66">
        <f>'数据-基础表'!BM5+'数据-基础表'!BO5</f>
        <v>0</v>
      </c>
      <c r="G29" s="67">
        <f>'数据-基础表'!BN5+'数据-基础表'!BP5</f>
        <v>0</v>
      </c>
      <c r="H29" s="1377"/>
      <c r="I29" s="1377"/>
      <c r="J29" s="1377"/>
      <c r="K29" s="1377"/>
      <c r="L29" s="1377"/>
      <c r="M29" s="1377"/>
      <c r="N29" s="1377"/>
      <c r="O29" s="1377"/>
      <c r="P29" s="1377"/>
    </row>
    <row r="30" spans="1:19" ht="15">
      <c r="A30" s="2243"/>
      <c r="B30" s="50"/>
      <c r="C30" s="2248" t="s">
        <v>1956</v>
      </c>
      <c r="D30" s="1378">
        <f>SUM(D28:D29)</f>
        <v>59.17</v>
      </c>
      <c r="E30" s="1378">
        <f>SUM(E28:E29)</f>
        <v>726.52</v>
      </c>
      <c r="F30" s="1378">
        <f>SUM(F28:F29)</f>
        <v>248.82</v>
      </c>
      <c r="G30" s="1380">
        <f>SUM(G28:G29)</f>
        <v>477.7</v>
      </c>
      <c r="H30" s="1377"/>
      <c r="I30" s="1377"/>
      <c r="J30" s="1377"/>
      <c r="K30" s="1377"/>
      <c r="L30" s="1377"/>
      <c r="M30" s="1377"/>
      <c r="N30" s="1377"/>
      <c r="O30" s="1377"/>
      <c r="P30" s="1377"/>
    </row>
    <row r="31" spans="1:19" ht="15.75" thickBot="1">
      <c r="A31" s="2249"/>
      <c r="B31" s="2250"/>
      <c r="C31" s="1000" t="s">
        <v>1960</v>
      </c>
      <c r="D31" s="726">
        <f>D27+D30</f>
        <v>2337.9</v>
      </c>
      <c r="E31" s="726">
        <f>E27+E30</f>
        <v>28703.600000000002</v>
      </c>
      <c r="F31" s="727">
        <f>F27+F30</f>
        <v>28225.9</v>
      </c>
      <c r="G31" s="728">
        <f>G27+G30</f>
        <v>477.7</v>
      </c>
      <c r="H31" s="1377"/>
      <c r="I31" s="1377"/>
      <c r="J31" s="1377"/>
      <c r="K31" s="1377"/>
      <c r="L31" s="1377"/>
      <c r="M31" s="1377"/>
      <c r="N31" s="1377"/>
      <c r="O31" s="1377"/>
      <c r="P31" s="1377"/>
    </row>
    <row r="32" spans="1:19">
      <c r="A32" s="2214"/>
      <c r="B32" s="2214" t="s">
        <v>1961</v>
      </c>
      <c r="C32" s="2214"/>
      <c r="D32" s="2214"/>
      <c r="E32" s="1259">
        <f>SUMIF(C19:C26,"*住宅*",E19:E26)</f>
        <v>0</v>
      </c>
      <c r="F32" s="2214"/>
      <c r="G32" s="2214"/>
      <c r="H32" s="1377"/>
      <c r="I32" s="1377"/>
      <c r="J32" s="1377"/>
      <c r="K32" s="1377"/>
      <c r="L32" s="1377"/>
      <c r="M32" s="1377"/>
      <c r="N32" s="1377"/>
      <c r="O32" s="1377"/>
      <c r="P32" s="1377"/>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P21" sqref="F21:P22"/>
    </sheetView>
  </sheetViews>
  <sheetFormatPr defaultColWidth="13.75" defaultRowHeight="12.75"/>
  <cols>
    <col min="1" max="1" width="20.875" style="2325" customWidth="1"/>
    <col min="2" max="2" width="12" style="2255" customWidth="1"/>
    <col min="3" max="3" width="10.75" style="2255" customWidth="1"/>
    <col min="4" max="4" width="9.125" style="2326" customWidth="1"/>
    <col min="5" max="5" width="15" style="2255" bestFit="1" customWidth="1"/>
    <col min="6" max="10" width="8.875" style="2255" customWidth="1"/>
    <col min="11" max="12" width="12.375" style="2170" customWidth="1"/>
    <col min="13" max="13" width="8.625" style="2255" customWidth="1"/>
    <col min="14" max="14" width="11.875" style="2255" customWidth="1"/>
    <col min="15" max="15" width="8.5" style="2255" customWidth="1"/>
    <col min="16" max="17" width="10.875" style="2255" customWidth="1"/>
    <col min="18" max="19" width="12.5" style="2255" customWidth="1"/>
    <col min="20" max="20" width="12.125" style="2255" customWidth="1"/>
    <col min="21" max="21" width="7.5" style="2255" customWidth="1"/>
    <col min="22" max="22" width="6.375" style="2255" customWidth="1"/>
    <col min="23" max="25" width="6.75" style="2255" customWidth="1"/>
    <col min="26" max="30" width="6.75" style="2255" hidden="1" customWidth="1"/>
    <col min="31" max="31" width="8" style="2255" hidden="1" customWidth="1"/>
    <col min="32" max="34" width="7.25" style="2255" hidden="1" customWidth="1"/>
    <col min="35" max="39" width="8" style="2255" customWidth="1"/>
    <col min="40" max="40" width="13.75" style="2254"/>
    <col min="41" max="41" width="11.625" style="2254" customWidth="1"/>
    <col min="42" max="42" width="9.75" style="2254" customWidth="1"/>
    <col min="43" max="67" width="13.75" style="2254"/>
    <col min="68" max="16384" width="13.75" style="2255"/>
  </cols>
  <sheetData>
    <row r="1" spans="1:67" ht="19.5" thickBot="1">
      <c r="A1" s="2252" t="s">
        <v>1962</v>
      </c>
      <c r="B1" s="729"/>
      <c r="C1" s="1567"/>
      <c r="D1" s="2253"/>
      <c r="E1" s="1567"/>
      <c r="F1" s="1567"/>
      <c r="G1" s="1567"/>
      <c r="H1" s="1567"/>
      <c r="I1" s="1567"/>
      <c r="J1" s="1567"/>
      <c r="K1" s="166"/>
      <c r="L1" s="166"/>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56" t="s">
        <v>1963</v>
      </c>
      <c r="B2" s="1251">
        <f>项目基本情况!D3</f>
        <v>43061</v>
      </c>
      <c r="C2" s="2257"/>
      <c r="D2" s="2258"/>
      <c r="E2" s="2257"/>
      <c r="F2" s="2257"/>
      <c r="G2" s="2257"/>
      <c r="H2" s="2257"/>
      <c r="I2" s="2257"/>
      <c r="J2" s="2257"/>
      <c r="K2" s="1412"/>
      <c r="L2" s="1412"/>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7" customFormat="1" ht="15" thickBot="1">
      <c r="A3" s="2015"/>
      <c r="B3" s="2260"/>
      <c r="C3" s="2257"/>
      <c r="D3" s="2258"/>
      <c r="E3" s="2257"/>
      <c r="F3" s="2257"/>
      <c r="G3" s="2257"/>
      <c r="H3" s="2257"/>
      <c r="I3" s="2257"/>
      <c r="J3" s="2257"/>
      <c r="K3" s="1412"/>
      <c r="L3" s="1412"/>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7" customFormat="1" ht="15" thickBot="1">
      <c r="A4" s="68" t="s">
        <v>1964</v>
      </c>
      <c r="B4" s="2261"/>
      <c r="C4" s="2262"/>
      <c r="D4" s="2263"/>
      <c r="E4" s="2262" t="s">
        <v>1965</v>
      </c>
      <c r="F4" s="2262"/>
      <c r="G4" s="2262"/>
      <c r="H4" s="2262"/>
      <c r="I4" s="2262"/>
      <c r="J4" s="2264"/>
      <c r="K4" s="2265"/>
      <c r="L4" s="2266"/>
      <c r="M4" s="2262"/>
      <c r="N4" s="2262" t="s">
        <v>1966</v>
      </c>
      <c r="O4" s="2262"/>
      <c r="P4" s="2262"/>
      <c r="Q4" s="2262"/>
      <c r="R4" s="2262"/>
      <c r="S4" s="2264"/>
      <c r="T4" s="2267" t="str">
        <f>'数据-汇总表'!I17</f>
        <v>按面积比例</v>
      </c>
      <c r="U4" s="2261" t="s">
        <v>1967</v>
      </c>
      <c r="V4" s="2262"/>
      <c r="W4" s="2262"/>
      <c r="X4" s="2262"/>
      <c r="Y4" s="2264"/>
      <c r="Z4" s="2225" t="s">
        <v>1968</v>
      </c>
      <c r="AA4" s="2225"/>
      <c r="AB4" s="2225"/>
      <c r="AC4" s="2225"/>
      <c r="AD4" s="2225"/>
      <c r="AE4" s="2223" t="s">
        <v>1969</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8" customFormat="1" ht="42">
      <c r="A5" s="2269" t="s">
        <v>1970</v>
      </c>
      <c r="B5" s="2270" t="s">
        <v>1971</v>
      </c>
      <c r="C5" s="2271" t="s">
        <v>1972</v>
      </c>
      <c r="D5" s="2272" t="s">
        <v>1973</v>
      </c>
      <c r="E5" s="1253" t="s">
        <v>1974</v>
      </c>
      <c r="F5" s="2273" t="s">
        <v>1975</v>
      </c>
      <c r="G5" s="1253" t="s">
        <v>1976</v>
      </c>
      <c r="H5" s="1253" t="s">
        <v>1977</v>
      </c>
      <c r="I5" s="1253" t="s">
        <v>1978</v>
      </c>
      <c r="J5" s="2274" t="s">
        <v>1979</v>
      </c>
      <c r="K5" s="2275" t="s">
        <v>1980</v>
      </c>
      <c r="L5" s="2276" t="s">
        <v>1981</v>
      </c>
      <c r="M5" s="2277" t="s">
        <v>1982</v>
      </c>
      <c r="N5" s="2278" t="s">
        <v>3059</v>
      </c>
      <c r="O5" s="2276" t="s">
        <v>1983</v>
      </c>
      <c r="P5" s="2279" t="s">
        <v>1984</v>
      </c>
      <c r="Q5" s="69" t="s">
        <v>1985</v>
      </c>
      <c r="R5" s="2280" t="s">
        <v>1986</v>
      </c>
      <c r="S5" s="2281" t="s">
        <v>1987</v>
      </c>
      <c r="T5" s="2282" t="s">
        <v>1988</v>
      </c>
      <c r="U5" s="1252" t="s">
        <v>1989</v>
      </c>
      <c r="V5" s="1253" t="s">
        <v>1990</v>
      </c>
      <c r="W5" s="1253" t="s">
        <v>1991</v>
      </c>
      <c r="X5" s="71"/>
      <c r="Y5" s="70" t="s">
        <v>1992</v>
      </c>
      <c r="Z5" s="2283" t="s">
        <v>1989</v>
      </c>
      <c r="AA5" s="1253" t="s">
        <v>1990</v>
      </c>
      <c r="AB5" s="1253" t="s">
        <v>1991</v>
      </c>
      <c r="AC5" s="71"/>
      <c r="AD5" s="71" t="s">
        <v>1992</v>
      </c>
      <c r="AE5" s="1252" t="s">
        <v>1993</v>
      </c>
      <c r="AF5" s="1253" t="s">
        <v>1994</v>
      </c>
      <c r="AG5" s="70" t="s">
        <v>1995</v>
      </c>
      <c r="AH5" s="1252" t="s">
        <v>1996</v>
      </c>
      <c r="AI5" s="2283" t="s">
        <v>1997</v>
      </c>
      <c r="AJ5" s="2283" t="s">
        <v>1998</v>
      </c>
      <c r="AK5" s="1253" t="s">
        <v>1999</v>
      </c>
      <c r="AL5" s="1253" t="s">
        <v>2000</v>
      </c>
      <c r="AM5" s="70" t="s">
        <v>2001</v>
      </c>
      <c r="AN5" s="2284" t="s">
        <v>2002</v>
      </c>
      <c r="AO5" s="2055" t="s">
        <v>2003</v>
      </c>
      <c r="AP5" s="1234" t="s">
        <v>2004</v>
      </c>
      <c r="AQ5" s="2285" t="s">
        <v>2005</v>
      </c>
      <c r="AR5" s="2285" t="s">
        <v>2006</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7" customFormat="1" ht="14.25">
      <c r="A6" s="2286" t="str">
        <f>'数据-汇总表'!C19</f>
        <v>公寓</v>
      </c>
      <c r="B6" s="2287" t="str">
        <f>IF(A6=0,"","经营性")</f>
        <v>经营性</v>
      </c>
      <c r="C6" s="2288" t="s">
        <v>27</v>
      </c>
      <c r="D6" s="1044">
        <f>SUMIF(项目基本情况!D$12:I$12,C6,项目基本情况!D$14:I$14)</f>
        <v>50</v>
      </c>
      <c r="E6" s="1041">
        <f>IF(B6="","",SUMIF(项目基本情况!D$12:I$12,C6,项目基本情况!D$13:I$13))</f>
        <v>58131</v>
      </c>
      <c r="F6" s="72">
        <f>SUMIF(项目基本情况!D$12:I$12,C6,项目基本情况!D$15:I$15)</f>
        <v>41.28</v>
      </c>
      <c r="G6" s="73">
        <f>IF(ISERROR(ROUND(POWER(1+H6,D6-F6)*(POWER(1+H6,F6)-1)/(POWER(1+H6,D6)-1),3)),0,ROUND(POWER(1+H6,D6-F6)*(POWER(1+H6,F6)-1)/(POWER(1+H6,D6)-1),3))</f>
        <v>0.94899999999999995</v>
      </c>
      <c r="H6" s="799">
        <v>0.05</v>
      </c>
      <c r="I6" s="799">
        <v>5.5E-2</v>
      </c>
      <c r="J6" s="74">
        <v>8.5000000000000006E-2</v>
      </c>
      <c r="K6" s="1236">
        <f>SUMIF('数据-汇总表'!C$19:C$33,A6,'数据-汇总表'!E$19:E$33)</f>
        <v>25687.94</v>
      </c>
      <c r="L6" s="2950">
        <v>3000</v>
      </c>
      <c r="M6" s="75">
        <f t="shared" ref="M6:M14" si="0">ROUND(K6*L6/10000,0)</f>
        <v>7706</v>
      </c>
      <c r="N6" s="798">
        <f>ROUND(1-(2017-2013)/60,2)</f>
        <v>0.93</v>
      </c>
      <c r="O6" s="75" t="str">
        <f>IF($N$5="成新度","——",ROUND(M6*N6,0))</f>
        <v>——</v>
      </c>
      <c r="P6" s="76" t="str">
        <f>IF($N$5="成新度","——",M6-O6)</f>
        <v>——</v>
      </c>
      <c r="Q6" s="800">
        <v>0.2</v>
      </c>
      <c r="R6" s="77">
        <f ca="1">SUMIF('数据-汇总表'!C$19:C$33,A6,'数据-汇总表'!R$19:R$27)</f>
        <v>2146.61</v>
      </c>
      <c r="S6" s="54">
        <f>IF('数据-汇总表'!$I$17="按面积比例",SUMIF('数据-汇总表'!C$19:C$33,A6,'数据-汇总表'!K$19:K$33),SUMIF('数据-汇总表'!C$19:C$33,A6,'数据-汇总表'!N$19:N$33))</f>
        <v>667.07</v>
      </c>
      <c r="T6" s="1428">
        <f>ROUND($L$14*S6/10000,0)</f>
        <v>133</v>
      </c>
      <c r="U6" s="2958">
        <f>U8</f>
        <v>1.6</v>
      </c>
      <c r="V6" s="79">
        <v>0.03</v>
      </c>
      <c r="W6" s="2957">
        <v>0.05</v>
      </c>
      <c r="X6" s="1246"/>
      <c r="Y6" s="80">
        <f>N6</f>
        <v>0.93</v>
      </c>
      <c r="Z6" s="81"/>
      <c r="AA6" s="74"/>
      <c r="AB6" s="74"/>
      <c r="AC6" s="1246"/>
      <c r="AD6" s="82"/>
      <c r="AE6" s="1247">
        <f ca="1">IF(AN6="",0,SUMIF(INDIRECT("'"&amp;AN6&amp;"'"&amp;"!E:E"),$AE$5,INDIRECT("'"&amp;AN6&amp;"'"&amp;"!F:F")))</f>
        <v>41.28</v>
      </c>
      <c r="AF6" s="1790"/>
      <c r="AG6" s="145">
        <f>IF(AF6="",0,AE6-AF6)</f>
        <v>0</v>
      </c>
      <c r="AH6" s="83"/>
      <c r="AI6" s="85">
        <v>365</v>
      </c>
      <c r="AJ6" s="86"/>
      <c r="AK6" s="87">
        <v>1.4999999999999999E-2</v>
      </c>
      <c r="AL6" s="88">
        <v>1.5E-3</v>
      </c>
      <c r="AM6" s="89">
        <v>0.01</v>
      </c>
      <c r="AN6" s="2289" t="s">
        <v>3063</v>
      </c>
      <c r="AO6" s="55">
        <f ca="1">SUMIF(INDIRECT("'"&amp;AN6&amp;"'"&amp;"!A:A"),"总价",INDIRECT("'"&amp;AN6&amp;"'"&amp;"!B:B"))</f>
        <v>50</v>
      </c>
      <c r="AP6" s="2290">
        <f>IF(C6="住宅",K6*L6,0)</f>
        <v>0</v>
      </c>
      <c r="AQ6" s="55">
        <f>ROUND($L$14*$N$14*S6/10000,0)</f>
        <v>124</v>
      </c>
      <c r="AR6" s="55">
        <f>ROUND($L$14*(1-$N$14)*S6/10000,0)</f>
        <v>9</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7" customFormat="1" ht="14.25">
      <c r="A7" s="2286" t="str">
        <f>'数据-汇总表'!C20</f>
        <v>底商</v>
      </c>
      <c r="B7" s="2287" t="str">
        <f t="shared" ref="B7:B13" si="1">IF(A7=0,"","经营性")</f>
        <v>经营性</v>
      </c>
      <c r="C7" s="2288" t="s">
        <v>1378</v>
      </c>
      <c r="D7" s="1044">
        <f>SUMIF(项目基本情况!D$12:I$12,C7,项目基本情况!D$14:I$14)</f>
        <v>40</v>
      </c>
      <c r="E7" s="1041">
        <f>IF(B7="","",SUMIF(项目基本情况!D$12:I$12,C7,项目基本情况!D$13:I$13))</f>
        <v>54479</v>
      </c>
      <c r="F7" s="72">
        <f>SUMIF(项目基本情况!D$12:I$12,C7,项目基本情况!D$15:I$15)</f>
        <v>31.28</v>
      </c>
      <c r="G7" s="73">
        <f t="shared" ref="G7:G11" si="2">IF(ISERROR(ROUND(POWER(1+H7,D7-F7)*(POWER(1+H7,F7)-1)/(POWER(1+H7,D7)-1),3)),0,ROUND(POWER(1+H7,D7-F7)*(POWER(1+H7,F7)-1)/(POWER(1+H7,D7)-1),3))</f>
        <v>0.92100000000000004</v>
      </c>
      <c r="H7" s="799">
        <v>5.5E-2</v>
      </c>
      <c r="I7" s="799">
        <v>0.06</v>
      </c>
      <c r="J7" s="74">
        <v>8.5000000000000006E-2</v>
      </c>
      <c r="K7" s="1236">
        <f>SUMIF('数据-汇总表'!C$19:C$33,A7,'数据-汇总表'!E$19:E$33)</f>
        <v>2229.56</v>
      </c>
      <c r="L7" s="2950">
        <v>3000</v>
      </c>
      <c r="M7" s="75">
        <f t="shared" si="0"/>
        <v>669</v>
      </c>
      <c r="N7" s="798">
        <f t="shared" ref="N7:N14" si="3">ROUND(1-(2017-2013)/60,2)</f>
        <v>0.93</v>
      </c>
      <c r="O7" s="75" t="str">
        <f t="shared" ref="O7:O14" si="4">IF($N$5="成新度","——",ROUND(M7*N7,0))</f>
        <v>——</v>
      </c>
      <c r="P7" s="76" t="str">
        <f t="shared" ref="P7:P14" si="5">IF($N$5="成新度","——",M7-O7)</f>
        <v>——</v>
      </c>
      <c r="Q7" s="800">
        <v>0.3</v>
      </c>
      <c r="R7" s="77">
        <f ca="1">SUMIF('数据-汇总表'!C$19:C$33,A7,'数据-汇总表'!R$19:R$27)</f>
        <v>186.32</v>
      </c>
      <c r="S7" s="54">
        <f>IF('数据-汇总表'!$I$17="按面积比例",SUMIF('数据-汇总表'!C$19:C$33,A7,'数据-汇总表'!K$19:K$33),SUMIF('数据-汇总表'!C$19:C$33,A7,'数据-汇总表'!N$19:N$33))</f>
        <v>57.9</v>
      </c>
      <c r="T7" s="1428">
        <f t="shared" ref="T7:T13" si="6">ROUND($L$14*S7/10000,0)</f>
        <v>12</v>
      </c>
      <c r="U7" s="78">
        <v>4.5</v>
      </c>
      <c r="V7" s="79">
        <v>0.03</v>
      </c>
      <c r="W7" s="79">
        <v>0.1</v>
      </c>
      <c r="X7" s="1246"/>
      <c r="Y7" s="80">
        <f t="shared" ref="Y7" si="7">N7</f>
        <v>0.93</v>
      </c>
      <c r="Z7" s="81"/>
      <c r="AA7" s="74"/>
      <c r="AB7" s="74"/>
      <c r="AC7" s="1246"/>
      <c r="AD7" s="82"/>
      <c r="AE7" s="1247">
        <f t="shared" ref="AE7:AE13" ca="1" si="8">IF(AN7="",0,SUMIF(INDIRECT("'"&amp;AN7&amp;"'"&amp;"!E:E"),$AE$5,INDIRECT("'"&amp;AN7&amp;"'"&amp;"!F:F")))</f>
        <v>31.28</v>
      </c>
      <c r="AF7" s="1790"/>
      <c r="AG7" s="145">
        <f t="shared" ref="AG7:AG13" si="9">IF(AF7="",0,AE7-AF7)</f>
        <v>0</v>
      </c>
      <c r="AH7" s="83"/>
      <c r="AI7" s="85">
        <v>365</v>
      </c>
      <c r="AJ7" s="86"/>
      <c r="AK7" s="87">
        <v>1.4999999999999999E-2</v>
      </c>
      <c r="AL7" s="88">
        <v>1.5E-3</v>
      </c>
      <c r="AM7" s="89">
        <v>0.01</v>
      </c>
      <c r="AN7" s="2289" t="s">
        <v>3066</v>
      </c>
      <c r="AO7" s="55">
        <f t="shared" ref="AO7:AO13" ca="1" si="10">SUMIF(INDIRECT("'"&amp;AN7&amp;"'"&amp;"!A:A"),"总价",INDIRECT("'"&amp;AN7&amp;"'"&amp;"!B:B"))</f>
        <v>4994</v>
      </c>
      <c r="AP7" s="2290">
        <f t="shared" ref="AP7:AP13" si="11">IF(C7="住宅",K7*L7,0)</f>
        <v>0</v>
      </c>
      <c r="AQ7" s="55">
        <f t="shared" ref="AQ7:AQ13" si="12">ROUND($L$14*$N$14*S7/10000,0)</f>
        <v>11</v>
      </c>
      <c r="AR7" s="55">
        <f t="shared" ref="AR7:AR13" si="13">ROUND($L$14*(1-$N$14)*S7/10000,0)</f>
        <v>1</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7" customFormat="1" ht="14.25">
      <c r="A8" s="2286" t="str">
        <f>'数据-汇总表'!C21</f>
        <v>303号公寓</v>
      </c>
      <c r="B8" s="2287" t="str">
        <f t="shared" si="1"/>
        <v>经营性</v>
      </c>
      <c r="C8" s="2288" t="s">
        <v>27</v>
      </c>
      <c r="D8" s="1044">
        <f>SUMIF(项目基本情况!D$12:I$12,C8,项目基本情况!D$14:I$14)</f>
        <v>50</v>
      </c>
      <c r="E8" s="1041">
        <f>IF(B8="","",SUMIF(项目基本情况!D$12:I$12,C8,项目基本情况!D$13:I$13))</f>
        <v>58131</v>
      </c>
      <c r="F8" s="72">
        <f>SUMIF(项目基本情况!D$12:I$12,C8,项目基本情况!D$15:I$15)</f>
        <v>41.28</v>
      </c>
      <c r="G8" s="73">
        <f t="shared" si="2"/>
        <v>0.94899999999999995</v>
      </c>
      <c r="H8" s="799">
        <v>0.05</v>
      </c>
      <c r="I8" s="799">
        <v>5.5E-2</v>
      </c>
      <c r="J8" s="74">
        <v>8.5000000000000006E-2</v>
      </c>
      <c r="K8" s="1236">
        <f>SUMIF('数据-汇总表'!C$19:C$33,A8,'数据-汇总表'!E$19:E$33)</f>
        <v>59.58</v>
      </c>
      <c r="L8" s="2950">
        <v>3000</v>
      </c>
      <c r="M8" s="75">
        <f>ROUND(K8*L8/10000,0)</f>
        <v>18</v>
      </c>
      <c r="N8" s="798">
        <f t="shared" si="3"/>
        <v>0.93</v>
      </c>
      <c r="O8" s="75" t="str">
        <f t="shared" si="4"/>
        <v>——</v>
      </c>
      <c r="P8" s="76" t="str">
        <f t="shared" si="5"/>
        <v>——</v>
      </c>
      <c r="Q8" s="800">
        <v>0.2</v>
      </c>
      <c r="R8" s="77">
        <f ca="1">SUMIF('数据-汇总表'!C$19:C$33,A8,'数据-汇总表'!R$19:R$27)</f>
        <v>4.9799999999999995</v>
      </c>
      <c r="S8" s="54">
        <f>IF('数据-汇总表'!$I$17="按面积比例",SUMIF('数据-汇总表'!C$19:C$33,A8,'数据-汇总表'!K$19:K$33),SUMIF('数据-汇总表'!C$19:C$33,A8,'数据-汇总表'!N$19:N$33))</f>
        <v>1.55</v>
      </c>
      <c r="T8" s="1428">
        <f t="shared" si="6"/>
        <v>0</v>
      </c>
      <c r="U8" s="2958">
        <v>1.6</v>
      </c>
      <c r="V8" s="79">
        <v>0.03</v>
      </c>
      <c r="W8" s="2957">
        <v>0.05</v>
      </c>
      <c r="X8" s="1246"/>
      <c r="Y8" s="80">
        <f>N8</f>
        <v>0.93</v>
      </c>
      <c r="Z8" s="81"/>
      <c r="AA8" s="74"/>
      <c r="AB8" s="74"/>
      <c r="AC8" s="1246"/>
      <c r="AD8" s="82"/>
      <c r="AE8" s="1247">
        <f t="shared" ca="1" si="8"/>
        <v>41.28</v>
      </c>
      <c r="AF8" s="1790"/>
      <c r="AG8" s="145">
        <f t="shared" si="9"/>
        <v>0</v>
      </c>
      <c r="AH8" s="801"/>
      <c r="AI8" s="85">
        <v>365</v>
      </c>
      <c r="AJ8" s="86"/>
      <c r="AK8" s="87">
        <v>1.4999999999999999E-2</v>
      </c>
      <c r="AL8" s="88">
        <v>1.5E-3</v>
      </c>
      <c r="AM8" s="89">
        <v>0.01</v>
      </c>
      <c r="AN8" s="2289" t="s">
        <v>3203</v>
      </c>
      <c r="AO8" s="55">
        <f t="shared" ca="1" si="10"/>
        <v>57</v>
      </c>
      <c r="AP8" s="2290">
        <f t="shared" si="11"/>
        <v>0</v>
      </c>
      <c r="AQ8" s="55">
        <f t="shared" si="12"/>
        <v>0</v>
      </c>
      <c r="AR8" s="55">
        <f t="shared" si="13"/>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7" customFormat="1" ht="14.25" hidden="1">
      <c r="A9" s="2286">
        <f>'数据-汇总表'!C22</f>
        <v>0</v>
      </c>
      <c r="B9" s="2287" t="str">
        <f t="shared" si="1"/>
        <v/>
      </c>
      <c r="C9" s="2288"/>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36">
        <f>SUMIF('数据-汇总表'!C$19:C$33,A9,'数据-汇总表'!E$19:E$33)</f>
        <v>0</v>
      </c>
      <c r="L9" s="2950"/>
      <c r="M9" s="75">
        <f t="shared" si="0"/>
        <v>0</v>
      </c>
      <c r="N9" s="798">
        <f t="shared" si="3"/>
        <v>0.93</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28">
        <f t="shared" si="6"/>
        <v>0</v>
      </c>
      <c r="U9" s="78"/>
      <c r="V9" s="79"/>
      <c r="W9" s="79"/>
      <c r="X9" s="1246"/>
      <c r="Y9" s="80"/>
      <c r="Z9" s="81"/>
      <c r="AA9" s="74"/>
      <c r="AB9" s="74"/>
      <c r="AC9" s="1246"/>
      <c r="AD9" s="82"/>
      <c r="AE9" s="1247">
        <f t="shared" ca="1" si="8"/>
        <v>0</v>
      </c>
      <c r="AF9" s="1790"/>
      <c r="AG9" s="145">
        <f t="shared" si="9"/>
        <v>0</v>
      </c>
      <c r="AH9" s="83"/>
      <c r="AI9" s="85"/>
      <c r="AJ9" s="86"/>
      <c r="AK9" s="87"/>
      <c r="AL9" s="88"/>
      <c r="AM9" s="89"/>
      <c r="AN9" s="2289"/>
      <c r="AO9" s="55" t="e">
        <f t="shared" ca="1" si="10"/>
        <v>#REF!</v>
      </c>
      <c r="AP9" s="2290">
        <f t="shared" si="11"/>
        <v>0</v>
      </c>
      <c r="AQ9" s="55">
        <f t="shared" si="12"/>
        <v>0</v>
      </c>
      <c r="AR9" s="55">
        <f t="shared" si="13"/>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7" customFormat="1" ht="14.25" hidden="1">
      <c r="A10" s="2286">
        <f>'数据-汇总表'!C23</f>
        <v>0</v>
      </c>
      <c r="B10" s="2287" t="str">
        <f t="shared" si="1"/>
        <v/>
      </c>
      <c r="C10" s="2288"/>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36">
        <f>SUMIF('数据-汇总表'!C$19:C$33,A10,'数据-汇总表'!E$19:E$33)</f>
        <v>0</v>
      </c>
      <c r="L10" s="2950"/>
      <c r="M10" s="75">
        <f t="shared" si="0"/>
        <v>0</v>
      </c>
      <c r="N10" s="798">
        <f t="shared" si="3"/>
        <v>0.93</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28">
        <f t="shared" si="6"/>
        <v>0</v>
      </c>
      <c r="U10" s="78"/>
      <c r="V10" s="79"/>
      <c r="W10" s="79"/>
      <c r="X10" s="1246"/>
      <c r="Y10" s="80"/>
      <c r="Z10" s="81"/>
      <c r="AA10" s="74"/>
      <c r="AB10" s="74"/>
      <c r="AC10" s="1246"/>
      <c r="AD10" s="82"/>
      <c r="AE10" s="1247">
        <f t="shared" ca="1" si="8"/>
        <v>0</v>
      </c>
      <c r="AF10" s="1790"/>
      <c r="AG10" s="145">
        <f t="shared" si="9"/>
        <v>0</v>
      </c>
      <c r="AH10" s="83"/>
      <c r="AI10" s="85"/>
      <c r="AJ10" s="86"/>
      <c r="AK10" s="87"/>
      <c r="AL10" s="88"/>
      <c r="AM10" s="89"/>
      <c r="AN10" s="2289"/>
      <c r="AO10" s="55" t="e">
        <f t="shared" ca="1" si="10"/>
        <v>#REF!</v>
      </c>
      <c r="AP10" s="2290">
        <f t="shared" si="11"/>
        <v>0</v>
      </c>
      <c r="AQ10" s="55">
        <f t="shared" si="12"/>
        <v>0</v>
      </c>
      <c r="AR10" s="55">
        <f t="shared" si="13"/>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7" customFormat="1" ht="14.25" hidden="1">
      <c r="A11" s="2286">
        <f>'数据-汇总表'!C24</f>
        <v>0</v>
      </c>
      <c r="B11" s="2287" t="str">
        <f t="shared" si="1"/>
        <v/>
      </c>
      <c r="C11" s="2288"/>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36">
        <f>SUMIF('数据-汇总表'!C$19:C$33,A11,'数据-汇总表'!E$19:E$33)</f>
        <v>0</v>
      </c>
      <c r="L11" s="2950"/>
      <c r="M11" s="75">
        <f t="shared" si="0"/>
        <v>0</v>
      </c>
      <c r="N11" s="798">
        <f t="shared" si="3"/>
        <v>0.93</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28">
        <f t="shared" si="6"/>
        <v>0</v>
      </c>
      <c r="U11" s="83"/>
      <c r="V11" s="74"/>
      <c r="W11" s="74"/>
      <c r="X11" s="1246"/>
      <c r="Y11" s="80"/>
      <c r="Z11" s="91"/>
      <c r="AA11" s="74"/>
      <c r="AB11" s="74"/>
      <c r="AC11" s="1246"/>
      <c r="AD11" s="82"/>
      <c r="AE11" s="1247">
        <f t="shared" ca="1" si="8"/>
        <v>0</v>
      </c>
      <c r="AF11" s="1790"/>
      <c r="AG11" s="145">
        <f t="shared" si="9"/>
        <v>0</v>
      </c>
      <c r="AH11" s="83"/>
      <c r="AI11" s="85"/>
      <c r="AJ11" s="86"/>
      <c r="AK11" s="92"/>
      <c r="AL11" s="93"/>
      <c r="AM11" s="94"/>
      <c r="AN11" s="2289"/>
      <c r="AO11" s="55" t="e">
        <f t="shared" ca="1" si="10"/>
        <v>#REF!</v>
      </c>
      <c r="AP11" s="2290">
        <f t="shared" si="11"/>
        <v>0</v>
      </c>
      <c r="AQ11" s="55">
        <f t="shared" si="12"/>
        <v>0</v>
      </c>
      <c r="AR11" s="55">
        <f t="shared" si="13"/>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7" customFormat="1" ht="14.25" hidden="1">
      <c r="A12" s="2286">
        <f>'数据-汇总表'!C25</f>
        <v>0</v>
      </c>
      <c r="B12" s="2287" t="str">
        <f t="shared" si="1"/>
        <v/>
      </c>
      <c r="C12" s="2288"/>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6">
        <f>SUMIF('数据-汇总表'!C$19:C$33,A12,'数据-汇总表'!E$19:E$33)</f>
        <v>0</v>
      </c>
      <c r="L12" s="2950"/>
      <c r="M12" s="75">
        <f>ROUND(K12*L12/10000,0)</f>
        <v>0</v>
      </c>
      <c r="N12" s="798">
        <f t="shared" si="3"/>
        <v>0.93</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28">
        <f t="shared" si="6"/>
        <v>0</v>
      </c>
      <c r="U12" s="83"/>
      <c r="V12" s="74"/>
      <c r="W12" s="74"/>
      <c r="X12" s="1246"/>
      <c r="Y12" s="80"/>
      <c r="Z12" s="91"/>
      <c r="AA12" s="74"/>
      <c r="AB12" s="74"/>
      <c r="AC12" s="1246"/>
      <c r="AD12" s="82"/>
      <c r="AE12" s="1247">
        <f t="shared" ca="1" si="8"/>
        <v>0</v>
      </c>
      <c r="AF12" s="1790"/>
      <c r="AG12" s="145">
        <f t="shared" si="9"/>
        <v>0</v>
      </c>
      <c r="AH12" s="83"/>
      <c r="AI12" s="85"/>
      <c r="AJ12" s="86"/>
      <c r="AK12" s="92"/>
      <c r="AL12" s="93"/>
      <c r="AM12" s="94"/>
      <c r="AN12" s="2289"/>
      <c r="AO12" s="55" t="e">
        <f t="shared" ca="1" si="10"/>
        <v>#REF!</v>
      </c>
      <c r="AP12" s="2290">
        <f t="shared" si="11"/>
        <v>0</v>
      </c>
      <c r="AQ12" s="55">
        <f t="shared" si="12"/>
        <v>0</v>
      </c>
      <c r="AR12" s="55">
        <f t="shared" si="13"/>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7" customFormat="1" ht="14.25" hidden="1">
      <c r="A13" s="2286">
        <f>'数据-汇总表'!C26</f>
        <v>0</v>
      </c>
      <c r="B13" s="2287" t="str">
        <f t="shared" si="1"/>
        <v/>
      </c>
      <c r="C13" s="2288"/>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6">
        <f>SUMIF('数据-汇总表'!C$19:C$33,A13,'数据-汇总表'!E$19:E$33)</f>
        <v>0</v>
      </c>
      <c r="L13" s="2950"/>
      <c r="M13" s="75">
        <f>ROUND(K13*L13/10000,0)</f>
        <v>0</v>
      </c>
      <c r="N13" s="798">
        <f t="shared" si="3"/>
        <v>0.93</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28">
        <f t="shared" si="6"/>
        <v>0</v>
      </c>
      <c r="U13" s="78"/>
      <c r="V13" s="79"/>
      <c r="W13" s="79"/>
      <c r="X13" s="1246"/>
      <c r="Y13" s="80"/>
      <c r="Z13" s="81"/>
      <c r="AA13" s="74"/>
      <c r="AB13" s="74"/>
      <c r="AC13" s="1246"/>
      <c r="AD13" s="82"/>
      <c r="AE13" s="1247">
        <f t="shared" ca="1" si="8"/>
        <v>0</v>
      </c>
      <c r="AF13" s="1790"/>
      <c r="AG13" s="145">
        <f t="shared" si="9"/>
        <v>0</v>
      </c>
      <c r="AH13" s="83"/>
      <c r="AI13" s="85"/>
      <c r="AJ13" s="86"/>
      <c r="AK13" s="87"/>
      <c r="AL13" s="88"/>
      <c r="AM13" s="89"/>
      <c r="AN13" s="2289"/>
      <c r="AO13" s="55" t="e">
        <f t="shared" ca="1" si="10"/>
        <v>#REF!</v>
      </c>
      <c r="AP13" s="2290">
        <f t="shared" si="11"/>
        <v>0</v>
      </c>
      <c r="AQ13" s="55">
        <f t="shared" si="12"/>
        <v>0</v>
      </c>
      <c r="AR13" s="55">
        <f t="shared" si="13"/>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7" customFormat="1" ht="14.25">
      <c r="A14" s="2291" t="s">
        <v>2007</v>
      </c>
      <c r="B14" s="2287" t="s">
        <v>2008</v>
      </c>
      <c r="C14" s="2292" t="s">
        <v>2007</v>
      </c>
      <c r="D14" s="1044"/>
      <c r="E14" s="1041"/>
      <c r="F14" s="72"/>
      <c r="G14" s="73"/>
      <c r="H14" s="1235"/>
      <c r="I14" s="1235"/>
      <c r="J14" s="1235"/>
      <c r="K14" s="1236">
        <f>SUMIF('数据-汇总表'!C$19:C$33,A14,'数据-汇总表'!E$19:E$33)</f>
        <v>726.52</v>
      </c>
      <c r="L14" s="2950">
        <v>2000</v>
      </c>
      <c r="M14" s="75">
        <f t="shared" si="0"/>
        <v>145</v>
      </c>
      <c r="N14" s="798">
        <f t="shared" si="3"/>
        <v>0.93</v>
      </c>
      <c r="O14" s="75" t="str">
        <f t="shared" si="4"/>
        <v>——</v>
      </c>
      <c r="P14" s="76" t="str">
        <f t="shared" si="5"/>
        <v>——</v>
      </c>
      <c r="Q14" s="1239"/>
      <c r="R14" s="77"/>
      <c r="S14" s="54"/>
      <c r="T14" s="1428"/>
      <c r="U14" s="720"/>
      <c r="V14" s="1241"/>
      <c r="W14" s="1241"/>
      <c r="X14" s="1242"/>
      <c r="Y14" s="1243"/>
      <c r="Z14" s="1244"/>
      <c r="AA14" s="1245"/>
      <c r="AB14" s="1245"/>
      <c r="AC14" s="1246"/>
      <c r="AD14" s="1242"/>
      <c r="AE14" s="1247"/>
      <c r="AF14" s="55"/>
      <c r="AG14" s="145"/>
      <c r="AH14" s="1247"/>
      <c r="AI14" s="1801"/>
      <c r="AJ14" s="770"/>
      <c r="AK14" s="1248"/>
      <c r="AL14" s="1249"/>
      <c r="AM14" s="1250"/>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7" customFormat="1" ht="27">
      <c r="A15" s="2291" t="s">
        <v>2009</v>
      </c>
      <c r="B15" s="2287" t="s">
        <v>2008</v>
      </c>
      <c r="C15" s="2292" t="s">
        <v>2010</v>
      </c>
      <c r="D15" s="1044"/>
      <c r="E15" s="1041"/>
      <c r="F15" s="72"/>
      <c r="G15" s="73"/>
      <c r="H15" s="1235"/>
      <c r="I15" s="1235"/>
      <c r="J15" s="1235"/>
      <c r="K15" s="1236">
        <f>SUMIF('数据-汇总表'!C$19:C$33,A15,'数据-汇总表'!E$19:E$33)</f>
        <v>0</v>
      </c>
      <c r="L15" s="1237"/>
      <c r="M15" s="75"/>
      <c r="N15" s="1238"/>
      <c r="O15" s="75"/>
      <c r="P15" s="76"/>
      <c r="Q15" s="1239"/>
      <c r="R15" s="77"/>
      <c r="S15" s="54"/>
      <c r="T15" s="1428"/>
      <c r="U15" s="720"/>
      <c r="V15" s="1241"/>
      <c r="W15" s="1241"/>
      <c r="X15" s="1242"/>
      <c r="Y15" s="1243"/>
      <c r="Z15" s="1244"/>
      <c r="AA15" s="1245"/>
      <c r="AB15" s="1245"/>
      <c r="AC15" s="1246"/>
      <c r="AD15" s="1242"/>
      <c r="AE15" s="1247"/>
      <c r="AF15" s="55"/>
      <c r="AG15" s="145"/>
      <c r="AH15" s="1247"/>
      <c r="AI15" s="1801"/>
      <c r="AJ15" s="770"/>
      <c r="AK15" s="1248"/>
      <c r="AL15" s="1249"/>
      <c r="AM15" s="1250"/>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7" customFormat="1" ht="15.75" thickBot="1">
      <c r="A16" s="2293" t="s">
        <v>2011</v>
      </c>
      <c r="B16" s="95"/>
      <c r="C16" s="998"/>
      <c r="D16" s="2294"/>
      <c r="E16" s="95"/>
      <c r="F16" s="95"/>
      <c r="G16" s="96">
        <f>ROUND(SUMPRODUCT(G6:G13,K6:K13)/SUMPRODUCT((G6:G13&gt;0)*(K6:K13)),3)</f>
        <v>0.94699999999999995</v>
      </c>
      <c r="H16" s="97">
        <f>ROUND(SUMPRODUCT(H6:H13,K6:K13)/SUMPRODUCT((H6:H13&gt;0)*(K6:K13)),3)</f>
        <v>0.05</v>
      </c>
      <c r="I16" s="98"/>
      <c r="J16" s="98"/>
      <c r="K16" s="99">
        <f>SUM(K6:K15)</f>
        <v>28703.600000000002</v>
      </c>
      <c r="L16" s="100">
        <f>ROUND(M16*10000/SUM(K6:K14),0)</f>
        <v>2975</v>
      </c>
      <c r="M16" s="100">
        <f>SUM(M6:M14)</f>
        <v>8538</v>
      </c>
      <c r="N16" s="101">
        <f>ROUND(SUMPRODUCT(M6:M14,N6:N14)/M16,3)</f>
        <v>0.93</v>
      </c>
      <c r="O16" s="100">
        <f>SUM(O6:O14)</f>
        <v>0</v>
      </c>
      <c r="P16" s="100">
        <f>SUM(P6:P14)</f>
        <v>0</v>
      </c>
      <c r="Q16" s="102">
        <f>ROUND(SUMPRODUCT(Q6:Q13,K6:K13)/SUMPRODUCT((Q6:Q13&gt;0)*(K6:K13)),2)</f>
        <v>0.21</v>
      </c>
      <c r="R16" s="1240">
        <f ca="1">SUM(R6:R13)</f>
        <v>2337.9100000000003</v>
      </c>
      <c r="S16" s="103">
        <f>SUM(S6:S13)</f>
        <v>726.52</v>
      </c>
      <c r="T16" s="104">
        <f>IF(SUMIF(T6:T13,"&lt;9E307")=M14,SUMIF(T6:T13,"&lt;9E307"),"有误，请检查")</f>
        <v>145</v>
      </c>
      <c r="U16" s="105"/>
      <c r="V16" s="106"/>
      <c r="W16" s="106"/>
      <c r="X16" s="109"/>
      <c r="Y16" s="107"/>
      <c r="Z16" s="108"/>
      <c r="AA16" s="106"/>
      <c r="AB16" s="106"/>
      <c r="AC16" s="109"/>
      <c r="AD16" s="109"/>
      <c r="AE16" s="105"/>
      <c r="AF16" s="106"/>
      <c r="AG16" s="107"/>
      <c r="AH16" s="105"/>
      <c r="AI16" s="108"/>
      <c r="AJ16" s="108"/>
      <c r="AK16" s="106"/>
      <c r="AL16" s="106"/>
      <c r="AM16" s="107"/>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5" thickBot="1">
      <c r="A17" s="2295"/>
      <c r="B17" s="729"/>
      <c r="C17" s="1567"/>
      <c r="D17" s="2253"/>
      <c r="E17" s="2253"/>
      <c r="F17" s="1567"/>
      <c r="G17" s="1567"/>
      <c r="H17" s="1567"/>
      <c r="I17" s="1567"/>
      <c r="J17" s="1567"/>
      <c r="K17" s="166"/>
      <c r="L17" s="166"/>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8" t="s">
        <v>2012</v>
      </c>
      <c r="B18" s="2260"/>
      <c r="C18" s="2257"/>
      <c r="D18" s="2258"/>
      <c r="E18" s="2257"/>
      <c r="F18" s="2257"/>
      <c r="G18" s="2257"/>
      <c r="H18" s="2257"/>
      <c r="I18" s="2257"/>
      <c r="J18" s="2257"/>
      <c r="K18" s="166"/>
      <c r="L18" s="166"/>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296" t="s">
        <v>2013</v>
      </c>
      <c r="B19" s="110">
        <v>0</v>
      </c>
      <c r="C19" s="2257" t="s">
        <v>2014</v>
      </c>
      <c r="D19" s="2258"/>
      <c r="E19" s="2257"/>
      <c r="F19" s="2257"/>
      <c r="G19" s="2257"/>
      <c r="H19" s="2257"/>
      <c r="I19" s="2257"/>
      <c r="J19" s="2257"/>
      <c r="K19" s="166"/>
      <c r="L19" s="166"/>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297" t="s">
        <v>2015</v>
      </c>
      <c r="B20" s="111">
        <v>2</v>
      </c>
      <c r="C20" s="2257" t="s">
        <v>2016</v>
      </c>
      <c r="D20" s="2258"/>
      <c r="E20" s="2257"/>
      <c r="F20" s="2257"/>
      <c r="G20" s="2257"/>
      <c r="H20" s="2257"/>
      <c r="I20" s="2257"/>
      <c r="J20" s="2257"/>
      <c r="K20" s="166"/>
      <c r="L20" s="166"/>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298" t="s">
        <v>2017</v>
      </c>
      <c r="B21" s="111">
        <v>2</v>
      </c>
      <c r="C21" s="2257"/>
      <c r="D21" s="2258"/>
      <c r="E21" s="2257"/>
      <c r="F21" s="2257"/>
      <c r="G21" s="2257"/>
      <c r="H21" s="2257"/>
      <c r="I21" s="2257"/>
      <c r="J21" s="2257"/>
      <c r="K21" s="166"/>
      <c r="L21" s="166"/>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297" t="s">
        <v>2018</v>
      </c>
      <c r="B22" s="112">
        <f>B19+B20</f>
        <v>2</v>
      </c>
      <c r="C22" s="2257"/>
      <c r="D22" s="2258"/>
      <c r="E22" s="2257"/>
      <c r="F22" s="2257"/>
      <c r="G22" s="2257"/>
      <c r="H22" s="2257"/>
      <c r="I22" s="2257"/>
      <c r="J22" s="2257"/>
      <c r="K22" s="166"/>
      <c r="L22" s="166"/>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298" t="s">
        <v>2019</v>
      </c>
      <c r="B23" s="112">
        <f>B19+B21</f>
        <v>2</v>
      </c>
      <c r="C23" s="2257"/>
      <c r="D23" s="2258"/>
      <c r="E23" s="2257"/>
      <c r="F23" s="2257"/>
      <c r="G23" s="2257"/>
      <c r="H23" s="2257"/>
      <c r="I23" s="2257"/>
      <c r="J23" s="2257"/>
      <c r="K23" s="166"/>
      <c r="L23" s="166"/>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299" t="s">
        <v>2020</v>
      </c>
      <c r="B24" s="113">
        <f>B20-B21</f>
        <v>0</v>
      </c>
      <c r="C24" s="2257"/>
      <c r="D24" s="2258"/>
      <c r="E24" s="2257"/>
      <c r="F24" s="2257"/>
      <c r="G24" s="2257"/>
      <c r="H24" s="2257"/>
      <c r="I24" s="2257"/>
      <c r="J24" s="2257"/>
      <c r="K24" s="166"/>
      <c r="L24" s="166"/>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0"/>
      <c r="C25" s="2257"/>
      <c r="D25" s="2258"/>
      <c r="E25" s="2257"/>
      <c r="F25" s="2257"/>
      <c r="G25" s="2257"/>
      <c r="H25" s="2257"/>
      <c r="I25" s="2257"/>
      <c r="J25" s="2257"/>
      <c r="K25" s="166"/>
      <c r="L25" s="166"/>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56" t="s">
        <v>2021</v>
      </c>
      <c r="B26" s="2300" t="s">
        <v>2022</v>
      </c>
      <c r="C26" s="2301" t="s">
        <v>2023</v>
      </c>
      <c r="D26" s="2258"/>
      <c r="E26" s="2257"/>
      <c r="F26" s="2257"/>
      <c r="G26" s="2257"/>
      <c r="H26" s="2257"/>
      <c r="I26" s="2257"/>
      <c r="J26" s="2257"/>
      <c r="K26" s="166"/>
      <c r="L26" s="166"/>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4" customFormat="1" ht="27.75">
      <c r="A27" s="2302" t="s">
        <v>2024</v>
      </c>
      <c r="B27" s="114">
        <v>165</v>
      </c>
      <c r="C27" s="1750" t="s">
        <v>2025</v>
      </c>
      <c r="D27" s="2303"/>
      <c r="E27" s="1412"/>
      <c r="F27" s="1412"/>
      <c r="G27" s="2257"/>
      <c r="H27" s="2257"/>
      <c r="I27" s="2257"/>
      <c r="J27" s="2257"/>
      <c r="K27" s="166"/>
      <c r="L27" s="166"/>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04" customFormat="1" ht="27.75">
      <c r="A28" s="2305" t="s">
        <v>2026</v>
      </c>
      <c r="B28" s="117">
        <v>220</v>
      </c>
      <c r="C28" s="2306"/>
      <c r="D28" s="2303"/>
      <c r="E28" s="1412"/>
      <c r="F28" s="1412"/>
      <c r="G28" s="2257"/>
      <c r="H28" s="2257"/>
      <c r="I28" s="2257"/>
      <c r="J28" s="2257"/>
      <c r="K28" s="166"/>
      <c r="L28" s="166"/>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04" customFormat="1" ht="28.5" thickBot="1">
      <c r="A29" s="2307" t="s">
        <v>2027</v>
      </c>
      <c r="B29" s="119">
        <v>0</v>
      </c>
      <c r="C29" s="1750" t="s">
        <v>2028</v>
      </c>
      <c r="D29" s="2303"/>
      <c r="E29" s="1412"/>
      <c r="F29" s="1412"/>
      <c r="G29" s="2257"/>
      <c r="H29" s="2257"/>
      <c r="I29" s="2257"/>
      <c r="J29" s="2257"/>
      <c r="K29" s="166"/>
      <c r="L29" s="166"/>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04" customFormat="1" ht="27">
      <c r="A30" s="2308" t="s">
        <v>2029</v>
      </c>
      <c r="B30" s="721">
        <v>200</v>
      </c>
      <c r="C30" s="2306"/>
      <c r="D30" s="2303"/>
      <c r="E30" s="1412"/>
      <c r="F30" s="1412"/>
      <c r="G30" s="2257"/>
      <c r="H30" s="2257"/>
      <c r="I30" s="2257"/>
      <c r="J30" s="2257"/>
      <c r="K30" s="166"/>
      <c r="L30" s="166"/>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04" customFormat="1" ht="27">
      <c r="A31" s="2305" t="s">
        <v>2030</v>
      </c>
      <c r="B31" s="118">
        <f>B30-B32</f>
        <v>200</v>
      </c>
      <c r="C31" s="1750"/>
      <c r="D31" s="2303"/>
      <c r="E31" s="1412"/>
      <c r="F31" s="1412"/>
      <c r="G31" s="2257"/>
      <c r="H31" s="2257"/>
      <c r="I31" s="2257"/>
      <c r="J31" s="2257"/>
      <c r="K31" s="166"/>
      <c r="L31" s="166"/>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04" customFormat="1" ht="27.75" thickBot="1">
      <c r="A32" s="2309" t="s">
        <v>2031</v>
      </c>
      <c r="B32" s="722">
        <v>0</v>
      </c>
      <c r="C32" s="2306"/>
      <c r="D32" s="2258"/>
      <c r="E32" s="2257"/>
      <c r="F32" s="2257"/>
      <c r="G32" s="2257"/>
      <c r="H32" s="2257"/>
      <c r="I32" s="2257"/>
      <c r="J32" s="2257"/>
      <c r="K32" s="166"/>
      <c r="L32" s="166"/>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04" customFormat="1" ht="14.25">
      <c r="A33" s="2302" t="s">
        <v>2032</v>
      </c>
      <c r="B33" s="723">
        <v>0.03</v>
      </c>
      <c r="C33" s="1749" t="s">
        <v>2033</v>
      </c>
      <c r="D33" s="2258"/>
      <c r="E33" s="2257"/>
      <c r="F33" s="2257"/>
      <c r="G33" s="2257"/>
      <c r="H33" s="2257"/>
      <c r="I33" s="2257"/>
      <c r="J33" s="2257"/>
      <c r="K33" s="166"/>
      <c r="L33" s="166"/>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04" customFormat="1" ht="14.25">
      <c r="A34" s="2305" t="s">
        <v>2034</v>
      </c>
      <c r="B34" s="120">
        <v>0</v>
      </c>
      <c r="C34" s="1749" t="s">
        <v>2035</v>
      </c>
      <c r="D34" s="2258" t="s">
        <v>2036</v>
      </c>
      <c r="E34" s="729"/>
      <c r="F34" s="2257"/>
      <c r="G34" s="2257"/>
      <c r="H34" s="2257"/>
      <c r="I34" s="2257"/>
      <c r="J34" s="2257"/>
      <c r="K34" s="166"/>
      <c r="L34" s="166"/>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04" customFormat="1" ht="14.25">
      <c r="A35" s="2305" t="s">
        <v>2037</v>
      </c>
      <c r="B35" s="117">
        <v>200</v>
      </c>
      <c r="C35" s="1749" t="s">
        <v>2038</v>
      </c>
      <c r="D35" s="2303"/>
      <c r="E35" s="1412"/>
      <c r="F35" s="1412"/>
      <c r="G35" s="2257"/>
      <c r="H35" s="2257"/>
      <c r="I35" s="2257"/>
      <c r="J35" s="2257"/>
      <c r="K35" s="166"/>
      <c r="L35" s="166"/>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07" t="s">
        <v>2039</v>
      </c>
      <c r="B36" s="121">
        <v>1.4999999999999999E-2</v>
      </c>
      <c r="C36" s="1749" t="s">
        <v>2040</v>
      </c>
      <c r="D36" s="2258"/>
      <c r="E36" s="2257"/>
      <c r="F36" s="2257"/>
      <c r="G36" s="2257"/>
      <c r="H36" s="2257"/>
      <c r="I36" s="2257"/>
      <c r="J36" s="2257"/>
      <c r="K36" s="166"/>
      <c r="L36" s="166"/>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08" t="s">
        <v>2041</v>
      </c>
      <c r="B37" s="122">
        <v>1.4999999999999999E-2</v>
      </c>
      <c r="C37" s="1749" t="s">
        <v>2042</v>
      </c>
      <c r="D37" s="2258"/>
      <c r="E37" s="2257"/>
      <c r="F37" s="2257"/>
      <c r="G37" s="2257"/>
      <c r="H37" s="2257"/>
      <c r="I37" s="2257"/>
      <c r="J37" s="2257"/>
      <c r="K37" s="166"/>
      <c r="L37" s="166"/>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5" t="s">
        <v>2043</v>
      </c>
      <c r="B38" s="120">
        <v>2.5000000000000001E-2</v>
      </c>
      <c r="C38" s="1749" t="s">
        <v>2042</v>
      </c>
      <c r="D38" s="2258"/>
      <c r="E38" s="2257"/>
      <c r="F38" s="2257"/>
      <c r="G38" s="2257"/>
      <c r="H38" s="2257"/>
      <c r="I38" s="2257"/>
      <c r="J38" s="2257"/>
      <c r="K38" s="166"/>
      <c r="L38" s="166"/>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09" t="s">
        <v>2044</v>
      </c>
      <c r="B39" s="360">
        <f ca="1">存贷款利率!I1</f>
        <v>1.4999999999999999E-2</v>
      </c>
      <c r="C39" s="1749"/>
      <c r="D39" s="2258"/>
      <c r="E39" s="2257"/>
      <c r="F39" s="2257"/>
      <c r="G39" s="2257"/>
      <c r="H39" s="2257"/>
      <c r="I39" s="2257"/>
      <c r="J39" s="2257"/>
      <c r="K39" s="166"/>
      <c r="L39" s="166"/>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09" t="s">
        <v>2045</v>
      </c>
      <c r="B40" s="1285">
        <f ca="1">存贷款利率!G1</f>
        <v>4.7500000000000001E-2</v>
      </c>
      <c r="C40" s="1749" t="s">
        <v>2046</v>
      </c>
      <c r="D40" s="1567"/>
      <c r="E40" s="2258"/>
      <c r="F40" s="2257"/>
      <c r="G40" s="2257"/>
      <c r="H40" s="2257"/>
      <c r="I40" s="2257"/>
      <c r="J40" s="2257"/>
      <c r="K40" s="166"/>
      <c r="L40" s="166"/>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2" t="s">
        <v>2047</v>
      </c>
      <c r="B41" s="123">
        <f>B42+B43</f>
        <v>5.6500000000000002E-2</v>
      </c>
      <c r="C41" s="1750"/>
      <c r="D41" s="1567"/>
      <c r="E41" s="2258"/>
      <c r="F41" s="2257"/>
      <c r="G41" s="2257"/>
      <c r="H41" s="2257"/>
      <c r="I41" s="2257"/>
      <c r="J41" s="2257"/>
      <c r="K41" s="166"/>
      <c r="L41" s="166"/>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0" t="s">
        <v>2048</v>
      </c>
      <c r="B42" s="124">
        <v>0.05</v>
      </c>
      <c r="C42" s="2311">
        <f>IF(B2&lt;DATE(2016,5,1),0,B42)</f>
        <v>0.05</v>
      </c>
      <c r="D42" s="2258"/>
      <c r="E42" s="2257"/>
      <c r="F42" s="2257"/>
      <c r="G42" s="2257"/>
      <c r="H42" s="2257"/>
      <c r="I42" s="2257"/>
      <c r="J42" s="2257"/>
      <c r="K42" s="166"/>
      <c r="L42" s="166"/>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0" t="s">
        <v>2049</v>
      </c>
      <c r="B43" s="125">
        <f>B42*(B44+B45+B46)+B47</f>
        <v>6.5000000000000006E-3</v>
      </c>
      <c r="C43" s="1750"/>
      <c r="D43" s="2258"/>
      <c r="E43" s="2257"/>
      <c r="F43" s="2257"/>
      <c r="G43" s="2257"/>
      <c r="H43" s="2257"/>
      <c r="I43" s="2257"/>
      <c r="J43" s="2257"/>
      <c r="K43" s="166"/>
      <c r="L43" s="166"/>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2" t="s">
        <v>2050</v>
      </c>
      <c r="B44" s="126">
        <v>7.0000000000000007E-2</v>
      </c>
      <c r="C44" s="1749" t="s">
        <v>2051</v>
      </c>
      <c r="D44" s="2258"/>
      <c r="E44" s="2257"/>
      <c r="F44" s="2257"/>
      <c r="G44" s="2257"/>
      <c r="H44" s="2257"/>
      <c r="I44" s="2257"/>
      <c r="J44" s="2257"/>
      <c r="K44" s="166"/>
      <c r="L44" s="166"/>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2" t="s">
        <v>2052</v>
      </c>
      <c r="B45" s="124">
        <v>0.03</v>
      </c>
      <c r="C45" s="1750" t="s">
        <v>2053</v>
      </c>
      <c r="D45" s="2258"/>
      <c r="E45" s="2257"/>
      <c r="F45" s="2257"/>
      <c r="G45" s="2257"/>
      <c r="H45" s="2257"/>
      <c r="I45" s="2257"/>
      <c r="J45" s="2257"/>
      <c r="K45" s="166"/>
      <c r="L45" s="166"/>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2" t="s">
        <v>2054</v>
      </c>
      <c r="B46" s="124">
        <v>0.02</v>
      </c>
      <c r="C46" s="1750" t="s">
        <v>2055</v>
      </c>
      <c r="D46" s="2258"/>
      <c r="E46" s="2257"/>
      <c r="F46" s="2257"/>
      <c r="G46" s="2257"/>
      <c r="H46" s="2257"/>
      <c r="I46" s="2257"/>
      <c r="J46" s="2257"/>
      <c r="K46" s="166"/>
      <c r="L46" s="166"/>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3" t="s">
        <v>2056</v>
      </c>
      <c r="B47" s="127">
        <v>5.0000000000000001E-4</v>
      </c>
      <c r="C47" s="1750" t="s">
        <v>2057</v>
      </c>
      <c r="D47" s="2258"/>
      <c r="E47" s="2257"/>
      <c r="F47" s="2257"/>
      <c r="G47" s="2257"/>
      <c r="H47" s="2257"/>
      <c r="I47" s="2257"/>
      <c r="J47" s="2257"/>
      <c r="K47" s="166"/>
      <c r="L47" s="166"/>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4" t="s">
        <v>2058</v>
      </c>
      <c r="B48" s="128">
        <v>0.03</v>
      </c>
      <c r="C48" s="1757" t="s">
        <v>2059</v>
      </c>
      <c r="D48" s="2258"/>
      <c r="E48" s="2257"/>
      <c r="F48" s="2257"/>
      <c r="G48" s="2257"/>
      <c r="H48" s="2257"/>
      <c r="I48" s="2257"/>
      <c r="J48" s="2257"/>
      <c r="K48" s="166"/>
      <c r="L48" s="166"/>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09" t="s">
        <v>2060</v>
      </c>
      <c r="B49" s="124">
        <v>5.0000000000000001E-4</v>
      </c>
      <c r="C49" s="1757" t="s">
        <v>2061</v>
      </c>
      <c r="D49" s="2258"/>
      <c r="E49" s="2257"/>
      <c r="F49" s="2257"/>
      <c r="G49" s="2257"/>
      <c r="H49" s="2257"/>
      <c r="I49" s="2257"/>
      <c r="J49" s="2257"/>
      <c r="K49" s="166"/>
      <c r="L49" s="166"/>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5" t="s">
        <v>2062</v>
      </c>
      <c r="B50" s="129">
        <v>1.2E-2</v>
      </c>
      <c r="C50" s="1412"/>
      <c r="D50" s="2258"/>
      <c r="E50" s="2257"/>
      <c r="F50" s="2257"/>
      <c r="G50" s="2257"/>
      <c r="H50" s="2257"/>
      <c r="I50" s="2257"/>
      <c r="J50" s="2257"/>
      <c r="K50" s="166"/>
      <c r="L50" s="166"/>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07" t="s">
        <v>2063</v>
      </c>
      <c r="B51" s="130">
        <v>0.12</v>
      </c>
      <c r="C51" s="1412"/>
      <c r="D51" s="2258"/>
      <c r="E51" s="2257"/>
      <c r="F51" s="2257"/>
      <c r="G51" s="2257"/>
      <c r="H51" s="2257"/>
      <c r="I51" s="2257"/>
      <c r="J51" s="2257"/>
      <c r="K51" s="166"/>
      <c r="L51" s="166"/>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5" t="s">
        <v>2064</v>
      </c>
      <c r="B52" s="131">
        <f>SUMIF(A54:A63,B53,B54:B63)</f>
        <v>5</v>
      </c>
      <c r="C52" s="1412"/>
      <c r="D52" s="2258"/>
      <c r="E52" s="2257"/>
      <c r="F52" s="2257"/>
      <c r="G52" s="2257"/>
      <c r="H52" s="2257"/>
      <c r="I52" s="2257"/>
      <c r="J52" s="2257"/>
      <c r="K52" s="166"/>
      <c r="L52" s="166"/>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5" t="s">
        <v>2065</v>
      </c>
      <c r="B53" s="2316" t="s">
        <v>523</v>
      </c>
      <c r="C53" s="1412" t="s">
        <v>2066</v>
      </c>
      <c r="D53" s="2317" t="s">
        <v>2067</v>
      </c>
      <c r="E53" s="2257"/>
      <c r="F53" s="2257"/>
      <c r="G53" s="2257"/>
      <c r="H53" s="2257"/>
      <c r="I53" s="2257"/>
      <c r="J53" s="2257"/>
      <c r="K53" s="166"/>
      <c r="L53" s="166"/>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18" t="s">
        <v>2068</v>
      </c>
      <c r="B54" s="84">
        <v>25</v>
      </c>
      <c r="C54" s="1412">
        <v>30</v>
      </c>
      <c r="D54" s="2258"/>
      <c r="E54" s="2257"/>
      <c r="F54" s="2257"/>
      <c r="G54" s="2257"/>
      <c r="H54" s="2257"/>
      <c r="I54" s="2257"/>
      <c r="J54" s="2257"/>
      <c r="K54" s="166"/>
      <c r="L54" s="166"/>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18" t="s">
        <v>2069</v>
      </c>
      <c r="B55" s="84">
        <v>20</v>
      </c>
      <c r="C55" s="1412">
        <v>24</v>
      </c>
      <c r="D55" s="2258"/>
      <c r="E55" s="2257"/>
      <c r="F55" s="2257"/>
      <c r="G55" s="2257"/>
      <c r="H55" s="2257"/>
      <c r="I55" s="2319"/>
      <c r="J55" s="2257"/>
      <c r="K55" s="166"/>
      <c r="L55" s="166"/>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18" t="s">
        <v>2070</v>
      </c>
      <c r="B56" s="84">
        <v>15</v>
      </c>
      <c r="C56" s="1412">
        <v>18</v>
      </c>
      <c r="D56" s="2258"/>
      <c r="E56" s="2257"/>
      <c r="F56" s="2257"/>
      <c r="G56" s="2257"/>
      <c r="H56" s="2257"/>
      <c r="I56" s="2257"/>
      <c r="J56" s="2257"/>
      <c r="K56" s="166"/>
      <c r="L56" s="166"/>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18" t="s">
        <v>2071</v>
      </c>
      <c r="B57" s="84">
        <v>10</v>
      </c>
      <c r="C57" s="1412">
        <v>12</v>
      </c>
      <c r="D57" s="2258"/>
      <c r="E57" s="2257"/>
      <c r="F57" s="2257"/>
      <c r="G57" s="2257"/>
      <c r="H57" s="2257"/>
      <c r="I57" s="2257"/>
      <c r="J57" s="2257"/>
      <c r="K57" s="166"/>
      <c r="L57" s="166"/>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18" t="s">
        <v>2072</v>
      </c>
      <c r="B58" s="84">
        <v>5</v>
      </c>
      <c r="C58" s="1412">
        <v>3</v>
      </c>
      <c r="D58" s="2258"/>
      <c r="E58" s="2257"/>
      <c r="F58" s="2257"/>
      <c r="G58" s="2257"/>
      <c r="H58" s="2257"/>
      <c r="I58" s="2257"/>
      <c r="J58" s="2257"/>
      <c r="K58" s="166"/>
      <c r="L58" s="166"/>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18" t="s">
        <v>2073</v>
      </c>
      <c r="B59" s="84">
        <v>1.5</v>
      </c>
      <c r="C59" s="1412">
        <v>1.5</v>
      </c>
      <c r="D59" s="2258"/>
      <c r="E59" s="2257"/>
      <c r="F59" s="2257"/>
      <c r="G59" s="2257"/>
      <c r="H59" s="2257"/>
      <c r="I59" s="2257"/>
      <c r="J59" s="2257"/>
      <c r="K59" s="166"/>
      <c r="L59" s="166"/>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18" t="s">
        <v>2074</v>
      </c>
      <c r="B60" s="84">
        <v>1</v>
      </c>
      <c r="C60" s="2257"/>
      <c r="D60" s="2258"/>
      <c r="E60" s="2257"/>
      <c r="F60" s="2257"/>
      <c r="G60" s="2257"/>
      <c r="H60" s="2257"/>
      <c r="I60" s="2257"/>
      <c r="J60" s="2257"/>
      <c r="K60" s="166"/>
      <c r="L60" s="166"/>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18" t="s">
        <v>2075</v>
      </c>
      <c r="B61" s="84"/>
      <c r="C61" s="2257"/>
      <c r="D61" s="2258"/>
      <c r="E61" s="2257"/>
      <c r="F61" s="2257"/>
      <c r="G61" s="2257"/>
      <c r="H61" s="2257"/>
      <c r="I61" s="2257"/>
      <c r="J61" s="2257"/>
      <c r="K61" s="166"/>
      <c r="L61" s="166"/>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18" t="s">
        <v>2076</v>
      </c>
      <c r="B62" s="84"/>
      <c r="C62" s="2257"/>
      <c r="D62" s="2258"/>
      <c r="E62" s="2257"/>
      <c r="F62" s="2257"/>
      <c r="G62" s="2257"/>
      <c r="H62" s="2257"/>
      <c r="I62" s="2257"/>
      <c r="J62" s="2257"/>
      <c r="K62" s="166"/>
      <c r="L62" s="166"/>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0" t="s">
        <v>2077</v>
      </c>
      <c r="B63" s="132"/>
      <c r="C63" s="2257"/>
      <c r="D63" s="2258"/>
      <c r="E63" s="2257"/>
      <c r="F63" s="2257"/>
      <c r="G63" s="2257"/>
      <c r="H63" s="2257"/>
      <c r="I63" s="2257"/>
      <c r="J63" s="2257"/>
      <c r="K63" s="166"/>
      <c r="L63" s="166"/>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7" customFormat="1">
      <c r="A64" s="2321"/>
      <c r="D64" s="2322"/>
      <c r="K64" s="795"/>
      <c r="L64" s="795"/>
    </row>
    <row r="65" spans="1:12" s="957" customFormat="1">
      <c r="A65" s="2321"/>
      <c r="D65" s="2322"/>
      <c r="K65" s="795"/>
      <c r="L65" s="795"/>
    </row>
    <row r="66" spans="1:12" s="957" customFormat="1">
      <c r="A66" s="2321"/>
      <c r="D66" s="2322"/>
      <c r="K66" s="795"/>
      <c r="L66" s="795"/>
    </row>
    <row r="67" spans="1:12" s="957" customFormat="1">
      <c r="A67" s="2321"/>
      <c r="D67" s="2322"/>
      <c r="K67" s="795"/>
      <c r="L67" s="795"/>
    </row>
    <row r="68" spans="1:12" s="957" customFormat="1">
      <c r="A68" s="2321"/>
      <c r="D68" s="2322"/>
      <c r="K68" s="795"/>
      <c r="L68" s="795"/>
    </row>
    <row r="69" spans="1:12" s="957" customFormat="1">
      <c r="A69" s="2321"/>
      <c r="D69" s="2322"/>
      <c r="K69" s="795"/>
      <c r="L69" s="795"/>
    </row>
    <row r="70" spans="1:12" s="957" customFormat="1">
      <c r="A70" s="2321"/>
      <c r="D70" s="2322"/>
      <c r="K70" s="795"/>
      <c r="L70" s="795"/>
    </row>
    <row r="71" spans="1:12" s="957" customFormat="1">
      <c r="A71" s="2321"/>
      <c r="D71" s="2322"/>
      <c r="K71" s="795"/>
      <c r="L71" s="795"/>
    </row>
    <row r="72" spans="1:12" s="957" customFormat="1">
      <c r="A72" s="2321"/>
      <c r="D72" s="2322"/>
      <c r="K72" s="795"/>
      <c r="L72" s="795"/>
    </row>
    <row r="73" spans="1:12" s="957" customFormat="1">
      <c r="A73" s="2321"/>
      <c r="D73" s="2322"/>
      <c r="K73" s="795"/>
      <c r="L73" s="795"/>
    </row>
    <row r="74" spans="1:12" s="957" customFormat="1">
      <c r="A74" s="2321"/>
      <c r="D74" s="2322"/>
      <c r="K74" s="795"/>
      <c r="L74" s="795"/>
    </row>
    <row r="75" spans="1:12" s="957" customFormat="1">
      <c r="A75" s="2321"/>
      <c r="D75" s="2322"/>
      <c r="K75" s="795"/>
      <c r="L75" s="795"/>
    </row>
    <row r="76" spans="1:12" s="957" customFormat="1">
      <c r="A76" s="2321"/>
      <c r="D76" s="2322"/>
      <c r="K76" s="795"/>
      <c r="L76" s="795"/>
    </row>
    <row r="77" spans="1:12" s="957" customFormat="1">
      <c r="A77" s="2321"/>
      <c r="D77" s="2322"/>
      <c r="K77" s="795"/>
      <c r="L77" s="795"/>
    </row>
    <row r="78" spans="1:12" s="957" customFormat="1">
      <c r="A78" s="2321"/>
      <c r="D78" s="2322"/>
      <c r="K78" s="795"/>
      <c r="L78" s="795"/>
    </row>
    <row r="79" spans="1:12" s="957" customFormat="1">
      <c r="A79" s="2321"/>
      <c r="D79" s="2322"/>
      <c r="K79" s="795"/>
      <c r="L79" s="795"/>
    </row>
    <row r="80" spans="1:12" s="957" customFormat="1">
      <c r="A80" s="2321"/>
      <c r="D80" s="2322"/>
      <c r="K80" s="795"/>
      <c r="L80" s="795"/>
    </row>
    <row r="81" spans="1:12" s="957" customFormat="1">
      <c r="A81" s="2321"/>
      <c r="D81" s="2322"/>
      <c r="K81" s="795"/>
      <c r="L81" s="795"/>
    </row>
    <row r="82" spans="1:12" s="957" customFormat="1">
      <c r="A82" s="2321"/>
      <c r="D82" s="2322"/>
      <c r="K82" s="795"/>
      <c r="L82" s="795"/>
    </row>
    <row r="83" spans="1:12" s="957" customFormat="1">
      <c r="A83" s="2321"/>
      <c r="D83" s="2322"/>
      <c r="K83" s="795"/>
      <c r="L83" s="795"/>
    </row>
    <row r="84" spans="1:12" s="957" customFormat="1">
      <c r="A84" s="2321"/>
      <c r="D84" s="2322"/>
      <c r="K84" s="795"/>
      <c r="L84" s="795"/>
    </row>
    <row r="85" spans="1:12" s="957" customFormat="1">
      <c r="A85" s="2321"/>
      <c r="D85" s="2322"/>
      <c r="K85" s="795"/>
      <c r="L85" s="795"/>
    </row>
    <row r="86" spans="1:12" s="957" customFormat="1">
      <c r="A86" s="2321"/>
      <c r="D86" s="2322"/>
      <c r="K86" s="795"/>
      <c r="L86" s="795"/>
    </row>
    <row r="87" spans="1:12" s="957" customFormat="1">
      <c r="A87" s="2321"/>
      <c r="D87" s="2322"/>
      <c r="K87" s="795"/>
      <c r="L87" s="795"/>
    </row>
    <row r="88" spans="1:12" s="957" customFormat="1">
      <c r="A88" s="2321"/>
      <c r="D88" s="2322"/>
      <c r="K88" s="795"/>
      <c r="L88" s="795"/>
    </row>
    <row r="89" spans="1:12" s="957" customFormat="1">
      <c r="A89" s="2321"/>
      <c r="D89" s="2322"/>
      <c r="K89" s="795"/>
      <c r="L89" s="795"/>
    </row>
    <row r="90" spans="1:12" s="957" customFormat="1">
      <c r="A90" s="2321"/>
      <c r="D90" s="2322"/>
      <c r="K90" s="795"/>
      <c r="L90" s="795"/>
    </row>
    <row r="91" spans="1:12" s="957" customFormat="1">
      <c r="A91" s="2321"/>
      <c r="D91" s="2322"/>
      <c r="K91" s="795"/>
      <c r="L91" s="795"/>
    </row>
    <row r="92" spans="1:12" s="957" customFormat="1">
      <c r="A92" s="2321"/>
      <c r="D92" s="2322"/>
      <c r="K92" s="795"/>
      <c r="L92" s="795"/>
    </row>
    <row r="93" spans="1:12" s="957" customFormat="1">
      <c r="A93" s="2321"/>
      <c r="D93" s="2322"/>
      <c r="K93" s="795"/>
      <c r="L93" s="795"/>
    </row>
    <row r="94" spans="1:12" s="957" customFormat="1">
      <c r="A94" s="2321"/>
      <c r="D94" s="2322"/>
      <c r="K94" s="795"/>
      <c r="L94" s="795"/>
    </row>
    <row r="95" spans="1:12" s="957" customFormat="1">
      <c r="A95" s="2321"/>
      <c r="D95" s="2322"/>
      <c r="K95" s="795"/>
      <c r="L95" s="795"/>
    </row>
    <row r="96" spans="1:12" s="957" customFormat="1">
      <c r="A96" s="2321"/>
      <c r="D96" s="2322"/>
      <c r="K96" s="795"/>
      <c r="L96" s="795"/>
    </row>
    <row r="97" spans="1:12" s="957" customFormat="1">
      <c r="A97" s="2321"/>
      <c r="D97" s="2322"/>
      <c r="K97" s="795"/>
      <c r="L97" s="795"/>
    </row>
    <row r="98" spans="1:12" s="957" customFormat="1">
      <c r="A98" s="2321"/>
      <c r="D98" s="2322"/>
      <c r="K98" s="795"/>
      <c r="L98" s="795"/>
    </row>
    <row r="99" spans="1:12" s="957" customFormat="1">
      <c r="A99" s="2321"/>
      <c r="D99" s="2322"/>
      <c r="K99" s="795"/>
      <c r="L99" s="795"/>
    </row>
    <row r="100" spans="1:12" s="957" customFormat="1">
      <c r="A100" s="2321"/>
      <c r="D100" s="2322"/>
      <c r="K100" s="795"/>
      <c r="L100" s="795"/>
    </row>
    <row r="101" spans="1:12" s="957" customFormat="1">
      <c r="A101" s="2321"/>
      <c r="D101" s="2322"/>
      <c r="K101" s="795"/>
      <c r="L101" s="795"/>
    </row>
    <row r="102" spans="1:12" s="957" customFormat="1">
      <c r="A102" s="2321"/>
      <c r="D102" s="2322"/>
      <c r="K102" s="795"/>
      <c r="L102" s="795"/>
    </row>
    <row r="103" spans="1:12" s="957" customFormat="1">
      <c r="A103" s="2321"/>
      <c r="D103" s="2322"/>
      <c r="K103" s="795"/>
      <c r="L103" s="795"/>
    </row>
    <row r="104" spans="1:12" s="957" customFormat="1">
      <c r="A104" s="2321"/>
      <c r="D104" s="2322"/>
      <c r="K104" s="795"/>
      <c r="L104" s="795"/>
    </row>
    <row r="105" spans="1:12" s="957" customFormat="1">
      <c r="A105" s="2321"/>
      <c r="D105" s="2322"/>
      <c r="K105" s="795"/>
      <c r="L105" s="795"/>
    </row>
    <row r="106" spans="1:12" s="957" customFormat="1">
      <c r="A106" s="2321"/>
      <c r="D106" s="2322"/>
      <c r="K106" s="795"/>
      <c r="L106" s="795"/>
    </row>
    <row r="107" spans="1:12" s="957" customFormat="1">
      <c r="A107" s="2321"/>
      <c r="D107" s="2322"/>
      <c r="K107" s="795"/>
      <c r="L107" s="795"/>
    </row>
    <row r="108" spans="1:12" s="957" customFormat="1">
      <c r="A108" s="2321"/>
      <c r="D108" s="2322"/>
      <c r="K108" s="795"/>
      <c r="L108" s="795"/>
    </row>
    <row r="109" spans="1:12" s="957" customFormat="1">
      <c r="A109" s="2321"/>
      <c r="D109" s="2322"/>
      <c r="K109" s="795"/>
      <c r="L109" s="795"/>
    </row>
    <row r="110" spans="1:12" s="957" customFormat="1">
      <c r="A110" s="2321"/>
      <c r="D110" s="2322"/>
      <c r="K110" s="795"/>
      <c r="L110" s="795"/>
    </row>
    <row r="111" spans="1:12" s="957" customFormat="1">
      <c r="A111" s="2321"/>
      <c r="D111" s="2322"/>
      <c r="K111" s="795"/>
      <c r="L111" s="795"/>
    </row>
    <row r="112" spans="1:12" s="957" customFormat="1">
      <c r="A112" s="2321"/>
      <c r="D112" s="2322"/>
      <c r="K112" s="795"/>
      <c r="L112" s="795"/>
    </row>
    <row r="113" spans="1:12" s="957" customFormat="1">
      <c r="A113" s="2321"/>
      <c r="D113" s="2322"/>
      <c r="K113" s="795"/>
      <c r="L113" s="795"/>
    </row>
    <row r="114" spans="1:12" s="957" customFormat="1">
      <c r="A114" s="2321"/>
      <c r="D114" s="2322"/>
      <c r="K114" s="795"/>
      <c r="L114" s="795"/>
    </row>
    <row r="115" spans="1:12" s="957" customFormat="1">
      <c r="A115" s="2321"/>
      <c r="D115" s="2322"/>
      <c r="K115" s="795"/>
      <c r="L115" s="795"/>
    </row>
    <row r="116" spans="1:12" s="957" customFormat="1">
      <c r="A116" s="2321"/>
      <c r="D116" s="2322"/>
      <c r="K116" s="795"/>
      <c r="L116" s="795"/>
    </row>
    <row r="117" spans="1:12" s="957" customFormat="1">
      <c r="A117" s="2321"/>
      <c r="D117" s="2322"/>
      <c r="K117" s="795"/>
      <c r="L117" s="795"/>
    </row>
    <row r="118" spans="1:12" s="957" customFormat="1">
      <c r="A118" s="2321"/>
      <c r="D118" s="2322"/>
      <c r="K118" s="795"/>
      <c r="L118" s="795"/>
    </row>
    <row r="119" spans="1:12" s="957" customFormat="1">
      <c r="A119" s="2321"/>
      <c r="D119" s="2322"/>
      <c r="K119" s="795"/>
      <c r="L119" s="795"/>
    </row>
    <row r="120" spans="1:12" s="957" customFormat="1">
      <c r="A120" s="2321"/>
      <c r="D120" s="2322"/>
      <c r="K120" s="795"/>
      <c r="L120" s="795"/>
    </row>
    <row r="121" spans="1:12" s="957" customFormat="1">
      <c r="A121" s="2321"/>
      <c r="D121" s="2322"/>
      <c r="K121" s="795"/>
      <c r="L121" s="795"/>
    </row>
    <row r="122" spans="1:12" s="957" customFormat="1">
      <c r="A122" s="2321"/>
      <c r="D122" s="2322"/>
      <c r="K122" s="795"/>
      <c r="L122" s="795"/>
    </row>
    <row r="123" spans="1:12" s="957" customFormat="1">
      <c r="A123" s="2321"/>
      <c r="D123" s="2322"/>
      <c r="K123" s="795"/>
      <c r="L123" s="795"/>
    </row>
    <row r="124" spans="1:12" s="957" customFormat="1">
      <c r="A124" s="2321"/>
      <c r="D124" s="2322"/>
      <c r="K124" s="795"/>
      <c r="L124" s="795"/>
    </row>
    <row r="125" spans="1:12" s="957" customFormat="1">
      <c r="A125" s="2321"/>
      <c r="D125" s="2322"/>
      <c r="K125" s="795"/>
      <c r="L125" s="795"/>
    </row>
    <row r="126" spans="1:12" s="957" customFormat="1">
      <c r="A126" s="2321"/>
      <c r="D126" s="2322"/>
      <c r="K126" s="795"/>
      <c r="L126" s="795"/>
    </row>
    <row r="127" spans="1:12" s="957" customFormat="1">
      <c r="A127" s="2321"/>
      <c r="D127" s="2322"/>
      <c r="K127" s="795"/>
      <c r="L127" s="795"/>
    </row>
    <row r="128" spans="1:12" s="957" customFormat="1">
      <c r="A128" s="2321"/>
      <c r="D128" s="2322"/>
      <c r="K128" s="795"/>
      <c r="L128" s="795"/>
    </row>
    <row r="129" spans="1:12" s="957" customFormat="1">
      <c r="A129" s="2321"/>
      <c r="D129" s="2322"/>
      <c r="K129" s="795"/>
      <c r="L129" s="795"/>
    </row>
    <row r="130" spans="1:12" s="957" customFormat="1">
      <c r="A130" s="2321"/>
      <c r="D130" s="2322"/>
      <c r="K130" s="795"/>
      <c r="L130" s="795"/>
    </row>
    <row r="131" spans="1:12" s="957" customFormat="1">
      <c r="A131" s="2321"/>
      <c r="D131" s="2322"/>
      <c r="K131" s="795"/>
      <c r="L131" s="795"/>
    </row>
    <row r="132" spans="1:12" s="957" customFormat="1">
      <c r="A132" s="2321"/>
      <c r="D132" s="2322"/>
      <c r="K132" s="795"/>
      <c r="L132" s="795"/>
    </row>
    <row r="133" spans="1:12" s="957" customFormat="1">
      <c r="A133" s="2321"/>
      <c r="D133" s="2322"/>
      <c r="K133" s="795"/>
      <c r="L133" s="795"/>
    </row>
    <row r="134" spans="1:12" s="2254" customFormat="1">
      <c r="A134" s="2323"/>
      <c r="D134" s="2324"/>
      <c r="K134" s="27"/>
      <c r="L134" s="27"/>
    </row>
    <row r="135" spans="1:12" s="2254" customFormat="1">
      <c r="A135" s="2323"/>
      <c r="D135" s="2324"/>
      <c r="K135" s="27"/>
      <c r="L135" s="27"/>
    </row>
    <row r="136" spans="1:12" s="2254" customFormat="1">
      <c r="A136" s="2323"/>
      <c r="D136" s="2324"/>
      <c r="K136" s="27"/>
      <c r="L136" s="27"/>
    </row>
    <row r="137" spans="1:12" s="2254" customFormat="1">
      <c r="A137" s="2323"/>
      <c r="D137" s="2324"/>
      <c r="K137" s="27"/>
      <c r="L137" s="27"/>
    </row>
    <row r="138" spans="1:12" s="2254" customFormat="1">
      <c r="A138" s="2323"/>
      <c r="D138" s="2324"/>
      <c r="K138" s="27"/>
      <c r="L138" s="27"/>
    </row>
    <row r="139" spans="1:12" s="2254" customFormat="1">
      <c r="A139" s="2323"/>
      <c r="D139" s="2324"/>
      <c r="K139" s="27"/>
      <c r="L139" s="27"/>
    </row>
    <row r="140" spans="1:12" s="2254" customFormat="1">
      <c r="A140" s="2323"/>
      <c r="D140" s="2324"/>
      <c r="K140" s="27"/>
      <c r="L140" s="27"/>
    </row>
    <row r="141" spans="1:12" s="2254" customFormat="1">
      <c r="A141" s="2323"/>
      <c r="D141" s="2324"/>
      <c r="K141" s="27"/>
      <c r="L141" s="27"/>
    </row>
    <row r="142" spans="1:12" s="2254" customFormat="1">
      <c r="A142" s="2323"/>
      <c r="D142" s="2324"/>
      <c r="K142" s="27"/>
      <c r="L142" s="27"/>
    </row>
    <row r="143" spans="1:12" s="2254" customFormat="1">
      <c r="A143" s="2323"/>
      <c r="D143" s="2324"/>
      <c r="K143" s="27"/>
      <c r="L143" s="27"/>
    </row>
    <row r="144" spans="1:12" s="2254" customFormat="1">
      <c r="A144" s="2323"/>
      <c r="D144" s="2324"/>
      <c r="K144" s="27"/>
      <c r="L144" s="27"/>
    </row>
    <row r="145" spans="1:12" s="2254" customFormat="1">
      <c r="A145" s="2323"/>
      <c r="D145" s="2324"/>
      <c r="K145" s="27"/>
      <c r="L145" s="27"/>
    </row>
    <row r="146" spans="1:12" s="2254" customFormat="1">
      <c r="A146" s="2323"/>
      <c r="D146" s="2324"/>
      <c r="K146" s="27"/>
      <c r="L146" s="27"/>
    </row>
    <row r="147" spans="1:12" s="2254" customFormat="1">
      <c r="A147" s="2323"/>
      <c r="D147" s="2324"/>
      <c r="K147" s="27"/>
      <c r="L147" s="27"/>
    </row>
    <row r="148" spans="1:12" s="2254" customFormat="1">
      <c r="A148" s="2323"/>
      <c r="D148" s="2324"/>
      <c r="K148" s="27"/>
      <c r="L148" s="27"/>
    </row>
    <row r="149" spans="1:12" s="2254" customFormat="1">
      <c r="A149" s="2323"/>
      <c r="D149" s="2324"/>
      <c r="K149" s="27"/>
      <c r="L149" s="27"/>
    </row>
    <row r="150" spans="1:12" s="2254" customFormat="1">
      <c r="A150" s="2323"/>
      <c r="D150" s="2324"/>
      <c r="K150" s="27"/>
      <c r="L150" s="27"/>
    </row>
    <row r="151" spans="1:12" s="2254" customFormat="1">
      <c r="A151" s="2323"/>
      <c r="D151" s="2324"/>
      <c r="K151" s="27"/>
      <c r="L151" s="27"/>
    </row>
    <row r="152" spans="1:12" s="2254" customFormat="1">
      <c r="A152" s="2323"/>
      <c r="D152" s="2324"/>
      <c r="K152" s="27"/>
      <c r="L152" s="27"/>
    </row>
    <row r="153" spans="1:12" s="2254" customFormat="1">
      <c r="A153" s="2323"/>
      <c r="D153" s="2324"/>
      <c r="K153" s="27"/>
      <c r="L153" s="27"/>
    </row>
    <row r="154" spans="1:12" s="2254" customFormat="1">
      <c r="A154" s="2323"/>
      <c r="D154" s="2324"/>
      <c r="K154" s="27"/>
      <c r="L154" s="27"/>
    </row>
    <row r="155" spans="1:12" s="2254" customFormat="1">
      <c r="A155" s="2323"/>
      <c r="D155" s="2324"/>
      <c r="K155" s="27"/>
      <c r="L155" s="27"/>
    </row>
    <row r="156" spans="1:12" s="2254" customFormat="1">
      <c r="A156" s="2323"/>
      <c r="D156" s="2324"/>
      <c r="K156" s="27"/>
      <c r="L156" s="27"/>
    </row>
    <row r="157" spans="1:12" s="2254" customFormat="1">
      <c r="A157" s="2323"/>
      <c r="D157" s="2324"/>
      <c r="K157" s="27"/>
      <c r="L157" s="27"/>
    </row>
    <row r="158" spans="1:12" s="2254" customFormat="1">
      <c r="A158" s="2323"/>
      <c r="D158" s="2324"/>
      <c r="K158" s="27"/>
      <c r="L158" s="27"/>
    </row>
    <row r="159" spans="1:12" s="2254" customFormat="1">
      <c r="A159" s="2323"/>
      <c r="D159" s="2324"/>
      <c r="K159" s="27"/>
      <c r="L159" s="27"/>
    </row>
    <row r="160" spans="1:12" s="2254" customFormat="1">
      <c r="A160" s="2323"/>
      <c r="D160" s="2324"/>
      <c r="K160" s="27"/>
      <c r="L160" s="27"/>
    </row>
    <row r="161" spans="1:12" s="2254" customFormat="1">
      <c r="A161" s="2323"/>
      <c r="D161" s="2324"/>
      <c r="K161" s="27"/>
      <c r="L161" s="27"/>
    </row>
    <row r="162" spans="1:12" s="2254" customFormat="1">
      <c r="A162" s="2323"/>
      <c r="D162" s="2324"/>
      <c r="K162" s="27"/>
      <c r="L162" s="27"/>
    </row>
    <row r="163" spans="1:12" s="2254" customFormat="1">
      <c r="A163" s="2323"/>
      <c r="D163" s="2324"/>
      <c r="K163" s="27"/>
      <c r="L163" s="27"/>
    </row>
    <row r="164" spans="1:12" s="2254" customFormat="1">
      <c r="A164" s="2323"/>
      <c r="D164" s="2324"/>
      <c r="K164" s="27"/>
      <c r="L164" s="27"/>
    </row>
    <row r="165" spans="1:12" s="2254" customFormat="1">
      <c r="A165" s="2323"/>
      <c r="D165" s="2324"/>
      <c r="K165" s="27"/>
      <c r="L165" s="27"/>
    </row>
    <row r="166" spans="1:12" s="2254" customFormat="1">
      <c r="A166" s="2323"/>
      <c r="D166" s="2324"/>
      <c r="K166" s="27"/>
      <c r="L166" s="27"/>
    </row>
    <row r="167" spans="1:12" s="2254" customFormat="1">
      <c r="A167" s="2323"/>
      <c r="D167" s="2324"/>
      <c r="K167" s="27"/>
      <c r="L167" s="27"/>
    </row>
    <row r="168" spans="1:12" s="2254" customFormat="1">
      <c r="A168" s="2323"/>
      <c r="D168" s="2324"/>
      <c r="K168" s="27"/>
      <c r="L168" s="27"/>
    </row>
    <row r="169" spans="1:12" s="2254" customFormat="1">
      <c r="A169" s="2323"/>
      <c r="D169" s="2324"/>
      <c r="K169" s="27"/>
      <c r="L169" s="27"/>
    </row>
    <row r="170" spans="1:12" s="2254" customFormat="1">
      <c r="A170" s="2323"/>
      <c r="D170" s="2324"/>
      <c r="K170" s="27"/>
      <c r="L170" s="27"/>
    </row>
    <row r="171" spans="1:12" s="2254" customFormat="1">
      <c r="A171" s="2323"/>
      <c r="D171" s="2324"/>
      <c r="K171" s="27"/>
      <c r="L171" s="27"/>
    </row>
    <row r="172" spans="1:12" s="2254" customFormat="1">
      <c r="A172" s="2323"/>
      <c r="D172" s="2324"/>
      <c r="K172" s="27"/>
      <c r="L172" s="27"/>
    </row>
    <row r="173" spans="1:12" s="2254" customFormat="1">
      <c r="A173" s="2323"/>
      <c r="D173" s="2324"/>
      <c r="K173" s="27"/>
      <c r="L173" s="27"/>
    </row>
    <row r="174" spans="1:12" s="2254" customFormat="1">
      <c r="A174" s="2323"/>
      <c r="D174" s="2324"/>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C50" sqref="C50"/>
      <selection pane="topRight" activeCell="C50" sqref="C50"/>
      <selection pane="bottomLeft" activeCell="C50" sqref="C50"/>
      <selection pane="bottomRight" activeCell="B23" sqref="B23"/>
    </sheetView>
  </sheetViews>
  <sheetFormatPr defaultRowHeight="14.25"/>
  <cols>
    <col min="1" max="1" width="9.5" style="2349"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48"/>
    <col min="30" max="16384" width="9" style="2349"/>
  </cols>
  <sheetData>
    <row r="1" spans="1:29" s="2342" customFormat="1" ht="19.5" thickBot="1">
      <c r="A1" s="3054" t="s">
        <v>2078</v>
      </c>
      <c r="B1" s="3055"/>
      <c r="C1" s="3055"/>
      <c r="D1" s="3055"/>
      <c r="E1" s="3055"/>
      <c r="F1" s="3055"/>
      <c r="G1" s="3055"/>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75" thickBot="1">
      <c r="A2" s="2343"/>
      <c r="B2" s="2344"/>
      <c r="C2" s="2345" t="s">
        <v>2079</v>
      </c>
      <c r="D2" s="2346"/>
      <c r="E2" s="2347"/>
      <c r="F2" s="2266"/>
      <c r="G2" s="2345" t="s">
        <v>2080</v>
      </c>
      <c r="H2" s="2348"/>
      <c r="I2" s="2348"/>
      <c r="J2" s="2348"/>
      <c r="K2" s="2348"/>
      <c r="L2" s="2348"/>
      <c r="M2" s="2348"/>
      <c r="N2" s="2348"/>
      <c r="O2" s="2348"/>
      <c r="P2" s="2348"/>
      <c r="Q2" s="2348"/>
      <c r="R2" s="2348"/>
    </row>
    <row r="3" spans="1:29" ht="54">
      <c r="A3" s="413" t="s">
        <v>2081</v>
      </c>
      <c r="B3" s="1253" t="s">
        <v>2082</v>
      </c>
      <c r="C3" s="2350" t="s">
        <v>2083</v>
      </c>
      <c r="D3" s="2351"/>
      <c r="E3" s="429" t="s">
        <v>2081</v>
      </c>
      <c r="F3" s="2352" t="s">
        <v>2084</v>
      </c>
      <c r="G3" s="2353" t="s">
        <v>2085</v>
      </c>
      <c r="H3" s="2348"/>
      <c r="I3" s="2348"/>
      <c r="J3" s="2348"/>
      <c r="K3" s="2348"/>
      <c r="L3" s="2348"/>
      <c r="M3" s="2348"/>
      <c r="N3" s="2348"/>
      <c r="O3" s="2348"/>
      <c r="P3" s="2348"/>
      <c r="Q3" s="2348"/>
      <c r="R3" s="2348"/>
    </row>
    <row r="4" spans="1:29" ht="41.25">
      <c r="A4" s="429"/>
      <c r="B4" s="1781" t="s">
        <v>2086</v>
      </c>
      <c r="C4" s="2354" t="s">
        <v>2087</v>
      </c>
      <c r="D4" s="2351"/>
      <c r="E4" s="2355"/>
      <c r="F4" s="42" t="s">
        <v>2088</v>
      </c>
      <c r="G4" s="2356" t="s">
        <v>2089</v>
      </c>
      <c r="H4" s="2348"/>
      <c r="I4" s="2348"/>
      <c r="J4" s="2348"/>
      <c r="K4" s="2348"/>
      <c r="L4" s="2348"/>
      <c r="M4" s="2348"/>
      <c r="N4" s="2348"/>
      <c r="O4" s="2348"/>
      <c r="P4" s="2348"/>
      <c r="Q4" s="2348"/>
      <c r="R4" s="2348"/>
    </row>
    <row r="5" spans="1:29" ht="41.25">
      <c r="A5" s="429"/>
      <c r="B5" s="1781" t="s">
        <v>2090</v>
      </c>
      <c r="C5" s="2354" t="s">
        <v>2091</v>
      </c>
      <c r="D5" s="2351"/>
      <c r="E5" s="2355"/>
      <c r="F5" s="1781" t="s">
        <v>2092</v>
      </c>
      <c r="G5" s="2356" t="s">
        <v>2093</v>
      </c>
      <c r="H5" s="2348"/>
      <c r="I5" s="2348"/>
      <c r="J5" s="2348"/>
      <c r="K5" s="2348"/>
      <c r="L5" s="2348"/>
      <c r="M5" s="2348"/>
      <c r="N5" s="2348"/>
      <c r="O5" s="2348"/>
      <c r="P5" s="2348"/>
      <c r="Q5" s="2348"/>
      <c r="R5" s="2348"/>
    </row>
    <row r="6" spans="1:29" ht="54">
      <c r="A6" s="429"/>
      <c r="B6" s="1781" t="s">
        <v>2094</v>
      </c>
      <c r="C6" s="2356" t="s">
        <v>2089</v>
      </c>
      <c r="D6" s="2351"/>
      <c r="E6" s="2355"/>
      <c r="F6" s="1781" t="s">
        <v>2095</v>
      </c>
      <c r="G6" s="2356" t="s">
        <v>2096</v>
      </c>
      <c r="H6" s="2348"/>
      <c r="I6" s="2348"/>
      <c r="J6" s="2348"/>
      <c r="K6" s="2348"/>
      <c r="L6" s="2348"/>
      <c r="M6" s="2348"/>
      <c r="N6" s="2348"/>
      <c r="O6" s="2348"/>
      <c r="P6" s="2348"/>
      <c r="Q6" s="2348"/>
      <c r="R6" s="2348"/>
    </row>
    <row r="7" spans="1:29" ht="41.25" thickBot="1">
      <c r="A7" s="429"/>
      <c r="B7" s="1781" t="s">
        <v>2092</v>
      </c>
      <c r="C7" s="2356" t="s">
        <v>2093</v>
      </c>
      <c r="D7" s="2357"/>
      <c r="E7" s="2358"/>
      <c r="F7" s="2359" t="s">
        <v>2097</v>
      </c>
      <c r="G7" s="2360" t="s">
        <v>2098</v>
      </c>
      <c r="H7" s="2348"/>
      <c r="I7" s="2348"/>
      <c r="J7" s="2348"/>
      <c r="K7" s="2348"/>
      <c r="L7" s="2348"/>
      <c r="M7" s="2348"/>
      <c r="N7" s="2348"/>
      <c r="O7" s="2348"/>
      <c r="P7" s="2348"/>
      <c r="Q7" s="2348"/>
      <c r="R7" s="2348"/>
    </row>
    <row r="8" spans="1:29" ht="27">
      <c r="A8" s="429"/>
      <c r="B8" s="1781" t="s">
        <v>2095</v>
      </c>
      <c r="C8" s="2356" t="s">
        <v>2096</v>
      </c>
      <c r="D8" s="2357"/>
      <c r="E8" s="2357"/>
      <c r="F8" s="1126"/>
      <c r="G8" s="1126"/>
      <c r="H8" s="2348"/>
      <c r="I8" s="2348"/>
      <c r="J8" s="2348"/>
      <c r="K8" s="2348"/>
      <c r="L8" s="2348"/>
      <c r="M8" s="2348"/>
      <c r="N8" s="2348"/>
      <c r="O8" s="2348"/>
      <c r="P8" s="2348"/>
      <c r="Q8" s="2348"/>
      <c r="R8" s="2348"/>
    </row>
    <row r="9" spans="1:29" ht="27">
      <c r="A9" s="429"/>
      <c r="B9" s="1781" t="s">
        <v>2099</v>
      </c>
      <c r="C9" s="2354" t="s">
        <v>2100</v>
      </c>
      <c r="D9" s="2351"/>
      <c r="E9" s="2357"/>
      <c r="F9" s="1126"/>
      <c r="G9" s="1126"/>
      <c r="H9" s="2348"/>
      <c r="I9" s="2348"/>
      <c r="J9" s="2348"/>
      <c r="K9" s="2348"/>
      <c r="L9" s="2348"/>
      <c r="M9" s="2348"/>
      <c r="N9" s="2348"/>
      <c r="O9" s="2348"/>
      <c r="P9" s="2348"/>
      <c r="Q9" s="2348"/>
      <c r="R9" s="2348"/>
    </row>
    <row r="10" spans="1:29" s="115" customFormat="1" ht="15.75" thickBot="1">
      <c r="A10" s="2361"/>
      <c r="B10" s="2362" t="s">
        <v>2101</v>
      </c>
      <c r="C10" s="2363"/>
      <c r="D10" s="2351"/>
      <c r="E10" s="2351"/>
      <c r="F10" s="1126"/>
      <c r="G10" s="112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5" customFormat="1" ht="15">
      <c r="A11" s="2367"/>
      <c r="B11" s="2357"/>
      <c r="C11" s="2351"/>
      <c r="D11" s="2351"/>
      <c r="E11" s="2351"/>
      <c r="F11" s="2357"/>
      <c r="G11" s="114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8">
      <c r="A12" s="2367"/>
      <c r="B12" s="2357"/>
      <c r="C12" s="2351"/>
      <c r="D12" s="2368"/>
      <c r="E12" s="2351"/>
      <c r="F12" s="2357"/>
      <c r="G12" s="114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9.5" thickBot="1">
      <c r="A13" s="2374" t="s">
        <v>2102</v>
      </c>
      <c r="B13" s="2368"/>
      <c r="C13" s="2368"/>
      <c r="D13" s="2375"/>
      <c r="E13" s="2368"/>
      <c r="F13" s="2368"/>
      <c r="G13" s="2368"/>
    </row>
    <row r="14" spans="1:29" ht="15.75" thickBot="1">
      <c r="A14" s="2379"/>
      <c r="B14" s="2380"/>
      <c r="C14" s="2381" t="s">
        <v>2103</v>
      </c>
      <c r="D14" s="2351"/>
      <c r="E14" s="2382"/>
      <c r="F14" s="2382"/>
      <c r="G14" s="2345" t="s">
        <v>2104</v>
      </c>
    </row>
    <row r="15" spans="1:29" ht="57">
      <c r="A15" s="68" t="s">
        <v>2105</v>
      </c>
      <c r="B15" s="1252" t="s">
        <v>2082</v>
      </c>
      <c r="C15" s="2383" t="str">
        <f>C3</f>
        <v>估价对象周边居住用地比例、居住小区规模和社区发展完善程度，综合评价居住社区成熟度一般</v>
      </c>
      <c r="D15" s="2351"/>
      <c r="E15" s="2384" t="s">
        <v>2106</v>
      </c>
      <c r="F15" s="1252" t="s">
        <v>2107</v>
      </c>
      <c r="G15" s="133" t="str">
        <f>G3</f>
        <v>估价对象位于XX开发区，园区建设成熟度XX，产业集聚程度XX</v>
      </c>
    </row>
    <row r="16" spans="1:29" ht="42.75">
      <c r="A16" s="642"/>
      <c r="B16" s="2385" t="s">
        <v>2086</v>
      </c>
      <c r="C16" s="2386" t="str">
        <f>C4</f>
        <v>估价对象位于XX商圈，周边商业氛围成熟，人流量大，商业繁华度好</v>
      </c>
      <c r="D16" s="2351"/>
      <c r="E16" s="2387"/>
      <c r="F16" s="2388" t="s">
        <v>2088</v>
      </c>
      <c r="G16" s="134" t="str">
        <f>G4</f>
        <v>估价对象周边道路状况、公共交通通达情况、停车便捷程度，综合评价交通便捷度较好</v>
      </c>
    </row>
    <row r="17" spans="1:18" ht="42.75">
      <c r="A17" s="642"/>
      <c r="B17" s="2385" t="s">
        <v>2090</v>
      </c>
      <c r="C17" s="2386" t="str">
        <f>C5</f>
        <v>估价对象位于XX商圈，周边办公楼项目较多，入驻率高，办公集聚程度较好</v>
      </c>
      <c r="D17" s="2357"/>
      <c r="E17" s="2387"/>
      <c r="F17" s="2388" t="s">
        <v>2108</v>
      </c>
      <c r="G17" s="1555"/>
    </row>
    <row r="18" spans="1:18" ht="57">
      <c r="A18" s="642"/>
      <c r="B18" s="2388" t="s">
        <v>2094</v>
      </c>
      <c r="C18" s="134" t="str">
        <f>C6</f>
        <v>估价对象周边道路状况、公共交通通达情况、停车便捷程度，综合评价交通便捷度较好</v>
      </c>
      <c r="D18" s="2357"/>
      <c r="E18" s="2387"/>
      <c r="F18" s="2388" t="s">
        <v>2097</v>
      </c>
      <c r="G18" s="134" t="str">
        <f>G7</f>
        <v>该园区内是否有污染型企业，绿化情况，卫生条件，整体环境状况判断</v>
      </c>
    </row>
    <row r="19" spans="1:18" ht="28.5">
      <c r="A19" s="642"/>
      <c r="B19" s="2388" t="s">
        <v>2109</v>
      </c>
      <c r="C19" s="1555"/>
      <c r="D19" s="2351"/>
      <c r="E19" s="2387"/>
      <c r="F19" s="1781" t="s">
        <v>2092</v>
      </c>
      <c r="G19" s="134" t="str">
        <f>G5</f>
        <v>估价对象所在区域公共配套设施齐备情况</v>
      </c>
    </row>
    <row r="20" spans="1:18" ht="28.5">
      <c r="A20" s="642"/>
      <c r="B20" s="2388" t="s">
        <v>2110</v>
      </c>
      <c r="C20" s="2386" t="str">
        <f>C9</f>
        <v>区域自然环境：；人文环境；综合评价环境状况一般</v>
      </c>
      <c r="D20" s="2357"/>
      <c r="E20" s="2387"/>
      <c r="F20" s="1781" t="s">
        <v>2111</v>
      </c>
      <c r="G20" s="134" t="str">
        <f>G6</f>
        <v>估价对象所在区域基础设施水平</v>
      </c>
    </row>
    <row r="21" spans="1:18" ht="28.5">
      <c r="A21" s="642"/>
      <c r="B21" s="1781" t="s">
        <v>2092</v>
      </c>
      <c r="C21" s="134" t="str">
        <f>C7</f>
        <v>估价对象所在区域公共配套设施齐备情况</v>
      </c>
      <c r="D21" s="2351"/>
      <c r="E21" s="2387"/>
      <c r="F21" s="2388" t="s">
        <v>2112</v>
      </c>
      <c r="G21" s="2389"/>
    </row>
    <row r="22" spans="1:18" ht="13.5" customHeight="1">
      <c r="A22" s="642"/>
      <c r="B22" s="1781" t="s">
        <v>2095</v>
      </c>
      <c r="C22" s="134" t="str">
        <f>C8</f>
        <v>估价对象所在区域基础设施水平</v>
      </c>
      <c r="D22" s="2351"/>
      <c r="E22" s="2387"/>
      <c r="F22" s="2388" t="s">
        <v>2101</v>
      </c>
      <c r="G22" s="1555"/>
    </row>
    <row r="23" spans="1:18" s="2348" customFormat="1" ht="15.75" thickBot="1">
      <c r="A23" s="642"/>
      <c r="B23" s="2388" t="s">
        <v>2112</v>
      </c>
      <c r="C23" s="2389"/>
      <c r="D23" s="2376"/>
      <c r="E23" s="2390"/>
      <c r="F23" s="2391" t="s">
        <v>2113</v>
      </c>
      <c r="G23" s="2392"/>
      <c r="H23" s="2376"/>
      <c r="I23" s="2377"/>
      <c r="J23" s="2376"/>
      <c r="K23" s="2376"/>
      <c r="L23" s="2377"/>
      <c r="M23" s="2376"/>
      <c r="N23" s="2376"/>
      <c r="O23" s="2377"/>
      <c r="P23" s="2376"/>
      <c r="Q23" s="2376"/>
      <c r="R23" s="2378"/>
    </row>
    <row r="24" spans="1:18" s="2348" customFormat="1" ht="15.75" thickBot="1">
      <c r="A24" s="2393"/>
      <c r="B24" s="2391" t="s">
        <v>2114</v>
      </c>
      <c r="C24" s="135">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D14" sqref="D14:D15"/>
    </sheetView>
  </sheetViews>
  <sheetFormatPr defaultRowHeight="13.5"/>
  <cols>
    <col min="1" max="1" width="23.375" style="1724" customWidth="1"/>
    <col min="2" max="9" width="15.75" style="1724" customWidth="1"/>
    <col min="10" max="16384" width="9" style="1724"/>
  </cols>
  <sheetData>
    <row r="1" spans="1:10" ht="16.5">
      <c r="A1" s="1729" t="s">
        <v>1366</v>
      </c>
      <c r="B1" s="1729">
        <f>SUM(B14:B23)</f>
        <v>28703.599999999999</v>
      </c>
      <c r="C1" s="1728"/>
      <c r="D1" s="1728"/>
      <c r="E1" s="1728"/>
      <c r="F1" s="1728"/>
      <c r="G1" s="1726"/>
    </row>
    <row r="2" spans="1:10" ht="16.5">
      <c r="A2" s="1729" t="s">
        <v>1354</v>
      </c>
      <c r="B2" s="1729">
        <f>SUM(C14:C23)</f>
        <v>2337.9100000000003</v>
      </c>
      <c r="C2" s="1728"/>
      <c r="D2" s="1728"/>
      <c r="E2" s="1728"/>
      <c r="F2" s="1728"/>
      <c r="G2" s="1726"/>
    </row>
    <row r="3" spans="1:10" ht="16.5">
      <c r="A3" s="1729" t="s">
        <v>1363</v>
      </c>
      <c r="B3" s="1730">
        <f>项目基本情况!D3</f>
        <v>43061</v>
      </c>
      <c r="C3" s="1728"/>
      <c r="D3" s="1728"/>
      <c r="E3" s="1728"/>
      <c r="F3" s="1728"/>
      <c r="G3" s="1726"/>
    </row>
    <row r="4" spans="1:10" ht="33">
      <c r="A4" s="1729" t="s">
        <v>1362</v>
      </c>
      <c r="B4" s="1729" t="s">
        <v>1361</v>
      </c>
      <c r="C4" s="1729" t="s">
        <v>1360</v>
      </c>
      <c r="D4" s="1729" t="s">
        <v>1359</v>
      </c>
      <c r="E4" s="1728"/>
      <c r="F4" s="1726"/>
      <c r="G4" s="1726"/>
    </row>
    <row r="5" spans="1:10" ht="16.5">
      <c r="A5" s="1729" t="s">
        <v>1358</v>
      </c>
      <c r="B5" s="1729">
        <f ca="1">SUM(D14:D23)</f>
        <v>65145</v>
      </c>
      <c r="C5" s="1729">
        <f ca="1">ROUND(B5*10000/$B$1,0)</f>
        <v>22696</v>
      </c>
      <c r="D5" s="1729">
        <f ca="1">ROUND(B5*10000/$B$2,0)</f>
        <v>278646</v>
      </c>
      <c r="E5" s="1728"/>
      <c r="F5" s="1726"/>
      <c r="G5" s="1726"/>
    </row>
    <row r="6" spans="1:10" ht="16.5">
      <c r="A6" s="1729" t="s">
        <v>1357</v>
      </c>
      <c r="B6" s="1729">
        <f ca="1">SUM(G14:G23)</f>
        <v>65145</v>
      </c>
      <c r="C6" s="1729">
        <f ca="1">ROUND(B6*10000/$B$1,0)</f>
        <v>22696</v>
      </c>
      <c r="D6" s="1729">
        <f ca="1">ROUND(B6*10000/$B$2,0)</f>
        <v>278646</v>
      </c>
      <c r="E6" s="1728"/>
      <c r="F6" s="1726"/>
      <c r="G6" s="1726"/>
    </row>
    <row r="7" spans="1:10" ht="16.5">
      <c r="A7" s="1729" t="s">
        <v>1365</v>
      </c>
      <c r="B7" s="1729">
        <f>SUM(H14:H23)</f>
        <v>0</v>
      </c>
      <c r="C7" s="1729">
        <f>ROUND(B7*10000/$B$1,0)</f>
        <v>0</v>
      </c>
      <c r="D7" s="1729">
        <f>ROUND(B7*10000/$B$2,0)</f>
        <v>0</v>
      </c>
      <c r="E7" s="1728"/>
      <c r="F7" s="1726"/>
      <c r="G7" s="1726"/>
    </row>
    <row r="8" spans="1:10" ht="16.5">
      <c r="A8" s="1729" t="s">
        <v>1286</v>
      </c>
      <c r="B8" s="1729">
        <f>SUM(I14:I23)</f>
        <v>0</v>
      </c>
      <c r="C8" s="1729">
        <f>ROUND(B8*10000/$B$1,0)</f>
        <v>0</v>
      </c>
      <c r="D8" s="1729">
        <f>ROUND(B8*10000/$B$2,0)</f>
        <v>0</v>
      </c>
      <c r="E8" s="1728"/>
      <c r="F8" s="1726"/>
      <c r="G8" s="1726"/>
    </row>
    <row r="9" spans="1:10" ht="16.5">
      <c r="A9" s="1729" t="s">
        <v>1356</v>
      </c>
      <c r="B9" s="1731"/>
      <c r="C9" s="1728"/>
      <c r="D9" s="1728"/>
      <c r="E9" s="1728"/>
      <c r="F9" s="1726"/>
      <c r="G9" s="1726"/>
    </row>
    <row r="10" spans="1:10" ht="16.5">
      <c r="A10" s="1729" t="s">
        <v>1355</v>
      </c>
      <c r="B10" s="1731"/>
      <c r="C10" s="1728"/>
      <c r="D10" s="1728"/>
      <c r="E10" s="1728"/>
      <c r="F10" s="1726"/>
      <c r="G10" s="1726"/>
    </row>
    <row r="11" spans="1:10" ht="16.5">
      <c r="A11" s="1729" t="s">
        <v>1371</v>
      </c>
      <c r="B11" s="1731"/>
      <c r="C11" s="1728"/>
      <c r="D11" s="1728"/>
      <c r="E11" s="1728"/>
      <c r="F11" s="1726"/>
      <c r="G11" s="1726"/>
    </row>
    <row r="12" spans="1:10" ht="16.5">
      <c r="A12" s="1728"/>
      <c r="B12" s="1728"/>
      <c r="C12" s="1728"/>
      <c r="D12" s="1728"/>
      <c r="E12" s="1728"/>
      <c r="F12" s="1726"/>
      <c r="G12" s="1726"/>
    </row>
    <row r="13" spans="1:10" ht="33">
      <c r="A13" s="1734" t="s">
        <v>1370</v>
      </c>
      <c r="B13" s="1727" t="s">
        <v>1367</v>
      </c>
      <c r="C13" s="1727" t="s">
        <v>1369</v>
      </c>
      <c r="D13" s="1727" t="s">
        <v>1368</v>
      </c>
      <c r="E13" s="1729" t="s">
        <v>1360</v>
      </c>
      <c r="F13" s="1729" t="s">
        <v>1359</v>
      </c>
      <c r="G13" s="1727" t="s">
        <v>1353</v>
      </c>
      <c r="H13" s="1727" t="s">
        <v>1364</v>
      </c>
      <c r="I13" s="1727" t="s">
        <v>1352</v>
      </c>
      <c r="J13" s="1726"/>
    </row>
    <row r="14" spans="1:10" ht="16.5">
      <c r="A14" s="1725" t="s">
        <v>1351</v>
      </c>
      <c r="B14" s="1727">
        <f>'结果表-公寓'!B118</f>
        <v>59.58</v>
      </c>
      <c r="C14" s="1727">
        <f>'结果表-公寓'!C118</f>
        <v>4.8499999999999996</v>
      </c>
      <c r="D14" s="1727">
        <f ca="1">'结果表-公寓'!H118</f>
        <v>134</v>
      </c>
      <c r="E14" s="1727">
        <f ca="1">ROUND(D14*10000/B14,0)</f>
        <v>22491</v>
      </c>
      <c r="F14" s="1727">
        <f ca="1">ROUND(D14*10000/C14,0)</f>
        <v>276289</v>
      </c>
      <c r="G14" s="1727">
        <f ca="1">'结果表-公寓'!D122</f>
        <v>134</v>
      </c>
      <c r="H14" s="1727" t="str">
        <f>'结果表-公寓'!D124</f>
        <v>——</v>
      </c>
      <c r="I14" s="1727" t="str">
        <f>'结果表-公寓'!D126</f>
        <v>——</v>
      </c>
      <c r="J14" s="1726"/>
    </row>
    <row r="15" spans="1:10" ht="16.5">
      <c r="A15" s="1725" t="s">
        <v>1350</v>
      </c>
      <c r="B15" s="2947">
        <f>'数据-汇总表'!E19+'数据-汇总表'!I19+'数据-汇总表'!I21</f>
        <v>26356.559999999998</v>
      </c>
      <c r="C15" s="2947">
        <f>'数据-汇总表'!D19+'数据-汇总表'!H19+'数据-汇总表'!H21</f>
        <v>2146.7400000000002</v>
      </c>
      <c r="D15" s="2947">
        <f ca="1">'典型户型修正-公寓'!S22-系统读取表!D14</f>
        <v>56895</v>
      </c>
      <c r="E15" s="1727">
        <f t="shared" ref="E15:E23" ca="1" si="0">ROUND(D15*10000/B15,0)</f>
        <v>21587</v>
      </c>
      <c r="F15" s="1727">
        <f t="shared" ref="F15:F23" ca="1" si="1">ROUND(D15*10000/C15,0)</f>
        <v>265030</v>
      </c>
      <c r="G15" s="2947">
        <f ca="1">D15</f>
        <v>56895</v>
      </c>
      <c r="H15" s="2947" t="s">
        <v>3205</v>
      </c>
      <c r="I15" s="2947" t="s">
        <v>3205</v>
      </c>
      <c r="J15" s="1726"/>
    </row>
    <row r="16" spans="1:10" ht="16.5">
      <c r="A16" s="1725" t="s">
        <v>1349</v>
      </c>
      <c r="B16" s="2947">
        <f>'结果表-商业'!B118+'数据-汇总表'!I20</f>
        <v>2287.46</v>
      </c>
      <c r="C16" s="2947">
        <f>'结果表-商业'!C118+'数据-汇总表'!H20</f>
        <v>186.32</v>
      </c>
      <c r="D16" s="2947">
        <f ca="1">'结果表-商业'!G19</f>
        <v>8116</v>
      </c>
      <c r="E16" s="1727">
        <f t="shared" ca="1" si="0"/>
        <v>35480</v>
      </c>
      <c r="F16" s="1727">
        <f t="shared" ca="1" si="1"/>
        <v>435595</v>
      </c>
      <c r="G16" s="2947">
        <f ca="1">D16</f>
        <v>8116</v>
      </c>
      <c r="H16" s="2947"/>
      <c r="I16" s="2947"/>
    </row>
    <row r="17" spans="1:9" ht="16.5">
      <c r="A17" s="1725" t="s">
        <v>1348</v>
      </c>
      <c r="B17" s="1732"/>
      <c r="C17" s="1732"/>
      <c r="D17" s="1732"/>
      <c r="E17" s="1727" t="e">
        <f t="shared" si="0"/>
        <v>#DIV/0!</v>
      </c>
      <c r="F17" s="1727" t="e">
        <f t="shared" si="1"/>
        <v>#DIV/0!</v>
      </c>
      <c r="G17" s="1733"/>
      <c r="H17" s="1733"/>
      <c r="I17" s="1732"/>
    </row>
    <row r="18" spans="1:9" ht="16.5">
      <c r="A18" s="1725" t="s">
        <v>1347</v>
      </c>
      <c r="B18" s="1732"/>
      <c r="C18" s="1732"/>
      <c r="D18" s="1732"/>
      <c r="E18" s="1727" t="e">
        <f t="shared" si="0"/>
        <v>#DIV/0!</v>
      </c>
      <c r="F18" s="1727" t="e">
        <f t="shared" si="1"/>
        <v>#DIV/0!</v>
      </c>
      <c r="G18" s="1732"/>
      <c r="H18" s="1732"/>
      <c r="I18" s="1732"/>
    </row>
    <row r="19" spans="1:9" ht="16.5">
      <c r="A19" s="1725" t="s">
        <v>1346</v>
      </c>
      <c r="B19" s="1732"/>
      <c r="C19" s="1732"/>
      <c r="D19" s="1732"/>
      <c r="E19" s="1727" t="e">
        <f t="shared" si="0"/>
        <v>#DIV/0!</v>
      </c>
      <c r="F19" s="1727" t="e">
        <f t="shared" si="1"/>
        <v>#DIV/0!</v>
      </c>
      <c r="G19" s="1732"/>
      <c r="H19" s="1732"/>
      <c r="I19" s="1732"/>
    </row>
    <row r="20" spans="1:9" ht="16.5">
      <c r="A20" s="1725" t="s">
        <v>1345</v>
      </c>
      <c r="B20" s="1732"/>
      <c r="C20" s="1732"/>
      <c r="D20" s="1732"/>
      <c r="E20" s="1727" t="e">
        <f t="shared" si="0"/>
        <v>#DIV/0!</v>
      </c>
      <c r="F20" s="1727" t="e">
        <f t="shared" si="1"/>
        <v>#DIV/0!</v>
      </c>
      <c r="G20" s="1732"/>
      <c r="H20" s="1732"/>
      <c r="I20" s="1732"/>
    </row>
    <row r="21" spans="1:9" ht="16.5">
      <c r="A21" s="1725" t="s">
        <v>1344</v>
      </c>
      <c r="B21" s="1732"/>
      <c r="C21" s="1732"/>
      <c r="D21" s="1732"/>
      <c r="E21" s="1727" t="e">
        <f t="shared" si="0"/>
        <v>#DIV/0!</v>
      </c>
      <c r="F21" s="1727" t="e">
        <f t="shared" si="1"/>
        <v>#DIV/0!</v>
      </c>
      <c r="G21" s="1732"/>
      <c r="H21" s="1732"/>
      <c r="I21" s="1732"/>
    </row>
    <row r="22" spans="1:9" ht="16.5">
      <c r="A22" s="1725" t="s">
        <v>1343</v>
      </c>
      <c r="B22" s="1732"/>
      <c r="C22" s="1732"/>
      <c r="D22" s="1732"/>
      <c r="E22" s="1727" t="e">
        <f t="shared" si="0"/>
        <v>#DIV/0!</v>
      </c>
      <c r="F22" s="1727" t="e">
        <f t="shared" si="1"/>
        <v>#DIV/0!</v>
      </c>
      <c r="G22" s="1732"/>
      <c r="H22" s="1732"/>
      <c r="I22" s="1732"/>
    </row>
    <row r="23" spans="1:9" ht="16.5">
      <c r="A23" s="1725" t="s">
        <v>1342</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G20" sqref="G20"/>
    </sheetView>
  </sheetViews>
  <sheetFormatPr defaultColWidth="12.625" defaultRowHeight="21.75" customHeight="1"/>
  <cols>
    <col min="1" max="2" width="12.625" style="2405"/>
    <col min="3" max="3" width="12.25" style="2405" customWidth="1"/>
    <col min="4"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06" t="s">
        <v>2115</v>
      </c>
      <c r="B1" s="2399"/>
      <c r="C1" s="2400" t="s">
        <v>3201</v>
      </c>
      <c r="D1" s="2399"/>
      <c r="E1" s="2399"/>
      <c r="F1" s="2401" t="s">
        <v>2116</v>
      </c>
      <c r="G1" s="2052" t="s">
        <v>3046</v>
      </c>
      <c r="H1" s="2402" t="str">
        <f>IF(G1="现房","——","估价对象范围")</f>
        <v>——</v>
      </c>
      <c r="I1" s="2403" t="s">
        <v>3095</v>
      </c>
    </row>
    <row r="2" spans="1:12" ht="21.75" customHeight="1" thickBot="1">
      <c r="A2" s="3128" t="str">
        <f>项目基本情况!S2</f>
        <v>天津市南开区红旗路与楚雄道交口西北侧房地产</v>
      </c>
      <c r="B2" s="3129"/>
      <c r="C2" s="3129"/>
      <c r="D2" s="3129"/>
      <c r="E2" s="3129"/>
      <c r="F2" s="3129"/>
      <c r="G2" s="3129"/>
      <c r="H2" s="3129"/>
      <c r="I2" s="3130"/>
    </row>
    <row r="3" spans="1:12" ht="12.75">
      <c r="A3" s="3131" t="s">
        <v>2117</v>
      </c>
      <c r="B3" s="3132"/>
      <c r="C3" s="3132"/>
      <c r="D3" s="3132"/>
      <c r="E3" s="3132"/>
      <c r="F3" s="3132"/>
      <c r="G3" s="3132"/>
      <c r="H3" s="3132"/>
      <c r="I3" s="3132"/>
    </row>
    <row r="4" spans="1:12" ht="14.25">
      <c r="A4" s="2406" t="s">
        <v>2118</v>
      </c>
      <c r="B4" s="2407" t="s">
        <v>2119</v>
      </c>
      <c r="C4" s="2408" t="s">
        <v>3097</v>
      </c>
      <c r="D4" s="2408" t="s">
        <v>3203</v>
      </c>
      <c r="E4" s="3112" t="s">
        <v>2120</v>
      </c>
      <c r="F4" s="3125"/>
      <c r="G4" s="3125"/>
      <c r="H4" s="3125"/>
      <c r="I4" s="3113"/>
      <c r="K4" s="2409" t="str">
        <f>IF(ISNUMBER(FIND("比较法",'结果表-公寓'!C4)),"比较法",IF(ISNUMBER(FIND("成本法",'结果表-公寓'!C4)),"成本法",IF(ISNUMBER(FIND("假设开发法",'结果表-公寓'!C4)),"假设开发法",IF(ISNUMBER(FIND("收益法",'结果表-公寓'!C4)),"收益法","基准地价系数修正法"))))</f>
        <v>比较法</v>
      </c>
      <c r="L4" s="2409"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hidden="1">
      <c r="A5" s="3103" t="s">
        <v>2121</v>
      </c>
      <c r="B5" s="3029">
        <v>25</v>
      </c>
      <c r="C5" s="3133"/>
      <c r="D5" s="3121"/>
      <c r="E5" s="138" t="s">
        <v>2122</v>
      </c>
      <c r="F5" s="2410"/>
      <c r="G5" s="2410"/>
      <c r="H5" s="2410"/>
      <c r="I5" s="1817"/>
    </row>
    <row r="6" spans="1:12" ht="12.75" hidden="1">
      <c r="A6" s="3103"/>
      <c r="B6" s="3029"/>
      <c r="C6" s="3135"/>
      <c r="D6" s="3121"/>
      <c r="E6" s="138" t="s">
        <v>2123</v>
      </c>
      <c r="F6" s="2410"/>
      <c r="G6" s="2410"/>
      <c r="H6" s="2410"/>
      <c r="I6" s="1817"/>
    </row>
    <row r="7" spans="1:12" ht="12.75" hidden="1">
      <c r="A7" s="3103"/>
      <c r="B7" s="3029"/>
      <c r="C7" s="3134"/>
      <c r="D7" s="3121"/>
      <c r="E7" s="138" t="s">
        <v>2124</v>
      </c>
      <c r="F7" s="2410"/>
      <c r="G7" s="2410"/>
      <c r="H7" s="2410"/>
      <c r="I7" s="1817"/>
    </row>
    <row r="8" spans="1:12" ht="12.75" hidden="1">
      <c r="A8" s="3103" t="s">
        <v>2125</v>
      </c>
      <c r="B8" s="3029">
        <v>15</v>
      </c>
      <c r="C8" s="3133"/>
      <c r="D8" s="3121"/>
      <c r="E8" s="138" t="s">
        <v>2126</v>
      </c>
      <c r="F8" s="2410"/>
      <c r="G8" s="2410"/>
      <c r="H8" s="2410"/>
      <c r="I8" s="1817"/>
    </row>
    <row r="9" spans="1:12" ht="12.75" hidden="1">
      <c r="A9" s="3103"/>
      <c r="B9" s="3029"/>
      <c r="C9" s="3134"/>
      <c r="D9" s="3121"/>
      <c r="E9" s="138" t="s">
        <v>2127</v>
      </c>
      <c r="F9" s="2410"/>
      <c r="G9" s="2410"/>
      <c r="H9" s="2410"/>
      <c r="I9" s="1817"/>
    </row>
    <row r="10" spans="1:12" ht="12.75" hidden="1">
      <c r="A10" s="3103" t="s">
        <v>2128</v>
      </c>
      <c r="B10" s="3029">
        <v>15</v>
      </c>
      <c r="C10" s="3133"/>
      <c r="D10" s="3121"/>
      <c r="E10" s="138" t="s">
        <v>2129</v>
      </c>
      <c r="F10" s="2410"/>
      <c r="G10" s="2410"/>
      <c r="H10" s="2410"/>
      <c r="I10" s="1817"/>
    </row>
    <row r="11" spans="1:12" ht="12.75" hidden="1">
      <c r="A11" s="3103"/>
      <c r="B11" s="3029"/>
      <c r="C11" s="3134"/>
      <c r="D11" s="3121"/>
      <c r="E11" s="138" t="s">
        <v>2130</v>
      </c>
      <c r="F11" s="2410"/>
      <c r="G11" s="2410"/>
      <c r="H11" s="2410"/>
      <c r="I11" s="1817"/>
    </row>
    <row r="12" spans="1:12" ht="12.75" hidden="1">
      <c r="A12" s="3103" t="s">
        <v>2131</v>
      </c>
      <c r="B12" s="3029">
        <v>15</v>
      </c>
      <c r="C12" s="3133"/>
      <c r="D12" s="3121"/>
      <c r="E12" s="138" t="s">
        <v>2132</v>
      </c>
      <c r="F12" s="2410"/>
      <c r="G12" s="2410"/>
      <c r="H12" s="2410"/>
      <c r="I12" s="1817"/>
    </row>
    <row r="13" spans="1:12" ht="12.75" hidden="1">
      <c r="A13" s="3103"/>
      <c r="B13" s="3029"/>
      <c r="C13" s="3134"/>
      <c r="D13" s="3121"/>
      <c r="E13" s="138" t="s">
        <v>2133</v>
      </c>
      <c r="F13" s="2410"/>
      <c r="G13" s="2410"/>
      <c r="H13" s="2410"/>
      <c r="I13" s="1817"/>
    </row>
    <row r="14" spans="1:12" ht="12.75" hidden="1">
      <c r="A14" s="3103" t="s">
        <v>2134</v>
      </c>
      <c r="B14" s="3029">
        <v>30</v>
      </c>
      <c r="C14" s="3133">
        <v>8</v>
      </c>
      <c r="D14" s="3121">
        <v>2</v>
      </c>
      <c r="E14" s="138" t="s">
        <v>2135</v>
      </c>
      <c r="F14" s="2410"/>
      <c r="G14" s="2410"/>
      <c r="H14" s="2410"/>
      <c r="I14" s="1817"/>
    </row>
    <row r="15" spans="1:12" ht="12.75" hidden="1">
      <c r="A15" s="3103"/>
      <c r="B15" s="3029"/>
      <c r="C15" s="3135"/>
      <c r="D15" s="3121"/>
      <c r="E15" s="138" t="s">
        <v>2136</v>
      </c>
      <c r="F15" s="2410"/>
      <c r="G15" s="2410"/>
      <c r="H15" s="2410"/>
      <c r="I15" s="1817"/>
    </row>
    <row r="16" spans="1:12" ht="12.75">
      <c r="A16" s="3103"/>
      <c r="B16" s="3029"/>
      <c r="C16" s="3134"/>
      <c r="D16" s="3121"/>
      <c r="E16" s="138" t="s">
        <v>2137</v>
      </c>
      <c r="F16" s="2410"/>
      <c r="G16" s="2410"/>
      <c r="H16" s="2410"/>
      <c r="I16" s="1817"/>
    </row>
    <row r="17" spans="1:35" ht="15">
      <c r="A17" s="2411" t="s">
        <v>2138</v>
      </c>
      <c r="B17" s="64"/>
      <c r="C17" s="139">
        <f>SUM(C5:C16)</f>
        <v>8</v>
      </c>
      <c r="D17" s="139">
        <f>SUM(D5:D16)</f>
        <v>2</v>
      </c>
      <c r="E17" s="136"/>
      <c r="F17" s="136"/>
      <c r="G17" s="136"/>
      <c r="H17" s="136"/>
      <c r="I17" s="136"/>
      <c r="K17" s="2409"/>
      <c r="L17" s="2412" t="s">
        <v>2139</v>
      </c>
      <c r="M17" s="2412" t="s">
        <v>2140</v>
      </c>
    </row>
    <row r="18" spans="1:35" ht="15.75" thickBot="1">
      <c r="A18" s="2413" t="s">
        <v>2141</v>
      </c>
      <c r="B18" s="2414"/>
      <c r="C18" s="140">
        <f>ROUND(C17/SUM(C17:D17),2)</f>
        <v>0.8</v>
      </c>
      <c r="D18" s="140">
        <f>1-C18</f>
        <v>0.19999999999999996</v>
      </c>
      <c r="E18" s="136"/>
      <c r="F18" s="136"/>
      <c r="G18" s="136"/>
      <c r="H18" s="136"/>
      <c r="I18" s="136"/>
      <c r="K18" s="2409" t="s">
        <v>2142</v>
      </c>
      <c r="L18" s="2409">
        <f>IF(C1="",'数据-汇总表'!E3,SUMIF(项目类型,C1,'数据-汇总表'!E17:E26)+SUMIF(项目类型,C1,'数据-汇总表'!I17:I26))</f>
        <v>61.129999999999995</v>
      </c>
      <c r="M18" s="2409">
        <f>IF(C1="",'数据-汇总表'!E3,SUMIF(项目类型,C1,'数据-汇总表'!E17:E26))</f>
        <v>59.58</v>
      </c>
    </row>
    <row r="19" spans="1:35" ht="15">
      <c r="A19" s="2415" t="s">
        <v>2143</v>
      </c>
      <c r="B19" s="2416" t="s">
        <v>2144</v>
      </c>
      <c r="C19" s="141">
        <f ca="1">SUMIF(INDIRECT("'"&amp;C4&amp;"'"&amp;"!A:A"),'结果表-公寓'!B19,INDIRECT("'"&amp;C4&amp;"'"&amp;"!B:B"))</f>
        <v>153</v>
      </c>
      <c r="D19" s="142">
        <f ca="1">SUMIF(INDIRECT("'"&amp;D4&amp;"'"&amp;"!A:A"),'结果表-公寓'!B19,INDIRECT("'"&amp;D4&amp;"'"&amp;"!B:B"))</f>
        <v>57</v>
      </c>
      <c r="E19" s="2415" t="s">
        <v>2145</v>
      </c>
      <c r="F19" s="2416" t="s">
        <v>2144</v>
      </c>
      <c r="G19" s="143">
        <f ca="1">ROUND(C19*$C$18+D19*$D$18,0)</f>
        <v>134</v>
      </c>
      <c r="H19" s="2417" t="s">
        <v>2146</v>
      </c>
      <c r="I19" s="136"/>
      <c r="K19" s="2409" t="s">
        <v>2147</v>
      </c>
      <c r="L19" s="2409">
        <f>IF(C1="",'数据-汇总表'!D3,SUMIF(项目类型,C1,'数据-汇总表'!D17:D26)+SUMIF(项目类型,C1,'数据-汇总表'!H17:H27))</f>
        <v>4.9799999999999995</v>
      </c>
      <c r="M19" s="2409">
        <f>IF(C1="",'数据-汇总表'!D3,SUMIF(项目类型,C1,'数据-汇总表'!D17:D26))</f>
        <v>4.8499999999999996</v>
      </c>
    </row>
    <row r="20" spans="1:35" ht="15">
      <c r="A20" s="2418"/>
      <c r="B20" s="1232" t="s">
        <v>2148</v>
      </c>
      <c r="C20" s="144">
        <f ca="1">SUMIF(INDIRECT("'"&amp;C4&amp;"'"&amp;"!A:A"),'结果表-公寓'!B20,INDIRECT("'"&amp;C4&amp;"'"&amp;"!B:B"))</f>
        <v>25724</v>
      </c>
      <c r="D20" s="145">
        <f ca="1">SUMIF(INDIRECT("'"&amp;D4&amp;"'"&amp;"!A:A"),'结果表-公寓'!B20,INDIRECT("'"&amp;D4&amp;"'"&amp;"!B:B"))</f>
        <v>9516</v>
      </c>
      <c r="E20" s="2418"/>
      <c r="F20" s="1232" t="s">
        <v>2148</v>
      </c>
      <c r="G20" s="146">
        <f ca="1">ROUND(C20*$C$18+D20*$D$18,0)</f>
        <v>22482</v>
      </c>
      <c r="H20" s="973" t="s">
        <v>2149</v>
      </c>
      <c r="I20" s="136"/>
    </row>
    <row r="21" spans="1:35" ht="15" customHeight="1" thickBot="1">
      <c r="A21" s="993"/>
      <c r="B21" s="2419" t="s">
        <v>2150</v>
      </c>
      <c r="C21" s="786">
        <f ca="1">ROUND(C19*10000/L19,0)</f>
        <v>307229</v>
      </c>
      <c r="D21" s="787">
        <f ca="1">ROUND(D19*10000/L19,0)</f>
        <v>114458</v>
      </c>
      <c r="E21" s="993"/>
      <c r="F21" s="2419" t="s">
        <v>2150</v>
      </c>
      <c r="G21" s="147">
        <f ca="1">ROUND(G19*10000/L19,0)</f>
        <v>269076</v>
      </c>
      <c r="H21" s="2420" t="s">
        <v>2149</v>
      </c>
      <c r="I21" s="136"/>
    </row>
    <row r="22" spans="1:35" ht="15" thickBot="1">
      <c r="A22" s="2261" t="s">
        <v>2151</v>
      </c>
      <c r="B22" s="2421"/>
      <c r="C22" s="2422"/>
      <c r="D22" s="788">
        <f ca="1">IF(C19&lt;D19,D19/C19-1,C19/D19-1)</f>
        <v>1.6842105263157894</v>
      </c>
      <c r="E22" s="136"/>
      <c r="F22" s="136"/>
      <c r="G22" s="136"/>
      <c r="H22" s="136"/>
      <c r="I22" s="136"/>
    </row>
    <row r="23" spans="1:35" ht="13.5" hidden="1" thickBot="1">
      <c r="A23" s="2399"/>
      <c r="B23" s="2399"/>
      <c r="C23" s="2399"/>
      <c r="D23" s="2399"/>
      <c r="E23" s="136"/>
      <c r="F23" s="136"/>
      <c r="G23" s="136"/>
      <c r="H23" s="136"/>
      <c r="I23" s="136"/>
    </row>
    <row r="24" spans="1:35" ht="14.25" hidden="1">
      <c r="A24" s="3142" t="s">
        <v>2152</v>
      </c>
      <c r="B24" s="2416" t="s">
        <v>2144</v>
      </c>
      <c r="C24" s="143">
        <f>IF(B30=0,0,D30)</f>
        <v>0</v>
      </c>
      <c r="D24" s="2423"/>
      <c r="E24" s="136"/>
      <c r="F24" s="136"/>
      <c r="G24" s="136"/>
      <c r="H24" s="136"/>
      <c r="I24" s="136"/>
    </row>
    <row r="25" spans="1:35" ht="14.25" hidden="1">
      <c r="A25" s="3143"/>
      <c r="B25" s="1232" t="s">
        <v>2148</v>
      </c>
      <c r="C25" s="148">
        <f>IF(B30=0,0,C30)</f>
        <v>0</v>
      </c>
      <c r="D25" s="2424"/>
      <c r="E25" s="136"/>
      <c r="F25" s="136"/>
      <c r="G25" s="136"/>
      <c r="H25" s="136"/>
      <c r="I25" s="136"/>
    </row>
    <row r="26" spans="1:35" ht="13.5" hidden="1" customHeight="1">
      <c r="A26" s="2425" t="s">
        <v>2153</v>
      </c>
      <c r="B26" s="149" t="s">
        <v>2154</v>
      </c>
      <c r="C26" s="149" t="s">
        <v>2155</v>
      </c>
      <c r="D26" s="150" t="s">
        <v>2156</v>
      </c>
      <c r="E26" s="136"/>
      <c r="F26" s="136"/>
      <c r="G26" s="136"/>
      <c r="H26" s="136"/>
      <c r="I26" s="136"/>
    </row>
    <row r="27" spans="1:35" ht="14.25" hidden="1">
      <c r="A27" s="2425"/>
      <c r="B27" s="149">
        <v>0</v>
      </c>
      <c r="C27" s="149">
        <v>0</v>
      </c>
      <c r="D27" s="150">
        <f>ROUND(C27*B27/10000,0)</f>
        <v>0</v>
      </c>
      <c r="E27" s="136"/>
      <c r="F27" s="136"/>
      <c r="G27" s="136"/>
      <c r="H27" s="136"/>
      <c r="I27" s="136"/>
    </row>
    <row r="28" spans="1:35" ht="14.25" hidden="1">
      <c r="A28" s="2425"/>
      <c r="B28" s="149"/>
      <c r="C28" s="149"/>
      <c r="D28" s="150"/>
      <c r="E28" s="136"/>
      <c r="F28" s="136"/>
      <c r="G28" s="136"/>
      <c r="H28" s="136"/>
      <c r="I28" s="136"/>
    </row>
    <row r="29" spans="1:35" ht="14.25" hidden="1">
      <c r="A29" s="2425"/>
      <c r="B29" s="149"/>
      <c r="C29" s="149"/>
      <c r="D29" s="150"/>
      <c r="E29" s="136"/>
      <c r="F29" s="136"/>
      <c r="G29" s="136"/>
      <c r="H29" s="136"/>
      <c r="I29" s="136"/>
    </row>
    <row r="30" spans="1:35" ht="14.25" hidden="1">
      <c r="A30" s="149" t="s">
        <v>2157</v>
      </c>
      <c r="B30" s="149"/>
      <c r="C30" s="149"/>
      <c r="D30" s="149"/>
      <c r="E30" s="2906" t="s">
        <v>3036</v>
      </c>
      <c r="F30" s="136"/>
      <c r="G30" s="136"/>
      <c r="H30" s="136"/>
      <c r="I30" s="136"/>
    </row>
    <row r="31" spans="1:35" s="2427" customFormat="1" ht="15" hidden="1" thickBot="1">
      <c r="A31" s="2426"/>
      <c r="B31" s="2426"/>
      <c r="C31" s="2426"/>
      <c r="D31" s="2426"/>
      <c r="E31" s="136"/>
      <c r="F31" s="136"/>
      <c r="G31" s="136"/>
      <c r="H31" s="136"/>
      <c r="I31" s="136"/>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2158</v>
      </c>
      <c r="B32" s="2429"/>
      <c r="C32" s="151">
        <f ca="1">IF(D32="总价",G19-C24,G20-C25)</f>
        <v>134</v>
      </c>
      <c r="D32" s="2430" t="s">
        <v>2159</v>
      </c>
      <c r="E32" s="136"/>
      <c r="F32" s="136"/>
      <c r="G32" s="136"/>
      <c r="H32" s="136"/>
      <c r="I32" s="136"/>
    </row>
    <row r="33" spans="1:15" ht="15">
      <c r="A33" s="950" t="s">
        <v>2160</v>
      </c>
      <c r="B33" s="2431"/>
      <c r="C33" s="2432" t="s">
        <v>3206</v>
      </c>
      <c r="D33" s="2433" t="s">
        <v>3203</v>
      </c>
      <c r="E33" s="2434" t="s">
        <v>2161</v>
      </c>
      <c r="F33" s="2435" t="str">
        <f>IF(D32="楼面单价","取值（单价）","取值（总价）")</f>
        <v>取值（总价）</v>
      </c>
      <c r="G33" s="136"/>
      <c r="H33" s="136"/>
      <c r="I33" s="136"/>
    </row>
    <row r="34" spans="1:15" ht="15">
      <c r="A34" s="2436"/>
      <c r="B34" s="2437" t="s">
        <v>2162</v>
      </c>
      <c r="C34" s="155">
        <f ca="1">IF(C33="自定义",F34,C32-C35)</f>
        <v>72</v>
      </c>
      <c r="D34" s="1048">
        <f ca="1">IF(C33="自定义",ROUND(C34/C32,3),IF(C33="收益比率",SUMIF(INDIRECT("'"&amp;D33&amp;"'"&amp;"!b:b"),"土地收益比率",INDIRECT("'"&amp;D33&amp;"'"&amp;"!c:c")),SUMIF(INDIRECT("'"&amp;D33&amp;"'"&amp;"!b:b"),"土地成本比率",INDIRECT("'"&amp;D33&amp;"'"&amp;"!c:c"))))</f>
        <v>0.53800000000000003</v>
      </c>
      <c r="E34" s="2438" t="s">
        <v>2163</v>
      </c>
      <c r="F34" s="1722"/>
      <c r="G34" s="136"/>
      <c r="H34" s="136"/>
      <c r="I34" s="136"/>
    </row>
    <row r="35" spans="1:15" ht="15.75" thickBot="1">
      <c r="A35" s="2439"/>
      <c r="B35" s="2440" t="s">
        <v>2164</v>
      </c>
      <c r="C35" s="1426">
        <f ca="1">IF(C33="自定义",F35,ROUND(C32*D35,0))</f>
        <v>62</v>
      </c>
      <c r="D35" s="1427">
        <f ca="1">IF(C33="自定义",ROUND(C35/C32,3),IF(C33="收益比率",SUMIF(INDIRECT("'"&amp;D33&amp;"'"&amp;"!b:b"),"建筑物收益比率",INDIRECT("'"&amp;D33&amp;"'"&amp;"!c:c")),SUMIF(INDIRECT("'"&amp;D33&amp;"'"&amp;"!b:b"),"建筑物成本比率",INDIRECT("'"&amp;D33&amp;"'"&amp;"!c:c"))))</f>
        <v>0.46200000000000002</v>
      </c>
      <c r="E35" s="2441" t="s">
        <v>2165</v>
      </c>
      <c r="F35" s="161"/>
      <c r="G35" s="136"/>
      <c r="H35" s="136"/>
      <c r="I35" s="136"/>
    </row>
    <row r="36" spans="1:15" ht="15.75" hidden="1" thickBot="1">
      <c r="A36" s="3122" t="s">
        <v>2166</v>
      </c>
      <c r="B36" s="2442" t="s">
        <v>2167</v>
      </c>
      <c r="C36" s="152"/>
      <c r="D36" s="2443"/>
      <c r="E36" s="2444"/>
      <c r="F36" s="2445"/>
      <c r="G36" s="136"/>
      <c r="H36" s="136"/>
      <c r="I36" s="136"/>
    </row>
    <row r="37" spans="1:15" ht="15.75" hidden="1" thickBot="1">
      <c r="A37" s="3123"/>
      <c r="B37" s="2247" t="s">
        <v>2168</v>
      </c>
      <c r="C37" s="154"/>
      <c r="D37" s="1377"/>
      <c r="E37" s="1377"/>
      <c r="F37" s="2445"/>
      <c r="G37" s="136"/>
      <c r="H37" s="136"/>
      <c r="I37" s="136"/>
    </row>
    <row r="38" spans="1:15" ht="15.75" hidden="1" thickBot="1">
      <c r="A38" s="3124"/>
      <c r="B38" s="2446" t="s">
        <v>2169</v>
      </c>
      <c r="C38" s="724"/>
      <c r="D38" s="2447" t="s">
        <v>2170</v>
      </c>
      <c r="E38" s="1377"/>
      <c r="F38" s="2445"/>
      <c r="G38" s="136"/>
      <c r="H38" s="136"/>
      <c r="I38" s="136"/>
    </row>
    <row r="39" spans="1:15" ht="15" hidden="1">
      <c r="A39" s="2418" t="s">
        <v>2171</v>
      </c>
      <c r="B39" s="2448" t="s">
        <v>2172</v>
      </c>
      <c r="C39" s="2449" t="s">
        <v>2173</v>
      </c>
      <c r="D39" s="2449" t="s">
        <v>2174</v>
      </c>
      <c r="E39" s="2450" t="s">
        <v>2175</v>
      </c>
      <c r="F39" s="2445"/>
      <c r="G39" s="136"/>
      <c r="H39" s="136"/>
      <c r="I39" s="136"/>
    </row>
    <row r="40" spans="1:15" ht="14.25" hidden="1">
      <c r="A40" s="2451" t="s">
        <v>2176</v>
      </c>
      <c r="B40" s="156"/>
      <c r="C40" s="157"/>
      <c r="D40" s="157"/>
      <c r="E40" s="158"/>
      <c r="F40" s="2445"/>
      <c r="G40" s="136"/>
      <c r="H40" s="136"/>
      <c r="I40" s="136"/>
    </row>
    <row r="41" spans="1:15" ht="14.25" hidden="1">
      <c r="A41" s="2451" t="s">
        <v>2177</v>
      </c>
      <c r="B41" s="156"/>
      <c r="C41" s="157"/>
      <c r="D41" s="157"/>
      <c r="E41" s="158"/>
      <c r="F41" s="2445"/>
      <c r="G41" s="136"/>
      <c r="H41" s="136"/>
      <c r="I41" s="136"/>
    </row>
    <row r="42" spans="1:15" ht="15" hidden="1" thickBot="1">
      <c r="A42" s="2452"/>
      <c r="B42" s="159"/>
      <c r="C42" s="160"/>
      <c r="D42" s="160"/>
      <c r="E42" s="161"/>
      <c r="F42" s="2445"/>
      <c r="G42" s="136"/>
      <c r="H42" s="136"/>
      <c r="I42" s="136"/>
    </row>
    <row r="43" spans="1:15" ht="12.75" hidden="1">
      <c r="A43" s="2146"/>
      <c r="B43" s="2146"/>
      <c r="C43" s="2146"/>
      <c r="D43" s="2146"/>
      <c r="E43" s="2146"/>
      <c r="F43" s="2453"/>
      <c r="G43" s="2453"/>
      <c r="H43" s="2453"/>
      <c r="I43" s="2454"/>
    </row>
    <row r="44" spans="1:15" ht="18.75" hidden="1">
      <c r="A44" s="2455" t="s">
        <v>2178</v>
      </c>
      <c r="B44" s="2456"/>
      <c r="C44" s="2456"/>
      <c r="D44" s="2457"/>
      <c r="E44" s="2457"/>
      <c r="F44" s="2458"/>
      <c r="G44" s="2458"/>
      <c r="H44" s="2458"/>
      <c r="I44" s="2458"/>
      <c r="J44" s="2459" t="s">
        <v>2179</v>
      </c>
      <c r="K44" s="2460"/>
      <c r="L44" s="2460"/>
      <c r="M44" s="2460"/>
      <c r="N44" s="2460"/>
      <c r="O44" s="2460"/>
    </row>
    <row r="45" spans="1:15" ht="14.25" hidden="1" customHeight="1" thickBot="1">
      <c r="A45" s="3139" t="s">
        <v>2180</v>
      </c>
      <c r="B45" s="3140"/>
      <c r="C45" s="3141"/>
      <c r="D45" s="162">
        <f ca="1">ROUND(H101*F45,0)</f>
        <v>134</v>
      </c>
      <c r="E45" s="163" t="s">
        <v>2181</v>
      </c>
      <c r="F45" s="164">
        <v>1</v>
      </c>
      <c r="G45" s="165" t="s">
        <v>2182</v>
      </c>
      <c r="H45" s="136"/>
      <c r="I45" s="136"/>
      <c r="J45" s="3058" t="s">
        <v>2183</v>
      </c>
      <c r="K45" s="3058"/>
      <c r="L45" s="3058"/>
      <c r="M45" s="3058"/>
      <c r="N45" s="3058"/>
      <c r="O45" s="3058"/>
    </row>
    <row r="46" spans="1:15" ht="14.25" hidden="1" customHeight="1">
      <c r="A46" s="3136" t="s">
        <v>2184</v>
      </c>
      <c r="B46" s="3137"/>
      <c r="C46" s="3137"/>
      <c r="D46" s="3137"/>
      <c r="E46" s="3137"/>
      <c r="F46" s="3137"/>
      <c r="G46" s="3138"/>
      <c r="H46" s="2461"/>
      <c r="I46" s="166"/>
      <c r="J46" s="1795">
        <v>1</v>
      </c>
      <c r="K46" s="3058" t="s">
        <v>2185</v>
      </c>
      <c r="L46" s="3058"/>
      <c r="M46" s="3059"/>
      <c r="N46" s="3059"/>
      <c r="O46" s="3059"/>
    </row>
    <row r="47" spans="1:15" ht="12" hidden="1" customHeight="1">
      <c r="A47" s="167" t="s">
        <v>2186</v>
      </c>
      <c r="B47" s="168"/>
      <c r="C47" s="169"/>
      <c r="D47" s="170" t="s">
        <v>2187</v>
      </c>
      <c r="E47" s="24" t="s">
        <v>2188</v>
      </c>
      <c r="F47" s="171" t="s">
        <v>2189</v>
      </c>
      <c r="G47" s="172" t="s">
        <v>2190</v>
      </c>
      <c r="H47" s="2461"/>
      <c r="I47" s="166"/>
      <c r="J47" s="1795">
        <v>2</v>
      </c>
      <c r="K47" s="3058" t="s">
        <v>2191</v>
      </c>
      <c r="L47" s="3058"/>
      <c r="M47" s="3060">
        <f>'数据-取费表'!B2</f>
        <v>43061</v>
      </c>
      <c r="N47" s="3060"/>
      <c r="O47" s="3060"/>
    </row>
    <row r="48" spans="1:15" ht="25.5" hidden="1">
      <c r="A48" s="3126" t="s">
        <v>2192</v>
      </c>
      <c r="B48" s="3127"/>
      <c r="C48" s="3127"/>
      <c r="D48" s="138">
        <f>IF(H48="情况1",0,IF(H48="情况2",D52,IF(H48="情况3",D53,IF(H48="情况4",D54))))</f>
        <v>0</v>
      </c>
      <c r="E48" s="1784" t="str">
        <f>IF(H48="情况4","(销售额-原购置价)×税（费）率","销售额×税（费）率")</f>
        <v>销售额×税（费）率</v>
      </c>
      <c r="F48" s="173" t="str">
        <f>IF(H48="情况1","免征",'数据-取费表'!B41)</f>
        <v>免征</v>
      </c>
      <c r="G48" s="2462" t="s">
        <v>2193</v>
      </c>
      <c r="H48" s="2463" t="s">
        <v>2194</v>
      </c>
      <c r="I48" s="2461"/>
      <c r="J48" s="1795">
        <v>3</v>
      </c>
      <c r="K48" s="3058" t="s">
        <v>2195</v>
      </c>
      <c r="L48" s="3058"/>
      <c r="M48" s="3061">
        <f ca="1">H101</f>
        <v>134</v>
      </c>
      <c r="N48" s="3061"/>
      <c r="O48" s="3061"/>
    </row>
    <row r="49" spans="1:35" ht="25.5" hidden="1" customHeight="1">
      <c r="A49" s="174" t="s">
        <v>2196</v>
      </c>
      <c r="B49" s="3106" t="s">
        <v>2197</v>
      </c>
      <c r="C49" s="3106"/>
      <c r="D49" s="175">
        <v>0</v>
      </c>
      <c r="E49" s="23" t="s">
        <v>2198</v>
      </c>
      <c r="F49" s="28" t="s">
        <v>34</v>
      </c>
      <c r="G49" s="3087"/>
      <c r="H49" s="136"/>
      <c r="I49" s="2464"/>
      <c r="J49" s="1795">
        <v>4</v>
      </c>
      <c r="K49" s="3058" t="str">
        <f>IF(项目基本情况!E8="房地产抵押价值","房地产抵押价值","抵押担保权已注销时的房地产抵押价值")</f>
        <v>房地产抵押价值</v>
      </c>
      <c r="L49" s="3058"/>
      <c r="M49" s="3061">
        <f ca="1">IF(项目基本情况!E8="房地产抵押价值",H107,H109)</f>
        <v>134</v>
      </c>
      <c r="N49" s="3061"/>
      <c r="O49" s="3061"/>
    </row>
    <row r="50" spans="1:35" ht="25.5" hidden="1" customHeight="1">
      <c r="A50" s="176"/>
      <c r="B50" s="3106" t="s">
        <v>2199</v>
      </c>
      <c r="C50" s="3106"/>
      <c r="D50" s="177"/>
      <c r="E50" s="31"/>
      <c r="F50" s="178"/>
      <c r="G50" s="3088"/>
      <c r="H50" s="136"/>
      <c r="I50" s="2464"/>
      <c r="J50" s="3058" t="s">
        <v>2200</v>
      </c>
      <c r="K50" s="3058"/>
      <c r="L50" s="3058"/>
      <c r="M50" s="3058"/>
      <c r="N50" s="3058"/>
      <c r="O50" s="3058"/>
    </row>
    <row r="51" spans="1:35" ht="12" hidden="1" customHeight="1">
      <c r="A51" s="179"/>
      <c r="B51" s="3106" t="s">
        <v>2201</v>
      </c>
      <c r="C51" s="3106"/>
      <c r="D51" s="180"/>
      <c r="E51" s="30"/>
      <c r="F51" s="178"/>
      <c r="G51" s="3089"/>
      <c r="H51" s="136"/>
      <c r="I51" s="2464"/>
      <c r="J51" s="2465" t="s">
        <v>2202</v>
      </c>
      <c r="K51" s="3058" t="s">
        <v>2203</v>
      </c>
      <c r="L51" s="3058"/>
      <c r="M51" s="2465" t="s">
        <v>2204</v>
      </c>
      <c r="N51" s="2465" t="s">
        <v>2205</v>
      </c>
      <c r="O51" s="2465" t="s">
        <v>2206</v>
      </c>
    </row>
    <row r="52" spans="1:35" ht="24" hidden="1" customHeight="1">
      <c r="A52" s="181" t="s">
        <v>2207</v>
      </c>
      <c r="B52" s="3106" t="s">
        <v>2208</v>
      </c>
      <c r="C52" s="3106"/>
      <c r="D52" s="180">
        <f ca="1">ROUND(D45*'数据-取费表'!B41/(1+'数据-取费表'!C42),0)</f>
        <v>7</v>
      </c>
      <c r="E52" s="11" t="s">
        <v>2209</v>
      </c>
      <c r="F52" s="182">
        <f>'数据-取费表'!B41</f>
        <v>5.6500000000000002E-2</v>
      </c>
      <c r="G52" s="2466"/>
      <c r="H52" s="136"/>
      <c r="I52" s="2464"/>
      <c r="J52" s="1795">
        <v>1</v>
      </c>
      <c r="K52" s="3081" t="s">
        <v>2210</v>
      </c>
      <c r="L52" s="3081"/>
      <c r="M52" s="1737">
        <f>D48</f>
        <v>0</v>
      </c>
      <c r="N52" s="1795" t="str">
        <f>E48</f>
        <v>销售额×税（费）率</v>
      </c>
      <c r="O52" s="1738" t="str">
        <f>F48</f>
        <v>免征</v>
      </c>
    </row>
    <row r="53" spans="1:35" ht="12" hidden="1" customHeight="1">
      <c r="A53" s="181" t="s">
        <v>2211</v>
      </c>
      <c r="B53" s="3107" t="s">
        <v>2212</v>
      </c>
      <c r="C53" s="3108"/>
      <c r="D53" s="180">
        <f ca="1">ROUND(D45*'数据-取费表'!B41/(1+'数据-取费表'!C42),0)</f>
        <v>7</v>
      </c>
      <c r="E53" s="11" t="s">
        <v>2209</v>
      </c>
      <c r="F53" s="182">
        <f>'数据-取费表'!B41</f>
        <v>5.6500000000000002E-2</v>
      </c>
      <c r="G53" s="2466"/>
      <c r="H53" s="136"/>
      <c r="I53" s="2464"/>
      <c r="J53" s="1795">
        <v>2</v>
      </c>
      <c r="K53" s="3081" t="s">
        <v>2213</v>
      </c>
      <c r="L53" s="3081"/>
      <c r="M53" s="1737">
        <f t="shared" ref="M53:O54" ca="1" si="0">D55</f>
        <v>0</v>
      </c>
      <c r="N53" s="1795" t="str">
        <f t="shared" si="0"/>
        <v>销售额×税（费）率</v>
      </c>
      <c r="O53" s="1738">
        <f t="shared" si="0"/>
        <v>5.0000000000000001E-4</v>
      </c>
    </row>
    <row r="54" spans="1:35" ht="12" hidden="1" customHeight="1">
      <c r="A54" s="181" t="s">
        <v>2214</v>
      </c>
      <c r="B54" s="3107" t="s">
        <v>2215</v>
      </c>
      <c r="C54" s="3108"/>
      <c r="D54" s="180">
        <f ca="1">C68</f>
        <v>7</v>
      </c>
      <c r="E54" s="30" t="s">
        <v>2216</v>
      </c>
      <c r="F54" s="182">
        <f>'数据-取费表'!B41</f>
        <v>5.6500000000000002E-2</v>
      </c>
      <c r="G54" s="2466"/>
      <c r="H54" s="2467"/>
      <c r="I54" s="2464"/>
      <c r="J54" s="1795">
        <v>3</v>
      </c>
      <c r="K54" s="3081" t="s">
        <v>2217</v>
      </c>
      <c r="L54" s="3081"/>
      <c r="M54" s="1737">
        <f t="shared" ca="1" si="0"/>
        <v>76</v>
      </c>
      <c r="N54" s="1795" t="str">
        <f t="shared" si="0"/>
        <v>增值额×税（费）率</v>
      </c>
      <c r="O54" s="1739" t="str">
        <f t="shared" si="0"/>
        <v>——</v>
      </c>
    </row>
    <row r="55" spans="1:35" ht="24" hidden="1" customHeight="1">
      <c r="A55" s="3145" t="s">
        <v>2218</v>
      </c>
      <c r="B55" s="3127"/>
      <c r="C55" s="3127"/>
      <c r="D55" s="183">
        <f ca="1">IF(H55="个人住宅",0,ROUND(D45*I55,0))</f>
        <v>0</v>
      </c>
      <c r="E55" s="11" t="s">
        <v>2219</v>
      </c>
      <c r="F55" s="182">
        <f>IF(H55="正常",I55,"免征")</f>
        <v>5.0000000000000001E-4</v>
      </c>
      <c r="G55" s="2466"/>
      <c r="H55" s="2463" t="s">
        <v>2220</v>
      </c>
      <c r="I55" s="184">
        <f>'数据-取费表'!B49</f>
        <v>5.0000000000000001E-4</v>
      </c>
      <c r="J55" s="1795" t="str">
        <f>IF(H59="非个人房产","",4)</f>
        <v/>
      </c>
      <c r="K55" s="3081" t="str">
        <f>IF(H59="非个人房产","——","个人所得税")</f>
        <v>——</v>
      </c>
      <c r="L55" s="3081"/>
      <c r="M55" s="1740" t="str">
        <f>D59</f>
        <v>——</v>
      </c>
      <c r="N55" s="1793" t="str">
        <f>E59</f>
        <v>——</v>
      </c>
      <c r="O55" s="1741" t="str">
        <f>F59</f>
        <v>——</v>
      </c>
    </row>
    <row r="56" spans="1:35" ht="24.75" hidden="1">
      <c r="A56" s="3145" t="s">
        <v>2221</v>
      </c>
      <c r="B56" s="3127"/>
      <c r="C56" s="3127"/>
      <c r="D56" s="183">
        <f ca="1">IF(H56="个人住宅",D57,D58)</f>
        <v>76</v>
      </c>
      <c r="E56" s="11" t="s">
        <v>2222</v>
      </c>
      <c r="F56" s="182" t="str">
        <f>IF(H56="正常",F58,"免征")</f>
        <v>——</v>
      </c>
      <c r="G56" s="2468" t="s">
        <v>2223</v>
      </c>
      <c r="H56" s="2469" t="s">
        <v>2220</v>
      </c>
      <c r="I56" s="2470"/>
      <c r="J56" s="1795" t="str">
        <f>IF(项目基本情况!K6="上海银行",IF(J55="",4,J55+1),"")</f>
        <v/>
      </c>
      <c r="K56" s="3064" t="str">
        <f>IF(项目基本情况!K6="上海银行","其他处置费用","")</f>
        <v/>
      </c>
      <c r="L56" s="3065"/>
      <c r="M56" s="1737" t="str">
        <f>IF(项目基本情况!K6="上海银行",M69,"")</f>
        <v/>
      </c>
      <c r="N56" s="3067" t="str">
        <f>IF(项目基本情况!K6="上海银行","包含处置中涉及的律师、诉讼、拍卖、评估等费用","")</f>
        <v/>
      </c>
      <c r="O56" s="3068"/>
    </row>
    <row r="57" spans="1:35" ht="12.75" hidden="1">
      <c r="A57" s="181" t="s">
        <v>2196</v>
      </c>
      <c r="B57" s="3112" t="s">
        <v>2224</v>
      </c>
      <c r="C57" s="3113"/>
      <c r="D57" s="185">
        <v>0</v>
      </c>
      <c r="E57" s="23" t="s">
        <v>2198</v>
      </c>
      <c r="F57" s="153"/>
      <c r="G57" s="2466"/>
      <c r="H57" s="2470"/>
      <c r="I57" s="2470"/>
      <c r="J57" s="3081">
        <f>IF(AND(J55="",J56=""),4,IF(项目基本情况!K6="上海银行",'结果表-公寓'!J56+1,'结果表-公寓'!J55+1))</f>
        <v>4</v>
      </c>
      <c r="K57" s="3081" t="s">
        <v>2225</v>
      </c>
      <c r="L57" s="2471" t="s">
        <v>2226</v>
      </c>
      <c r="M57" s="1742"/>
      <c r="N57" s="1743">
        <f ca="1">SUMIF(M52:M56,"&lt;9e307")</f>
        <v>76</v>
      </c>
      <c r="O57" s="2472"/>
      <c r="P57" s="1736">
        <f ca="1">N57/M49</f>
        <v>0.56716417910447758</v>
      </c>
    </row>
    <row r="58" spans="1:35" ht="24.75" hidden="1">
      <c r="A58" s="181" t="s">
        <v>2207</v>
      </c>
      <c r="B58" s="3112" t="s">
        <v>2227</v>
      </c>
      <c r="C58" s="3125"/>
      <c r="D58" s="183">
        <f ca="1">IF(H58="转让取得",C81,C97)</f>
        <v>76</v>
      </c>
      <c r="E58" s="11" t="s">
        <v>2222</v>
      </c>
      <c r="F58" s="24" t="s">
        <v>34</v>
      </c>
      <c r="G58" s="2466"/>
      <c r="H58" s="2469" t="s">
        <v>2228</v>
      </c>
      <c r="I58" s="2470"/>
      <c r="J58" s="3081"/>
      <c r="K58" s="3081"/>
      <c r="L58" s="2471" t="s">
        <v>2229</v>
      </c>
      <c r="M58" s="1744"/>
      <c r="N58" s="2473" t="str">
        <f ca="1">NUMBERSTRING(INT(N57*10000),2)&amp;"元整"</f>
        <v>柒拾陆万元整</v>
      </c>
      <c r="O58" s="2474"/>
    </row>
    <row r="59" spans="1:35" ht="24.75" hidden="1" thickBot="1">
      <c r="A59" s="3085" t="s">
        <v>2230</v>
      </c>
      <c r="B59" s="3086"/>
      <c r="C59" s="3086"/>
      <c r="D59" s="186" t="str">
        <f>IF(H59="非个人房产","——",IF(H59="个人住宅",0,ROUND(D45*I59,0)))</f>
        <v>——</v>
      </c>
      <c r="E59" s="187" t="str">
        <f>IF(H59="非个人房产","——","销售额×税（费）率")</f>
        <v>——</v>
      </c>
      <c r="F59" s="188" t="str">
        <f>IF(H59="非个人房产","——",IF(H59="个人住宅","免征",I59))</f>
        <v>——</v>
      </c>
      <c r="G59" s="2475" t="s">
        <v>2223</v>
      </c>
      <c r="H59" s="2469" t="s">
        <v>2231</v>
      </c>
      <c r="I59" s="189">
        <v>0.01</v>
      </c>
      <c r="J59" s="3083">
        <f>J57+1</f>
        <v>5</v>
      </c>
      <c r="K59" s="3081" t="s">
        <v>2232</v>
      </c>
      <c r="L59" s="1795" t="s">
        <v>2226</v>
      </c>
      <c r="M59" s="1745"/>
      <c r="N59" s="1746">
        <f ca="1">M49-N57</f>
        <v>58</v>
      </c>
      <c r="O59" s="2476"/>
    </row>
    <row r="60" spans="1:35" ht="12" hidden="1" customHeight="1">
      <c r="A60" s="2477"/>
      <c r="B60" s="2399"/>
      <c r="C60" s="2399"/>
      <c r="D60" s="2399"/>
      <c r="E60" s="2147"/>
      <c r="F60" s="2470"/>
      <c r="G60" s="2470"/>
      <c r="H60" s="2478"/>
      <c r="I60" s="136"/>
      <c r="J60" s="3084"/>
      <c r="K60" s="3081"/>
      <c r="L60" s="2471" t="s">
        <v>2229</v>
      </c>
      <c r="M60" s="1744"/>
      <c r="N60" s="2473" t="str">
        <f ca="1">NUMBERSTRING(INT(N59*10000),2)&amp;"元整"</f>
        <v>伍拾捌万元整</v>
      </c>
      <c r="O60" s="2474"/>
    </row>
    <row r="61" spans="1:35" ht="13.5" hidden="1" thickBot="1">
      <c r="A61" s="3144" t="s">
        <v>2233</v>
      </c>
      <c r="B61" s="3144"/>
      <c r="C61" s="3144"/>
      <c r="D61" s="3144"/>
      <c r="E61" s="3144"/>
      <c r="F61" s="2470"/>
      <c r="G61" s="2470"/>
      <c r="H61" s="2478"/>
      <c r="I61" s="136"/>
      <c r="J61" s="1795">
        <f>J59+1</f>
        <v>6</v>
      </c>
      <c r="K61" s="3081" t="s">
        <v>2234</v>
      </c>
      <c r="L61" s="3081"/>
      <c r="M61" s="1747"/>
      <c r="N61" s="1748">
        <f ca="1">ROUND(N59*10000/'数据-汇总表'!E3,0)</f>
        <v>20</v>
      </c>
      <c r="O61" s="2479"/>
    </row>
    <row r="62" spans="1:35" ht="12.75" hidden="1">
      <c r="A62" s="3101" t="s">
        <v>2235</v>
      </c>
      <c r="B62" s="3102"/>
      <c r="C62" s="1787"/>
      <c r="D62" s="1787" t="s">
        <v>2236</v>
      </c>
      <c r="E62" s="190" t="s">
        <v>2237</v>
      </c>
      <c r="F62" s="2470"/>
      <c r="G62" s="2470"/>
      <c r="H62" s="2478"/>
      <c r="I62" s="136"/>
    </row>
    <row r="63" spans="1:35" ht="12.75" hidden="1">
      <c r="A63" s="201" t="s">
        <v>775</v>
      </c>
      <c r="B63" s="191" t="s">
        <v>2238</v>
      </c>
      <c r="C63" s="192">
        <f ca="1">ROUND((C64+C65)/(1+'数据-取费表'!C42),0)</f>
        <v>128</v>
      </c>
      <c r="D63" s="193"/>
      <c r="E63" s="194"/>
      <c r="F63" s="2470"/>
      <c r="G63" s="2470"/>
      <c r="H63" s="2478"/>
      <c r="I63" s="136"/>
      <c r="J63" s="3066" t="s">
        <v>2239</v>
      </c>
      <c r="K63" s="2480" t="s">
        <v>2240</v>
      </c>
      <c r="L63" s="1735">
        <f ca="1">IF(M49&gt;10000,M49*0.5%,IF(AND(M49&gt;1000,M49&lt;=10000),M49*1%,IF(AND(M49&gt;100,M49&lt;=1000),M49*3%,IF(AND(M49&gt;10,M49&lt;=100),M49*5%,M49*8%))))</f>
        <v>4.0199999999999996</v>
      </c>
      <c r="M63" s="24">
        <f ca="1">ROUND(L63,1)</f>
        <v>4</v>
      </c>
      <c r="Z63" s="2404"/>
      <c r="AI63" s="2405"/>
    </row>
    <row r="64" spans="1:35" ht="14.25" hidden="1" customHeight="1">
      <c r="A64" s="195" t="s">
        <v>770</v>
      </c>
      <c r="B64" s="196" t="s">
        <v>2241</v>
      </c>
      <c r="C64" s="197">
        <f ca="1">D45</f>
        <v>134</v>
      </c>
      <c r="D64" s="198" t="s">
        <v>32</v>
      </c>
      <c r="E64" s="199"/>
      <c r="F64" s="2470"/>
      <c r="G64" s="2470"/>
      <c r="H64" s="2478"/>
      <c r="I64" s="136"/>
      <c r="J64" s="3066"/>
      <c r="K64" s="2480" t="s">
        <v>2242</v>
      </c>
      <c r="L64" s="1735">
        <f ca="1">IF(M49&gt;2000,M49*0.5%,IF(AND(M49&gt;1000,M49&lt;=2000),M49*0.6%,IF(AND(M49&gt;500,M49&lt;=1000),M49*0.7%,IF(AND(M49&gt;200,M49&lt;=500),M49*0.8%,IF(AND(M49&gt;100,M49&lt;=200),M49*0.9%,IF(AND(M49&gt;50,M49&lt;=100),M49*1%,IF(AND(M49&gt;20,M49&lt;=50),M49*1.5%,IF(AND(M49&gt;10,M49&lt;=20),M49*2%,IF(AND(M49&gt;1,M49&lt;=10),M49*2.5%)))))))))</f>
        <v>1.2060000000000002</v>
      </c>
      <c r="M64" s="24">
        <f t="shared" ref="M64:M65" ca="1" si="1">ROUND(L64,1)</f>
        <v>1.2</v>
      </c>
      <c r="N64" s="136" t="s">
        <v>2243</v>
      </c>
      <c r="Z64" s="2404"/>
      <c r="AI64" s="2405"/>
    </row>
    <row r="65" spans="1:35" ht="14.25" hidden="1" customHeight="1">
      <c r="A65" s="195" t="s">
        <v>771</v>
      </c>
      <c r="B65" s="196" t="s">
        <v>2244</v>
      </c>
      <c r="C65" s="200"/>
      <c r="D65" s="198"/>
      <c r="E65" s="199"/>
      <c r="F65" s="2470"/>
      <c r="G65" s="2470"/>
      <c r="H65" s="2478"/>
      <c r="I65" s="136"/>
      <c r="J65" s="3066"/>
      <c r="K65" s="2480" t="s">
        <v>2245</v>
      </c>
      <c r="L65" s="1735">
        <f ca="1">IF(M49&gt;1000,M49*0.1%,IF(AND(M49&gt;500,M49&lt;=1000),M49*0.5%,IF(AND(M49&gt;50,M49&lt;=500),M49*1%,IF(AND(M49&gt;1,M49&lt;=50),M49*1.5%))))</f>
        <v>1.34</v>
      </c>
      <c r="M65" s="24">
        <f t="shared" ca="1" si="1"/>
        <v>1.3</v>
      </c>
      <c r="N65" s="136" t="s">
        <v>2243</v>
      </c>
      <c r="Z65" s="2404"/>
      <c r="AI65" s="2405"/>
    </row>
    <row r="66" spans="1:35" ht="14.25" hidden="1" customHeight="1">
      <c r="A66" s="201" t="s">
        <v>772</v>
      </c>
      <c r="B66" s="202" t="s">
        <v>2246</v>
      </c>
      <c r="C66" s="203"/>
      <c r="D66" s="204" t="s">
        <v>32</v>
      </c>
      <c r="E66" s="1759" t="s">
        <v>1372</v>
      </c>
      <c r="F66" s="2470"/>
      <c r="G66" s="2470"/>
      <c r="H66" s="2478"/>
      <c r="I66" s="136"/>
      <c r="J66" s="3066"/>
      <c r="K66" s="2480" t="s">
        <v>2247</v>
      </c>
      <c r="L66" s="1735">
        <f ca="1">M49*0.5%</f>
        <v>0.67</v>
      </c>
      <c r="M66" s="24">
        <f ca="1">IF(L66&gt;0.5,0.5,ROUND(L66,0))</f>
        <v>0.5</v>
      </c>
      <c r="N66" s="136" t="s">
        <v>2248</v>
      </c>
      <c r="Z66" s="2404"/>
      <c r="AI66" s="2405"/>
    </row>
    <row r="67" spans="1:35" ht="14.25" hidden="1" customHeight="1">
      <c r="A67" s="201" t="s">
        <v>773</v>
      </c>
      <c r="B67" s="202" t="s">
        <v>2249</v>
      </c>
      <c r="C67" s="205">
        <f ca="1">C63-C66</f>
        <v>128</v>
      </c>
      <c r="D67" s="198" t="s">
        <v>32</v>
      </c>
      <c r="E67" s="199"/>
      <c r="F67" s="2470"/>
      <c r="G67" s="2470"/>
      <c r="H67" s="2478"/>
      <c r="I67" s="136"/>
      <c r="J67" s="3066"/>
      <c r="K67" s="2480" t="s">
        <v>2250</v>
      </c>
      <c r="L67" s="1735">
        <f ca="1">IF(M49&gt;=10000,(8.25+(M49-10000)*0.01%),IF(AND(M49&gt;=8000,M49&lt;10000),(7.85+(M49-8000)*0.02%),IF(AND(M49&gt;=5000,M49&lt;8000),(6.65+(M49-5000)*0.04%),IF(AND(M49&gt;=2000,M49&lt;5000),(4.25+(PM49-2000)*0.08%),IF(AND(M49&gt;=1000,M49&lt;2000),(2.75+(M49-1000)*0.15%),IF(AND(M49&gt;=100,M49&lt;1000),(0.5+(M49-100)*0.25%),IF(AND(M49&gt;0,M49&lt;100),M49*0.5%)))))))</f>
        <v>0.58499999999999996</v>
      </c>
      <c r="M67" s="24">
        <f ca="1">ROUND(L67*0.9,1)</f>
        <v>0.5</v>
      </c>
      <c r="Z67" s="2404"/>
      <c r="AI67" s="2405"/>
    </row>
    <row r="68" spans="1:35" ht="14.25" hidden="1" customHeight="1" thickBot="1">
      <c r="A68" s="206" t="s">
        <v>774</v>
      </c>
      <c r="B68" s="207" t="s">
        <v>2251</v>
      </c>
      <c r="C68" s="208">
        <f ca="1">IF(C67&lt;=0,0,ROUND(C67*D68,0))</f>
        <v>7</v>
      </c>
      <c r="D68" s="209">
        <f>'数据-取费表'!B41</f>
        <v>5.6500000000000002E-2</v>
      </c>
      <c r="E68" s="210"/>
      <c r="F68" s="2470"/>
      <c r="G68" s="2470"/>
      <c r="H68" s="2478"/>
      <c r="I68" s="136"/>
      <c r="J68" s="3066"/>
      <c r="K68" s="2480" t="s">
        <v>2252</v>
      </c>
      <c r="L68" s="1735">
        <f ca="1">IF(M49&gt;10000,M49*0.5%,IF(AND(M49&gt;5000,M49&lt;=10000),M49*1%,IF(AND(M49&gt;1000,M49&lt;=5000),M49*2%,IF(AND(M49&gt;200,M49&lt;=1000),M49*3%,M49*5%))))</f>
        <v>6.7</v>
      </c>
      <c r="M68" s="24">
        <f ca="1">ROUND(L68,1)</f>
        <v>6.7</v>
      </c>
      <c r="Z68" s="2404"/>
      <c r="AI68" s="2405"/>
    </row>
    <row r="69" spans="1:35" s="2427" customFormat="1" ht="16.5" hidden="1" customHeight="1">
      <c r="A69" s="2481"/>
      <c r="B69" s="2482"/>
      <c r="C69" s="2483"/>
      <c r="D69" s="2484"/>
      <c r="E69" s="2485"/>
      <c r="F69" s="2147"/>
      <c r="G69" s="2147"/>
      <c r="H69" s="2146"/>
      <c r="I69" s="2399"/>
      <c r="J69" s="3066"/>
      <c r="K69" s="2480" t="s">
        <v>2253</v>
      </c>
      <c r="L69" s="2486"/>
      <c r="M69" s="24">
        <f ca="1">ROUND(SUM(M63:M68),0)</f>
        <v>14</v>
      </c>
      <c r="N69" s="1736">
        <f ca="1">M69/M49</f>
        <v>0.1044776119402985</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hidden="1" thickBot="1">
      <c r="A70" s="3110" t="s">
        <v>2254</v>
      </c>
      <c r="B70" s="3111"/>
      <c r="C70" s="3111"/>
      <c r="D70" s="3111"/>
      <c r="E70" s="3111"/>
      <c r="F70" s="3111"/>
      <c r="G70" s="3111"/>
      <c r="H70" s="3111"/>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hidden="1">
      <c r="A71" s="3101" t="s">
        <v>2235</v>
      </c>
      <c r="B71" s="3102"/>
      <c r="C71" s="1787"/>
      <c r="D71" s="1787" t="s">
        <v>2236</v>
      </c>
      <c r="E71" s="211" t="s">
        <v>2237</v>
      </c>
      <c r="F71" s="212"/>
      <c r="G71" s="212"/>
      <c r="H71" s="213"/>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hidden="1">
      <c r="A72" s="201" t="s">
        <v>775</v>
      </c>
      <c r="B72" s="202" t="s">
        <v>2255</v>
      </c>
      <c r="C72" s="205">
        <f ca="1">ROUND(D45/(1+'数据-取费表'!C42),0)</f>
        <v>128</v>
      </c>
      <c r="D72" s="198" t="s">
        <v>32</v>
      </c>
      <c r="E72" s="1786"/>
      <c r="F72" s="1780"/>
      <c r="G72" s="1780"/>
      <c r="H72" s="214"/>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hidden="1">
      <c r="A73" s="201" t="s">
        <v>772</v>
      </c>
      <c r="B73" s="171" t="s">
        <v>2256</v>
      </c>
      <c r="C73" s="205">
        <f ca="1">C74+C78</f>
        <v>1</v>
      </c>
      <c r="D73" s="198" t="s">
        <v>32</v>
      </c>
      <c r="E73" s="1786"/>
      <c r="F73" s="1780"/>
      <c r="G73" s="1780"/>
      <c r="H73" s="214"/>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hidden="1">
      <c r="A74" s="215" t="s">
        <v>770</v>
      </c>
      <c r="B74" s="196" t="s">
        <v>2257</v>
      </c>
      <c r="C74" s="198">
        <f>ROUND(IF(G77="2016年5月1日后购买",C75/(1+'数据-取费表'!C42)+C76+C77,C75+C76+C77),0)</f>
        <v>0</v>
      </c>
      <c r="D74" s="198" t="s">
        <v>32</v>
      </c>
      <c r="E74" s="1786"/>
      <c r="F74" s="1780"/>
      <c r="G74" s="1780"/>
      <c r="H74" s="214"/>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hidden="1">
      <c r="A75" s="215" t="s">
        <v>776</v>
      </c>
      <c r="B75" s="196" t="s">
        <v>2258</v>
      </c>
      <c r="C75" s="216"/>
      <c r="D75" s="198" t="s">
        <v>32</v>
      </c>
      <c r="E75" s="217" t="s">
        <v>2259</v>
      </c>
      <c r="F75" s="2492" t="s">
        <v>2260</v>
      </c>
      <c r="G75" s="217" t="s">
        <v>2261</v>
      </c>
      <c r="H75" s="218"/>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hidden="1" customHeight="1">
      <c r="A76" s="215" t="s">
        <v>777</v>
      </c>
      <c r="B76" s="219" t="s">
        <v>2262</v>
      </c>
      <c r="C76" s="198">
        <f>IF(F75="购房发票",ROUND(C75*H75*D76,0),0)</f>
        <v>0</v>
      </c>
      <c r="D76" s="220">
        <v>0.05</v>
      </c>
      <c r="E76" s="3107" t="s">
        <v>2263</v>
      </c>
      <c r="F76" s="3106"/>
      <c r="G76" s="3106"/>
      <c r="H76" s="3109"/>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hidden="1" customHeight="1">
      <c r="A77" s="215" t="s">
        <v>778</v>
      </c>
      <c r="B77" s="196" t="s">
        <v>2264</v>
      </c>
      <c r="C77" s="198">
        <f>ROUND(IF(G77="个人住宅",0,IF(G77="2016年5月1日前购买",C75*D77,C75*D77/(1+'数据-取费表'!C42))),0)</f>
        <v>0</v>
      </c>
      <c r="D77" s="221">
        <f>'数据-取费表'!B48+'数据-取费表'!B49</f>
        <v>3.0499999999999999E-2</v>
      </c>
      <c r="E77" s="15" t="s">
        <v>2265</v>
      </c>
      <c r="F77" s="222"/>
      <c r="G77" s="2494" t="s">
        <v>2266</v>
      </c>
      <c r="H77" s="1791" t="str">
        <f>IF(G77="个人买卖住房","免征印花税"," ")</f>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hidden="1" customHeight="1">
      <c r="A78" s="215" t="s">
        <v>771</v>
      </c>
      <c r="B78" s="196" t="s">
        <v>2267</v>
      </c>
      <c r="C78" s="223">
        <f ca="1">ROUND(D45*D78/(1+'数据-取费表'!C42),0)</f>
        <v>1</v>
      </c>
      <c r="D78" s="224">
        <f>'数据-取费表'!B43</f>
        <v>6.5000000000000006E-3</v>
      </c>
      <c r="E78" s="3098" t="s">
        <v>2268</v>
      </c>
      <c r="F78" s="3099"/>
      <c r="G78" s="3099"/>
      <c r="H78" s="310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hidden="1">
      <c r="A79" s="2496" t="s">
        <v>779</v>
      </c>
      <c r="B79" s="202" t="s">
        <v>2269</v>
      </c>
      <c r="C79" s="205">
        <f ca="1">C72-C73</f>
        <v>127</v>
      </c>
      <c r="D79" s="198" t="s">
        <v>32</v>
      </c>
      <c r="E79" s="1786"/>
      <c r="F79" s="1780"/>
      <c r="G79" s="1780"/>
      <c r="H79" s="214"/>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hidden="1">
      <c r="A80" s="2496" t="s">
        <v>780</v>
      </c>
      <c r="B80" s="202" t="s">
        <v>2270</v>
      </c>
      <c r="C80" s="225">
        <f ca="1">IF(C79&lt;=0,0,C79/C73)</f>
        <v>127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14"/>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hidden="1" thickBot="1">
      <c r="A81" s="2497" t="s">
        <v>781</v>
      </c>
      <c r="B81" s="207" t="s">
        <v>2271</v>
      </c>
      <c r="C81" s="226">
        <f ca="1">ROUND(IF(C79&lt;=0,0,IF(C80&gt;=200%,C79*60%-C73*35%,IF(C80&gt;=100%,C79*50%-C73*15%,IF(C80&gt;=50%,C79*40%-C73*5%,IF(C80&lt;50%,C79*30%,0))))),0)</f>
        <v>76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hidden="1"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hidden="1" thickBot="1">
      <c r="A83" s="3110" t="s">
        <v>2272</v>
      </c>
      <c r="B83" s="3111"/>
      <c r="C83" s="3111"/>
      <c r="D83" s="3111"/>
      <c r="E83" s="3111"/>
      <c r="F83" s="3111"/>
      <c r="G83" s="3111"/>
      <c r="H83" s="3111"/>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hidden="1">
      <c r="A84" s="3101" t="s">
        <v>2235</v>
      </c>
      <c r="B84" s="3102"/>
      <c r="C84" s="1787"/>
      <c r="D84" s="1787" t="s">
        <v>2236</v>
      </c>
      <c r="E84" s="211" t="s">
        <v>2237</v>
      </c>
      <c r="F84" s="212"/>
      <c r="G84" s="212"/>
      <c r="H84" s="231"/>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hidden="1">
      <c r="A85" s="201" t="s">
        <v>775</v>
      </c>
      <c r="B85" s="202" t="s">
        <v>2255</v>
      </c>
      <c r="C85" s="205">
        <f ca="1">ROUND(D45/(1+'数据-取费表'!C42),0)</f>
        <v>128</v>
      </c>
      <c r="D85" s="198" t="s">
        <v>32</v>
      </c>
      <c r="E85" s="1786"/>
      <c r="F85" s="1780"/>
      <c r="G85" s="1780"/>
      <c r="H85" s="232"/>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hidden="1">
      <c r="A86" s="201" t="s">
        <v>772</v>
      </c>
      <c r="B86" s="171" t="s">
        <v>2256</v>
      </c>
      <c r="C86" s="205">
        <f ca="1">IF(H88="仅含出让金",C87+C90+C91+C92+C93+C94,C87+C91+C92+C93+C94)</f>
        <v>1</v>
      </c>
      <c r="D86" s="233"/>
      <c r="E86" s="1786"/>
      <c r="F86" s="1780"/>
      <c r="G86" s="1780"/>
      <c r="H86" s="232"/>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hidden="1">
      <c r="A87" s="215" t="s">
        <v>770</v>
      </c>
      <c r="B87" s="196" t="s">
        <v>2273</v>
      </c>
      <c r="C87" s="223">
        <f>C88+C89</f>
        <v>0</v>
      </c>
      <c r="D87" s="224"/>
      <c r="E87" s="1782"/>
      <c r="F87" s="1783"/>
      <c r="G87" s="1783"/>
      <c r="H87" s="1785"/>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hidden="1">
      <c r="A88" s="215" t="s">
        <v>776</v>
      </c>
      <c r="B88" s="196" t="s">
        <v>2274</v>
      </c>
      <c r="C88" s="234"/>
      <c r="D88" s="224"/>
      <c r="E88" s="235" t="s">
        <v>2275</v>
      </c>
      <c r="F88" s="1783"/>
      <c r="G88" s="236" t="s">
        <v>2276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hidden="1">
      <c r="A89" s="215" t="s">
        <v>777</v>
      </c>
      <c r="B89" s="196" t="s">
        <v>2264</v>
      </c>
      <c r="C89" s="223">
        <f>ROUND(C88*D89,0)</f>
        <v>0</v>
      </c>
      <c r="D89" s="224">
        <f>'数据-取费表'!B48+'数据-取费表'!B49</f>
        <v>3.0499999999999999E-2</v>
      </c>
      <c r="E89" s="235" t="s">
        <v>2277</v>
      </c>
      <c r="F89" s="1783"/>
      <c r="G89" s="1783"/>
      <c r="H89" s="1785"/>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hidden="1">
      <c r="A90" s="215" t="s">
        <v>771</v>
      </c>
      <c r="B90" s="196" t="s">
        <v>2278</v>
      </c>
      <c r="C90" s="234"/>
      <c r="D90" s="224"/>
      <c r="E90" s="235" t="str">
        <f>IF(H88="-","土地取得成本中已包含该笔费用"," ")</f>
        <v/>
      </c>
      <c r="F90" s="1783"/>
      <c r="G90" s="1783"/>
      <c r="H90" s="1785"/>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hidden="1" customHeight="1">
      <c r="A91" s="215" t="s">
        <v>2279</v>
      </c>
      <c r="B91" s="196" t="s">
        <v>2280</v>
      </c>
      <c r="C91" s="223">
        <f>IF(H91="——",成本法!C33,I91)</f>
        <v>0</v>
      </c>
      <c r="D91" s="224"/>
      <c r="E91" s="3098" t="s">
        <v>2281</v>
      </c>
      <c r="F91" s="3099"/>
      <c r="G91" s="3099"/>
      <c r="H91" s="2499" t="s">
        <v>2282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hidden="1" customHeight="1">
      <c r="A92" s="215" t="s">
        <v>2283</v>
      </c>
      <c r="B92" s="196" t="s">
        <v>2284</v>
      </c>
      <c r="C92" s="223">
        <f>ROUND((C87+C90+C91)*D92,0)</f>
        <v>0</v>
      </c>
      <c r="D92" s="224">
        <v>0.1</v>
      </c>
      <c r="E92" s="3098" t="s">
        <v>2285</v>
      </c>
      <c r="F92" s="3099"/>
      <c r="G92" s="3099"/>
      <c r="H92" s="310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hidden="1" customHeight="1">
      <c r="A93" s="215" t="s">
        <v>2286</v>
      </c>
      <c r="B93" s="196" t="s">
        <v>2267</v>
      </c>
      <c r="C93" s="223">
        <f ca="1">ROUND(D45*D93/(1+'数据-取费表'!C42),0)</f>
        <v>1</v>
      </c>
      <c r="D93" s="224">
        <f>'数据-取费表'!B43</f>
        <v>6.5000000000000006E-3</v>
      </c>
      <c r="E93" s="3098" t="s">
        <v>2268</v>
      </c>
      <c r="F93" s="3099"/>
      <c r="G93" s="3099"/>
      <c r="H93" s="310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hidden="1" customHeight="1">
      <c r="A94" s="215" t="s">
        <v>2287</v>
      </c>
      <c r="B94" s="196" t="s">
        <v>2288</v>
      </c>
      <c r="C94" s="234">
        <f>ROUND((C87+C90+C91)*D94,0)</f>
        <v>0</v>
      </c>
      <c r="D94" s="224">
        <v>0.2</v>
      </c>
      <c r="E94" s="3146" t="s">
        <v>2289</v>
      </c>
      <c r="F94" s="3147"/>
      <c r="G94" s="3147"/>
      <c r="H94" s="3148"/>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hidden="1">
      <c r="A95" s="2496" t="s">
        <v>779</v>
      </c>
      <c r="B95" s="202" t="s">
        <v>2269</v>
      </c>
      <c r="C95" s="205">
        <f ca="1">ROUND(C85-C86,0)</f>
        <v>127</v>
      </c>
      <c r="D95" s="198" t="s">
        <v>32</v>
      </c>
      <c r="E95" s="1786"/>
      <c r="F95" s="1780"/>
      <c r="G95" s="1780"/>
      <c r="H95" s="232"/>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hidden="1">
      <c r="A96" s="2496" t="s">
        <v>780</v>
      </c>
      <c r="B96" s="202" t="s">
        <v>2270</v>
      </c>
      <c r="C96" s="225">
        <f ca="1">IF(C95&lt;=0,0,C95/C86)</f>
        <v>127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32"/>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hidden="1" thickBot="1">
      <c r="A97" s="2497" t="s">
        <v>781</v>
      </c>
      <c r="B97" s="207" t="s">
        <v>2271</v>
      </c>
      <c r="C97" s="226">
        <f ca="1">ROUND(IF(C95&lt;=0,0,IF(C96&gt;=200%,C95*60%-C86*35%,IF(C96&gt;=100%,C95*50%-C86*15%,IF(C96&gt;=50%,C95*40%-C86*5%,IF(C96&lt;50%,C95*30%,0))))),0)</f>
        <v>76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7"/>
      <c r="F98" s="2147"/>
      <c r="G98" s="2147"/>
      <c r="H98" s="2146"/>
      <c r="I98" s="136"/>
    </row>
    <row r="99" spans="1:35" ht="21.75" customHeight="1" thickBot="1">
      <c r="A99" s="2455" t="s">
        <v>2290</v>
      </c>
      <c r="B99" s="2399"/>
      <c r="C99" s="2399"/>
      <c r="D99" s="2399"/>
      <c r="E99" s="2147"/>
      <c r="F99" s="2147"/>
      <c r="G99" s="2147"/>
      <c r="H99" s="2146"/>
      <c r="I99" s="136"/>
    </row>
    <row r="100" spans="1:35" ht="18.75" customHeight="1">
      <c r="A100" s="3050" t="s">
        <v>2291</v>
      </c>
      <c r="B100" s="3051"/>
      <c r="C100" s="3051"/>
      <c r="D100" s="3082"/>
      <c r="E100" s="3051" t="s">
        <v>2292</v>
      </c>
      <c r="F100" s="3051"/>
      <c r="G100" s="3051"/>
      <c r="H100" s="3082"/>
      <c r="I100" s="136"/>
    </row>
    <row r="101" spans="1:35" ht="18.75" customHeight="1">
      <c r="A101" s="3090" t="s">
        <v>2293</v>
      </c>
      <c r="B101" s="3091"/>
      <c r="C101" s="733" t="str">
        <f>C4</f>
        <v>比较法-公寓</v>
      </c>
      <c r="D101" s="734" t="str">
        <f>D4</f>
        <v>收益法 (元)</v>
      </c>
      <c r="E101" s="3062" t="s">
        <v>2294</v>
      </c>
      <c r="F101" s="3063"/>
      <c r="G101" s="2501" t="s">
        <v>2295</v>
      </c>
      <c r="H101" s="1038">
        <f ca="1">H118</f>
        <v>134</v>
      </c>
      <c r="I101" s="136"/>
    </row>
    <row r="102" spans="1:35" ht="18.75" customHeight="1">
      <c r="A102" s="3092" t="s">
        <v>2296</v>
      </c>
      <c r="B102" s="2501" t="s">
        <v>2295</v>
      </c>
      <c r="C102" s="733">
        <f ca="1">C19</f>
        <v>153</v>
      </c>
      <c r="D102" s="734">
        <f ca="1">D19</f>
        <v>57</v>
      </c>
      <c r="E102" s="3062"/>
      <c r="F102" s="3063"/>
      <c r="G102" s="2501" t="s">
        <v>2297</v>
      </c>
      <c r="H102" s="369">
        <f ca="1">I118</f>
        <v>22491</v>
      </c>
      <c r="I102" s="136"/>
    </row>
    <row r="103" spans="1:35" ht="42.75" customHeight="1">
      <c r="A103" s="3092"/>
      <c r="B103" s="2501" t="s">
        <v>2297</v>
      </c>
      <c r="C103" s="735">
        <f ca="1">C20</f>
        <v>25724</v>
      </c>
      <c r="D103" s="736">
        <f ca="1">D20</f>
        <v>9516</v>
      </c>
      <c r="E103" s="3056" t="s">
        <v>2298</v>
      </c>
      <c r="F103" s="3057"/>
      <c r="G103" s="2502" t="s">
        <v>2299</v>
      </c>
      <c r="H103" s="1038">
        <f>IF(D36="正常操作",H104+H105+H106,H105+H106)</f>
        <v>0</v>
      </c>
      <c r="I103" s="136"/>
    </row>
    <row r="104" spans="1:35" ht="18.75" customHeight="1">
      <c r="A104" s="3092" t="s">
        <v>2300</v>
      </c>
      <c r="B104" s="2503" t="s">
        <v>2295</v>
      </c>
      <c r="C104" s="737">
        <f ca="1">H118</f>
        <v>134</v>
      </c>
      <c r="D104" s="738"/>
      <c r="E104" s="2247" t="s">
        <v>2301</v>
      </c>
      <c r="F104" s="2239"/>
      <c r="G104" s="2502" t="s">
        <v>2299</v>
      </c>
      <c r="H104" s="1039">
        <f>IF(D36="同一抵押权人同一抵押物续贷",C36&amp;"（未扣减，详见特别提示）",C36)</f>
        <v>0</v>
      </c>
      <c r="I104" s="136"/>
    </row>
    <row r="105" spans="1:35" ht="18.75" customHeight="1" thickBot="1">
      <c r="A105" s="3104"/>
      <c r="B105" s="2504" t="s">
        <v>2297</v>
      </c>
      <c r="C105" s="739">
        <f ca="1">I118</f>
        <v>22491</v>
      </c>
      <c r="D105" s="740"/>
      <c r="E105" s="2247" t="s">
        <v>2302</v>
      </c>
      <c r="F105" s="2239"/>
      <c r="G105" s="2502" t="s">
        <v>2299</v>
      </c>
      <c r="H105" s="1039">
        <f>C37</f>
        <v>0</v>
      </c>
      <c r="I105" s="136"/>
    </row>
    <row r="106" spans="1:35" ht="18.75" customHeight="1">
      <c r="A106" s="2399" t="s">
        <v>2303</v>
      </c>
      <c r="B106" s="2399"/>
      <c r="C106" s="2399"/>
      <c r="D106" s="2399"/>
      <c r="E106" s="2505" t="s">
        <v>2304</v>
      </c>
      <c r="F106" s="2239"/>
      <c r="G106" s="2502" t="s">
        <v>2299</v>
      </c>
      <c r="H106" s="1039">
        <f>C38</f>
        <v>0</v>
      </c>
      <c r="I106" s="136"/>
    </row>
    <row r="107" spans="1:35" ht="18.75" customHeight="1">
      <c r="A107" s="136"/>
      <c r="B107" s="136"/>
      <c r="C107" s="136"/>
      <c r="D107" s="136"/>
      <c r="E107" s="3093" t="str">
        <f>IF(项目基本情况!E8="已注销","——","3.房地产抵押价值")</f>
        <v>3.房地产抵押价值</v>
      </c>
      <c r="F107" s="3063"/>
      <c r="G107" s="2501" t="s">
        <v>2295</v>
      </c>
      <c r="H107" s="1038">
        <f ca="1">IF(E107="——","——",H101-H103)</f>
        <v>134</v>
      </c>
      <c r="I107" s="136"/>
    </row>
    <row r="108" spans="1:35" ht="18.75" customHeight="1" thickBot="1">
      <c r="A108" s="136"/>
      <c r="B108" s="136"/>
      <c r="C108" s="136"/>
      <c r="D108" s="136"/>
      <c r="E108" s="3093"/>
      <c r="F108" s="3063"/>
      <c r="G108" s="2501" t="s">
        <v>2297</v>
      </c>
      <c r="H108" s="369">
        <f ca="1">ROUND(H107*10000/'数据-汇总表'!E3,0)</f>
        <v>47</v>
      </c>
      <c r="I108" s="136"/>
    </row>
    <row r="109" spans="1:35" ht="18.75" hidden="1" customHeight="1">
      <c r="A109" s="136"/>
      <c r="B109" s="136"/>
      <c r="C109" s="136"/>
      <c r="D109" s="136"/>
      <c r="E109" s="3093" t="str">
        <f>IF(项目基本情况!E8="已注销及未注销","4.抵押担保权已注销时的房地产抵押价值",IF(项目基本情况!E8="已注销","3.抵押担保权已注销时的房地产抵押价值","——"))</f>
        <v>——</v>
      </c>
      <c r="F109" s="3063"/>
      <c r="G109" s="2501" t="s">
        <v>2295</v>
      </c>
      <c r="H109" s="346" t="str">
        <f>IF(E109="——","——",H101-H105-H106)</f>
        <v>——</v>
      </c>
      <c r="I109" s="136"/>
    </row>
    <row r="110" spans="1:35" ht="18.75" hidden="1" customHeight="1">
      <c r="A110" s="136"/>
      <c r="B110" s="136"/>
      <c r="C110" s="136"/>
      <c r="D110" s="136"/>
      <c r="E110" s="3093"/>
      <c r="F110" s="3063"/>
      <c r="G110" s="2501" t="s">
        <v>2297</v>
      </c>
      <c r="H110" s="369" t="str">
        <f>IF(H109="——","——",ROUND(H109*10000/'数据-汇总表'!E3,0))</f>
        <v>——</v>
      </c>
      <c r="I110" s="136"/>
    </row>
    <row r="111" spans="1:35" ht="18.75" hidden="1" customHeight="1">
      <c r="A111" s="136"/>
      <c r="B111" s="136"/>
      <c r="C111" s="136"/>
      <c r="D111" s="136"/>
      <c r="E111" s="3094" t="str">
        <f>IF(项目基本情况!E9="抵押净值",IF(OR(项目基本情况!E8="已注销",项目基本情况!E8="房地产抵押价值"),"4.抵押净值","5.抵押净值"),"——")</f>
        <v>——</v>
      </c>
      <c r="F111" s="3095"/>
      <c r="G111" s="2501" t="s">
        <v>2295</v>
      </c>
      <c r="H111" s="1038" t="str">
        <f>IF(E111="——","——",N59)</f>
        <v>——</v>
      </c>
      <c r="I111" s="136"/>
    </row>
    <row r="112" spans="1:35" ht="18.75" hidden="1" customHeight="1" thickBot="1">
      <c r="A112" s="136"/>
      <c r="B112" s="136"/>
      <c r="C112" s="136"/>
      <c r="D112" s="136"/>
      <c r="E112" s="3096"/>
      <c r="F112" s="3097"/>
      <c r="G112" s="2506" t="s">
        <v>2297</v>
      </c>
      <c r="H112" s="787" t="str">
        <f>IF(E111="——","——",N61)</f>
        <v>——</v>
      </c>
      <c r="I112" s="136"/>
    </row>
    <row r="113" spans="1:11" ht="18.75" customHeight="1">
      <c r="A113" s="136"/>
      <c r="B113" s="136"/>
      <c r="C113" s="136"/>
      <c r="D113" s="136"/>
      <c r="E113" s="3105" t="s">
        <v>2303</v>
      </c>
      <c r="F113" s="3105"/>
      <c r="G113" s="3105"/>
      <c r="H113" s="3105"/>
      <c r="I113" s="136"/>
    </row>
    <row r="114" spans="1:11" ht="3.75" customHeight="1">
      <c r="A114" s="2399"/>
      <c r="B114" s="2399"/>
      <c r="C114" s="2399"/>
      <c r="D114" s="2399"/>
      <c r="E114" s="2477"/>
      <c r="F114" s="2477"/>
      <c r="G114" s="2477"/>
      <c r="H114" s="2477"/>
      <c r="I114" s="2399"/>
    </row>
    <row r="115" spans="1:11" ht="18.75" customHeight="1">
      <c r="A115" s="3118" t="s">
        <v>2305</v>
      </c>
      <c r="B115" s="3119"/>
      <c r="C115" s="3119"/>
      <c r="D115" s="3119"/>
      <c r="E115" s="3119"/>
      <c r="F115" s="3119"/>
      <c r="G115" s="3119"/>
      <c r="H115" s="3119"/>
      <c r="I115" s="3120"/>
    </row>
    <row r="116" spans="1:11" ht="27" customHeight="1">
      <c r="A116" s="3029" t="s">
        <v>2306</v>
      </c>
      <c r="B116" s="3072" t="s">
        <v>3118</v>
      </c>
      <c r="C116" s="3072" t="s">
        <v>3119</v>
      </c>
      <c r="D116" s="3078" t="s">
        <v>2307</v>
      </c>
      <c r="E116" s="3079"/>
      <c r="F116" s="3114" t="s">
        <v>3176</v>
      </c>
      <c r="G116" s="3114"/>
      <c r="H116" s="3029" t="s">
        <v>2308</v>
      </c>
      <c r="I116" s="3029"/>
    </row>
    <row r="117" spans="1:11" ht="18.75" customHeight="1">
      <c r="A117" s="3029"/>
      <c r="B117" s="3073"/>
      <c r="C117" s="3073"/>
      <c r="D117" s="1781" t="s">
        <v>2309</v>
      </c>
      <c r="E117" s="1781" t="s">
        <v>2310</v>
      </c>
      <c r="F117" s="1781" t="s">
        <v>2309</v>
      </c>
      <c r="G117" s="1781" t="s">
        <v>2311</v>
      </c>
      <c r="H117" s="1781" t="s">
        <v>2309</v>
      </c>
      <c r="I117" s="1781" t="s">
        <v>2311</v>
      </c>
    </row>
    <row r="118" spans="1:11" ht="69" customHeight="1">
      <c r="A118" s="2507" t="str">
        <f>项目基本情况!S2</f>
        <v>天津市南开区红旗路与楚雄道交口西北侧房地产</v>
      </c>
      <c r="B118" s="1781">
        <f>M18</f>
        <v>59.58</v>
      </c>
      <c r="C118" s="1781">
        <f>M19</f>
        <v>4.8499999999999996</v>
      </c>
      <c r="D118" s="1781">
        <f ca="1">ROUND(IF(D32="总价",C34,E118*B118/10000),0)</f>
        <v>72</v>
      </c>
      <c r="E118" s="1781">
        <f ca="1">ROUND(IF(C33="自定义",IF(D32="楼面单价",C34,D118*10000/B118),I118-G118),0)</f>
        <v>12085</v>
      </c>
      <c r="F118" s="1781">
        <f ca="1">ROUND(IF(D32="总价",C35,G118*B118/10000),0)</f>
        <v>62</v>
      </c>
      <c r="G118" s="1781">
        <f ca="1">ROUND(IF(D32="楼面单价",C35,F118*10000/B118),0)</f>
        <v>10406</v>
      </c>
      <c r="H118" s="1781">
        <f ca="1">ROUND(IF(D32="总价",C32,I118*B118/10000),0)</f>
        <v>134</v>
      </c>
      <c r="I118" s="1781">
        <f ca="1">ROUND(IF(D32="楼面单价",C32,H118*10000/B118),0)</f>
        <v>22491</v>
      </c>
    </row>
    <row r="119" spans="1:11" ht="18.75" customHeight="1">
      <c r="A119" s="3029" t="s">
        <v>2312</v>
      </c>
      <c r="B119" s="3029"/>
      <c r="C119" s="3029"/>
      <c r="D119" s="3074" t="str">
        <f ca="1">NUMBERSTRING(INT(D118*10000),2)&amp;"元整"</f>
        <v>柒拾贰万元整</v>
      </c>
      <c r="E119" s="3075"/>
      <c r="F119" s="3074" t="str">
        <f ca="1">NUMBERSTRING(INT(F118*10000),2)&amp;"元整"</f>
        <v>陆拾贰万元整</v>
      </c>
      <c r="G119" s="3075"/>
      <c r="H119" s="3074" t="str">
        <f ca="1">NUMBERSTRING(INT(H118*10000),2)&amp;"元整"</f>
        <v>壹佰叁拾肆万元整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04" t="str">
        <f>IF(D120=0,"故，本次评估不存在"&amp;A120,"故，本次评估"&amp;A120&amp;"为人民币"&amp;D120&amp;"万元整。")</f>
        <v>故，本次评估不存在估价师知悉的法定优先受偿款</v>
      </c>
    </row>
    <row r="121" spans="1:11" ht="18.75" customHeight="1">
      <c r="A121" s="3115" t="s">
        <v>2312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134</v>
      </c>
      <c r="E122" s="3070"/>
      <c r="F122" s="3070"/>
      <c r="G122" s="3070"/>
      <c r="H122" s="3070"/>
      <c r="I122" s="3071"/>
    </row>
    <row r="123" spans="1:11" ht="18.75" customHeight="1">
      <c r="A123" s="3029" t="s">
        <v>2312</v>
      </c>
      <c r="B123" s="3029"/>
      <c r="C123" s="3029"/>
      <c r="D123" s="3074" t="str">
        <f ca="1">NUMBERSTRING(INT(D122*10000),2)&amp;"元整"</f>
        <v>壹佰叁拾肆万元整</v>
      </c>
      <c r="E123" s="3076"/>
      <c r="F123" s="3076"/>
      <c r="G123" s="3076"/>
      <c r="H123" s="3076"/>
      <c r="I123" s="3075"/>
    </row>
    <row r="124" spans="1:11" ht="18.75" hidden="1" customHeight="1">
      <c r="A124" s="3080" t="str">
        <f>IF(项目基本情况!B9="房地产市场价值","",MID(E109,3,LEN(E109)-2))</f>
        <v/>
      </c>
      <c r="B124" s="3080"/>
      <c r="C124" s="3080"/>
      <c r="D124" s="3069" t="str">
        <f>H109</f>
        <v>——</v>
      </c>
      <c r="E124" s="3070"/>
      <c r="F124" s="3070"/>
      <c r="G124" s="3070"/>
      <c r="H124" s="3070"/>
      <c r="I124" s="3071"/>
    </row>
    <row r="125" spans="1:11" ht="18.75" hidden="1" customHeight="1">
      <c r="A125" s="3029" t="s">
        <v>2312</v>
      </c>
      <c r="B125" s="3029"/>
      <c r="C125" s="3029"/>
      <c r="D125" s="3074" t="e">
        <f>NUMBERSTRING(INT(D124*10000),2)&amp;"元整"</f>
        <v>#VALUE!</v>
      </c>
      <c r="E125" s="3076"/>
      <c r="F125" s="3076"/>
      <c r="G125" s="3076"/>
      <c r="H125" s="3076"/>
      <c r="I125" s="3075"/>
    </row>
    <row r="126" spans="1:11" ht="18.75" hidden="1" customHeight="1">
      <c r="A126" s="3080" t="str">
        <f>IF(项目基本情况!B9="房地产市场价值","",MID(E111,3,LEN(E111)-2))</f>
        <v/>
      </c>
      <c r="B126" s="3080"/>
      <c r="C126" s="3080"/>
      <c r="D126" s="3069" t="str">
        <f>H111</f>
        <v>——</v>
      </c>
      <c r="E126" s="3070"/>
      <c r="F126" s="3070"/>
      <c r="G126" s="3070"/>
      <c r="H126" s="3070"/>
      <c r="I126" s="3071"/>
    </row>
    <row r="127" spans="1:11" ht="18.75" hidden="1" customHeight="1">
      <c r="A127" s="3029" t="s">
        <v>2312</v>
      </c>
      <c r="B127" s="3029"/>
      <c r="C127" s="3029"/>
      <c r="D127" s="3074" t="e">
        <f>NUMBERSTRING(INT(D126*10000),2)&amp;"元整"</f>
        <v>#VALUE!</v>
      </c>
      <c r="E127" s="3076"/>
      <c r="F127" s="3076"/>
      <c r="G127" s="3076"/>
      <c r="H127" s="3076"/>
      <c r="I127" s="3075"/>
    </row>
    <row r="128" spans="1:11" ht="21.75" customHeight="1">
      <c r="A128" s="3077" t="s">
        <v>2313</v>
      </c>
      <c r="B128" s="3077"/>
      <c r="C128" s="3077"/>
      <c r="D128" s="3077"/>
      <c r="E128" s="3077"/>
      <c r="F128" s="3077"/>
      <c r="G128" s="3077"/>
      <c r="H128" s="3077"/>
      <c r="I128" s="3077"/>
    </row>
    <row r="129" spans="1:35" ht="21.75" customHeight="1">
      <c r="A129" s="2508" t="s">
        <v>2314</v>
      </c>
      <c r="B129" s="2509"/>
      <c r="C129" s="2510" t="s">
        <v>2315</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2316</v>
      </c>
      <c r="G135" s="2525"/>
      <c r="H135" s="2525"/>
      <c r="I135" s="2526" t="s">
        <v>2317</v>
      </c>
    </row>
    <row r="136" spans="1:35" ht="21.75" customHeight="1">
      <c r="A136" s="792"/>
      <c r="B136" s="252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2319</v>
      </c>
    </row>
    <row r="139" spans="1:35" ht="21.75" customHeight="1">
      <c r="A139" s="792"/>
      <c r="B139" s="2527" t="s">
        <v>2320</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2319</v>
      </c>
    </row>
    <row r="142" spans="1:35" ht="21.75" customHeight="1">
      <c r="A142" s="792"/>
      <c r="B142" s="2527"/>
      <c r="C142" s="2528"/>
      <c r="D142" s="2529"/>
      <c r="E142" s="2529"/>
      <c r="F142" s="2321"/>
      <c r="G142" s="792"/>
      <c r="H142" s="792"/>
      <c r="I142" s="792"/>
    </row>
    <row r="143" spans="1:35" s="137" customFormat="1" ht="21.75" customHeight="1">
      <c r="A143" s="792"/>
      <c r="B143" s="2527"/>
      <c r="C143" s="2528"/>
      <c r="D143" s="2529"/>
      <c r="E143" s="2529"/>
      <c r="F143" s="232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63" t="str">
        <f>项目基本情况!B1</f>
        <v>天津市南开区红旗路与楚雄道交口西北侧房地产抵押价值预评估</v>
      </c>
      <c r="C37" s="2963"/>
      <c r="D37" s="2963"/>
      <c r="E37" s="2963"/>
      <c r="F37" s="2963"/>
      <c r="G37" s="2963"/>
      <c r="H37" s="2963"/>
      <c r="I37" s="2963"/>
    </row>
    <row r="38" spans="1:9">
      <c r="A38" s="1009"/>
      <c r="B38" s="1009"/>
    </row>
    <row r="39" spans="1:9">
      <c r="A39" s="1007" t="s">
        <v>818</v>
      </c>
      <c r="B39" s="1007" t="s">
        <v>820</v>
      </c>
    </row>
    <row r="40" spans="1:9">
      <c r="A40" s="1007"/>
      <c r="B40" s="1928" t="str">
        <f>项目基本情况!B5</f>
        <v>天津丽津嘉业房地产有限公司</v>
      </c>
    </row>
    <row r="41" spans="1:9">
      <c r="A41" s="1007"/>
      <c r="B41" s="1007"/>
    </row>
    <row r="42" spans="1:9">
      <c r="A42" s="1007" t="s">
        <v>818</v>
      </c>
      <c r="B42" s="1007" t="s">
        <v>821</v>
      </c>
    </row>
    <row r="43" spans="1:9">
      <c r="A43" s="1007"/>
      <c r="B43" s="1928" t="s">
        <v>822</v>
      </c>
    </row>
    <row r="44" spans="1:9">
      <c r="A44" s="1007"/>
      <c r="B44" s="1007"/>
    </row>
    <row r="45" spans="1:9">
      <c r="A45" s="1007" t="s">
        <v>818</v>
      </c>
      <c r="B45" s="1007" t="s">
        <v>823</v>
      </c>
    </row>
    <row r="46" spans="1:9" s="1007" customFormat="1" ht="12.75">
      <c r="B46" s="1928" t="str">
        <f ca="1">项目基本情况!K4</f>
        <v>王鹏（注册号：1120050019)、郑燚（注册号：1120070131)</v>
      </c>
    </row>
    <row r="47" spans="1:9">
      <c r="A47" s="1007"/>
      <c r="B47" s="1007" t="str">
        <f>项目基本情况!K5</f>
        <v/>
      </c>
    </row>
    <row r="48" spans="1:9">
      <c r="A48" s="1007" t="s">
        <v>818</v>
      </c>
      <c r="B48" s="1007"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2321</v>
      </c>
      <c r="B1" s="1923"/>
      <c r="C1" s="240"/>
      <c r="D1" s="240"/>
      <c r="E1" s="240"/>
      <c r="F1" s="240"/>
      <c r="G1" s="1364">
        <f>MATCH(B1,'数据-取费表'!A6:A16,0)+5</f>
        <v>9</v>
      </c>
    </row>
    <row r="2" spans="1:9" s="242" customFormat="1" ht="18" customHeight="1">
      <c r="A2" s="243" t="s">
        <v>2322</v>
      </c>
      <c r="B2" s="244">
        <f ca="1">IF(D2="——",C52,C52-E2)</f>
        <v>13155</v>
      </c>
      <c r="C2" s="241" t="s">
        <v>2323</v>
      </c>
      <c r="D2" s="2530" t="s">
        <v>70</v>
      </c>
      <c r="E2" s="1425" t="e">
        <f ca="1">SUMIF(INDIRECT("'"&amp;G2&amp;"'"&amp;"!A:A"),"承租人权益价值",INDIRECT("'"&amp;G2&amp;"'"&amp;"!c:c"))</f>
        <v>#REF!</v>
      </c>
      <c r="F2" s="2531" t="s">
        <v>2323</v>
      </c>
      <c r="G2" s="2532"/>
    </row>
    <row r="3" spans="1:9" s="242" customFormat="1" ht="18" customHeight="1" thickBot="1">
      <c r="A3" s="245" t="s">
        <v>2324</v>
      </c>
      <c r="B3" s="246">
        <f ca="1">ROUND(B2*10000/(IF(B1="",'数据-汇总表'!E3,INDIRECT("'数据-取费表'!k"&amp;$G$1))),0)</f>
        <v>4583</v>
      </c>
      <c r="C3" s="241" t="s">
        <v>2325</v>
      </c>
      <c r="D3" s="241"/>
      <c r="E3" s="241"/>
      <c r="F3" s="241"/>
      <c r="G3" s="241"/>
    </row>
    <row r="4" spans="1:9" s="250" customFormat="1" ht="15.75">
      <c r="A4" s="247" t="s">
        <v>2326</v>
      </c>
      <c r="B4" s="248"/>
      <c r="C4" s="248"/>
      <c r="D4" s="248"/>
      <c r="E4" s="248"/>
      <c r="F4" s="248"/>
      <c r="G4" s="249"/>
    </row>
    <row r="5" spans="1:9" s="256" customFormat="1" ht="13.5" customHeight="1">
      <c r="A5" s="297" t="s">
        <v>2327</v>
      </c>
      <c r="B5" s="252" t="s">
        <v>2328</v>
      </c>
      <c r="C5" s="253">
        <f>C6+C7+C8</f>
        <v>0</v>
      </c>
      <c r="D5" s="253" t="s">
        <v>2329</v>
      </c>
      <c r="E5" s="254" t="s">
        <v>2330</v>
      </c>
      <c r="F5" s="254" t="s">
        <v>2331</v>
      </c>
      <c r="G5" s="255"/>
    </row>
    <row r="6" spans="1:9" s="256" customFormat="1" ht="13.5" customHeight="1">
      <c r="A6" s="942" t="s">
        <v>2332</v>
      </c>
      <c r="B6" s="257" t="s">
        <v>2333</v>
      </c>
      <c r="C6" s="258"/>
      <c r="D6" s="259"/>
      <c r="E6" s="260"/>
      <c r="F6" s="260"/>
      <c r="G6" s="261"/>
    </row>
    <row r="7" spans="1:9" s="256" customFormat="1" ht="13.5" customHeight="1">
      <c r="A7" s="942" t="s">
        <v>2334</v>
      </c>
      <c r="B7" s="257" t="s">
        <v>2335</v>
      </c>
      <c r="C7" s="262">
        <f>ROUND(C6*F7,0)</f>
        <v>0</v>
      </c>
      <c r="D7" s="262"/>
      <c r="E7" s="260"/>
      <c r="F7" s="263">
        <f>'数据-取费表'!B48+'数据-取费表'!B49</f>
        <v>3.0499999999999999E-2</v>
      </c>
      <c r="G7" s="261"/>
    </row>
    <row r="8" spans="1:9" s="265" customFormat="1">
      <c r="A8" s="942" t="s">
        <v>2336</v>
      </c>
      <c r="B8" s="257" t="s">
        <v>2337</v>
      </c>
      <c r="C8" s="262">
        <f>IF(G8="已包含在土地购买价格中","0",IF(B1="",'数据-取费表'!B29,IF(G9="全部缴纳",C9+C10,H9)))</f>
        <v>0</v>
      </c>
      <c r="D8" s="264"/>
      <c r="E8" s="262"/>
      <c r="F8" s="263"/>
      <c r="G8" s="2533"/>
    </row>
    <row r="9" spans="1:9" s="256" customFormat="1" ht="13.5" customHeight="1">
      <c r="A9" s="943" t="s">
        <v>800</v>
      </c>
      <c r="B9" s="266" t="s">
        <v>2338</v>
      </c>
      <c r="C9" s="267">
        <f ca="1">ROUND(D9*E9/10000,0)</f>
        <v>0</v>
      </c>
      <c r="D9" s="1025">
        <f ca="1">IF(B1="",'数据-汇总表'!E5,IF(INDIRECT("'数据-取费表'!c"&amp;$G$1)="住宅",INDIRECT("'数据-取费表'!k"&amp;$G$1),0))</f>
        <v>0</v>
      </c>
      <c r="E9" s="267">
        <f>'数据-取费表'!B27</f>
        <v>165</v>
      </c>
      <c r="F9" s="263"/>
      <c r="G9" s="2534"/>
      <c r="H9" s="1375"/>
      <c r="I9" s="2535" t="s">
        <v>2339</v>
      </c>
    </row>
    <row r="10" spans="1:9" s="256" customFormat="1" ht="13.5" customHeight="1">
      <c r="A10" s="943" t="s">
        <v>801</v>
      </c>
      <c r="B10" s="266" t="s">
        <v>2340</v>
      </c>
      <c r="C10" s="267">
        <f ca="1">ROUND(D10*E10/10000,0)</f>
        <v>631</v>
      </c>
      <c r="D10" s="1025">
        <f ca="1">IF(B1="",'数据-汇总表'!E6,IF(INDIRECT("'数据-取费表'!c"&amp;$G$1)="住宅",INDIRECT("'数据-取费表'!s"&amp;$G$1),INDIRECT("'数据-取费表'!k"&amp;$G$1)+INDIRECT("'数据-取费表'!s"&amp;$G$1)))</f>
        <v>28703.600000000002</v>
      </c>
      <c r="E10" s="267">
        <f>'数据-取费表'!B28</f>
        <v>220</v>
      </c>
      <c r="F10" s="263"/>
      <c r="G10" s="268"/>
    </row>
    <row r="11" spans="1:9" s="256" customFormat="1" ht="13.5" hidden="1" customHeight="1">
      <c r="A11" s="269" t="s">
        <v>7</v>
      </c>
      <c r="B11" s="257" t="s">
        <v>2341</v>
      </c>
      <c r="C11" s="253"/>
      <c r="D11" s="1027"/>
      <c r="E11" s="260"/>
      <c r="F11" s="260"/>
      <c r="G11" s="261"/>
    </row>
    <row r="12" spans="1:9" s="256" customFormat="1" ht="13.5" hidden="1" customHeight="1">
      <c r="A12" s="269" t="s">
        <v>8</v>
      </c>
      <c r="B12" s="257" t="s">
        <v>2342</v>
      </c>
      <c r="C12" s="253">
        <v>0</v>
      </c>
      <c r="D12" s="1027"/>
      <c r="E12" s="270"/>
      <c r="F12" s="263">
        <v>3.0499999999999999E-2</v>
      </c>
      <c r="G12" s="261"/>
    </row>
    <row r="13" spans="1:9" s="256" customFormat="1" ht="13.5" hidden="1" customHeight="1">
      <c r="A13" s="269" t="s">
        <v>9</v>
      </c>
      <c r="B13" s="257" t="s">
        <v>2343</v>
      </c>
      <c r="C13" s="253"/>
      <c r="D13" s="1027"/>
      <c r="E13" s="260"/>
      <c r="F13" s="260"/>
      <c r="G13" s="261"/>
    </row>
    <row r="14" spans="1:9" s="256" customFormat="1" ht="13.5" hidden="1" customHeight="1">
      <c r="A14" s="269" t="s">
        <v>10</v>
      </c>
      <c r="B14" s="257" t="s">
        <v>2344</v>
      </c>
      <c r="C14" s="253"/>
      <c r="D14" s="1027"/>
      <c r="E14" s="260"/>
      <c r="F14" s="260"/>
      <c r="G14" s="261" t="s">
        <v>2345</v>
      </c>
    </row>
    <row r="15" spans="1:9" s="256" customFormat="1" ht="13.5" hidden="1" customHeight="1">
      <c r="A15" s="269" t="s">
        <v>11</v>
      </c>
      <c r="B15" s="257" t="s">
        <v>2346</v>
      </c>
      <c r="C15" s="262"/>
      <c r="D15" s="1027"/>
      <c r="E15" s="260"/>
      <c r="F15" s="260"/>
      <c r="G15" s="261" t="s">
        <v>2347</v>
      </c>
    </row>
    <row r="16" spans="1:9" s="256" customFormat="1" ht="13.5" hidden="1" customHeight="1">
      <c r="A16" s="269" t="s">
        <v>12</v>
      </c>
      <c r="B16" s="257" t="s">
        <v>2344</v>
      </c>
      <c r="C16" s="262"/>
      <c r="D16" s="1027"/>
      <c r="E16" s="260"/>
      <c r="F16" s="260"/>
      <c r="G16" s="261"/>
    </row>
    <row r="17" spans="1:7" s="256" customFormat="1" ht="13.5" hidden="1" customHeight="1">
      <c r="A17" s="269" t="s">
        <v>13</v>
      </c>
      <c r="B17" s="257" t="s">
        <v>2348</v>
      </c>
      <c r="C17" s="271"/>
      <c r="D17" s="1028"/>
      <c r="E17" s="271"/>
      <c r="F17" s="271"/>
      <c r="G17" s="261" t="s">
        <v>2347</v>
      </c>
    </row>
    <row r="18" spans="1:7" s="256" customFormat="1" ht="13.5" hidden="1" customHeight="1">
      <c r="A18" s="269" t="s">
        <v>14</v>
      </c>
      <c r="B18" s="257" t="s">
        <v>2349</v>
      </c>
      <c r="C18" s="262">
        <v>0</v>
      </c>
      <c r="D18" s="1027"/>
      <c r="E18" s="260"/>
      <c r="F18" s="263">
        <v>3.0499999999999999E-2</v>
      </c>
      <c r="G18" s="261" t="s">
        <v>2350</v>
      </c>
    </row>
    <row r="19" spans="1:7" s="265" customFormat="1" ht="13.5" customHeight="1">
      <c r="A19" s="297" t="s">
        <v>2351</v>
      </c>
      <c r="B19" s="252" t="s">
        <v>2352</v>
      </c>
      <c r="C19" s="253">
        <f ca="1">IF(G19="已包含在土地取得成本中","0",ROUND(D19*E19/10000,0))</f>
        <v>574</v>
      </c>
      <c r="D19" s="1029">
        <f ca="1">D9+D10</f>
        <v>28703.600000000002</v>
      </c>
      <c r="E19" s="253">
        <f>'数据-取费表'!B31</f>
        <v>200</v>
      </c>
      <c r="F19" s="273"/>
      <c r="G19" s="2533"/>
    </row>
    <row r="20" spans="1:7" s="256" customFormat="1" ht="13.5" customHeight="1">
      <c r="A20" s="297" t="s">
        <v>2353</v>
      </c>
      <c r="B20" s="252" t="s">
        <v>2354</v>
      </c>
      <c r="C20" s="274">
        <f ca="1">ROUND((C5+C19)*F20,0)</f>
        <v>9</v>
      </c>
      <c r="D20" s="274"/>
      <c r="E20" s="274"/>
      <c r="F20" s="275">
        <f>'数据-取费表'!B37</f>
        <v>1.4999999999999999E-2</v>
      </c>
      <c r="G20" s="276" t="s">
        <v>2355</v>
      </c>
    </row>
    <row r="21" spans="1:7" s="256" customFormat="1" ht="13.5" customHeight="1">
      <c r="A21" s="297" t="s">
        <v>2356</v>
      </c>
      <c r="B21" s="252" t="s">
        <v>2357</v>
      </c>
      <c r="C21" s="277">
        <f>F21</f>
        <v>2.5000000000000001E-2</v>
      </c>
      <c r="D21" s="278" t="s">
        <v>2358</v>
      </c>
      <c r="E21" s="274"/>
      <c r="F21" s="275">
        <f>'数据-取费表'!B38</f>
        <v>2.5000000000000001E-2</v>
      </c>
      <c r="G21" s="276" t="s">
        <v>2359</v>
      </c>
    </row>
    <row r="22" spans="1:7" s="256" customFormat="1" ht="13.5" customHeight="1">
      <c r="A22" s="297" t="s">
        <v>2360</v>
      </c>
      <c r="B22" s="252" t="s">
        <v>2361</v>
      </c>
      <c r="C22" s="1339">
        <f ca="1">ROUND(SUM(C23:C25),0)</f>
        <v>56</v>
      </c>
      <c r="D22" s="277">
        <f ca="1">C26</f>
        <v>1.1999999999999999E-3</v>
      </c>
      <c r="E22" s="278" t="s">
        <v>2358</v>
      </c>
      <c r="F22" s="279">
        <f ca="1">'数据-取费表'!B40</f>
        <v>4.7500000000000001E-2</v>
      </c>
      <c r="G22" s="276" t="str">
        <f>IF('数据-取费表'!B22&lt;=1,"单利计息","复利计息")</f>
        <v>复利计息</v>
      </c>
    </row>
    <row r="23" spans="1:7" s="256" customFormat="1" ht="13.5" customHeight="1">
      <c r="A23" s="944" t="s">
        <v>2362</v>
      </c>
      <c r="B23" s="257" t="s">
        <v>2363</v>
      </c>
      <c r="C23" s="1340">
        <f ca="1">ROUND(IF('数据-取费表'!B22&lt;=1,C5*F22*'数据-取费表'!B23,C5*(POWER((1+F22),'数据-取费表'!B23)-1)),0)</f>
        <v>0</v>
      </c>
      <c r="D23" s="280"/>
      <c r="E23" s="280"/>
      <c r="F23" s="281"/>
      <c r="G23" s="282" t="s">
        <v>2364</v>
      </c>
    </row>
    <row r="24" spans="1:7" s="256" customFormat="1" ht="13.5" customHeight="1">
      <c r="A24" s="944" t="s">
        <v>2365</v>
      </c>
      <c r="B24" s="257" t="s">
        <v>2366</v>
      </c>
      <c r="C24" s="1340">
        <f ca="1">ROUND(IF('数据-取费表'!B22&lt;=1,C19*F22*('数据-取费表'!B19/2+'数据-取费表'!B21),C19*(POWER((1+F22),('数据-取费表'!B19/2+'数据-取费表'!B21))-1)),0)</f>
        <v>56</v>
      </c>
      <c r="D24" s="280"/>
      <c r="E24" s="280"/>
      <c r="F24" s="281"/>
      <c r="G24" s="282" t="s">
        <v>2367</v>
      </c>
    </row>
    <row r="25" spans="1:7" s="256" customFormat="1" ht="24">
      <c r="A25" s="944" t="s">
        <v>2368</v>
      </c>
      <c r="B25" s="257" t="s">
        <v>2369</v>
      </c>
      <c r="C25" s="1340">
        <f ca="1">ROUND(IF('数据-取费表'!B22&lt;=1,C20*F22*'数据-取费表'!B23/2,C20*(POWER((1+F22),'数据-取费表'!B23/2)-1)),0)</f>
        <v>0</v>
      </c>
      <c r="D25" s="280"/>
      <c r="E25" s="283"/>
      <c r="F25" s="281"/>
      <c r="G25" s="284" t="s">
        <v>2370</v>
      </c>
    </row>
    <row r="26" spans="1:7" s="256" customFormat="1">
      <c r="A26" s="944" t="s">
        <v>795</v>
      </c>
      <c r="B26" s="257" t="s">
        <v>2371</v>
      </c>
      <c r="C26" s="280">
        <f ca="1">ROUND(IF('数据-取费表'!B22&lt;=1,F21*F22*'数据-取费表'!B23/2,F21*(POWER((1+F22),'数据-取费表'!B23/2)-1)),4)</f>
        <v>1.1999999999999999E-3</v>
      </c>
      <c r="D26" s="280"/>
      <c r="E26" s="283"/>
      <c r="F26" s="281"/>
      <c r="G26" s="285"/>
    </row>
    <row r="27" spans="1:7" s="256" customFormat="1" ht="24.75">
      <c r="A27" s="297" t="s">
        <v>2372</v>
      </c>
      <c r="B27" s="286" t="s">
        <v>2373</v>
      </c>
      <c r="C27" s="287">
        <f ca="1">C28</f>
        <v>122</v>
      </c>
      <c r="D27" s="277">
        <f ca="1">C29</f>
        <v>5.3E-3</v>
      </c>
      <c r="E27" s="278" t="s">
        <v>2374</v>
      </c>
      <c r="F27" s="288">
        <f ca="1">IF(B1="",'数据-取费表'!Q16,INDIRECT("'数据-取费表'!q"&amp;$G$1))</f>
        <v>0.21</v>
      </c>
      <c r="G27" s="289" t="s">
        <v>2375</v>
      </c>
    </row>
    <row r="28" spans="1:7" s="256" customFormat="1" ht="13.5" customHeight="1">
      <c r="A28" s="944" t="s">
        <v>791</v>
      </c>
      <c r="B28" s="290" t="s">
        <v>2376</v>
      </c>
      <c r="C28" s="291">
        <f ca="1">ROUND((C5+C19+C20)*F27*'数据-取费表'!B21/'数据-取费表'!B20,0)</f>
        <v>122</v>
      </c>
      <c r="D28" s="277"/>
      <c r="E28" s="278"/>
      <c r="F28" s="288"/>
      <c r="G28" s="289"/>
    </row>
    <row r="29" spans="1:7" s="256" customFormat="1" ht="13.5" customHeight="1">
      <c r="A29" s="944" t="s">
        <v>792</v>
      </c>
      <c r="B29" s="290" t="s">
        <v>2377</v>
      </c>
      <c r="C29" s="280">
        <f ca="1">ROUND(C21*F27*'数据-取费表'!B21/'数据-取费表'!B20,4)</f>
        <v>5.3E-3</v>
      </c>
      <c r="D29" s="277"/>
      <c r="E29" s="278"/>
      <c r="F29" s="288"/>
      <c r="G29" s="289"/>
    </row>
    <row r="30" spans="1:7" s="256" customFormat="1" ht="13.5" customHeight="1">
      <c r="A30" s="297" t="s">
        <v>2378</v>
      </c>
      <c r="B30" s="252" t="s">
        <v>2379</v>
      </c>
      <c r="C30" s="277">
        <f>ROUND(F30/(1+'数据-取费表'!C42),4)</f>
        <v>5.3800000000000001E-2</v>
      </c>
      <c r="D30" s="278" t="s">
        <v>2374</v>
      </c>
      <c r="E30" s="283"/>
      <c r="F30" s="279">
        <f>'数据-取费表'!B41</f>
        <v>5.6500000000000002E-2</v>
      </c>
      <c r="G30" s="276" t="s">
        <v>2380</v>
      </c>
    </row>
    <row r="31" spans="1:7" ht="16.5" customHeight="1">
      <c r="A31" s="251">
        <v>1</v>
      </c>
      <c r="B31" s="252" t="s">
        <v>2381</v>
      </c>
      <c r="C31" s="253">
        <f ca="1">ROUND((C5+C19+C20+C22+C27)/(1-C21-D22-D27-C30),0)</f>
        <v>832</v>
      </c>
      <c r="D31" s="272"/>
      <c r="E31" s="253"/>
      <c r="F31" s="292"/>
      <c r="G31" s="276" t="s">
        <v>2382</v>
      </c>
    </row>
    <row r="32" spans="1:7" s="250" customFormat="1" ht="15.75">
      <c r="A32" s="294" t="s">
        <v>2383</v>
      </c>
      <c r="B32" s="295"/>
      <c r="C32" s="295"/>
      <c r="D32" s="295"/>
      <c r="E32" s="295"/>
      <c r="F32" s="295"/>
      <c r="G32" s="296"/>
    </row>
    <row r="33" spans="1:7" s="256" customFormat="1" ht="13.5" customHeight="1">
      <c r="A33" s="297" t="s">
        <v>782</v>
      </c>
      <c r="B33" s="252" t="s">
        <v>2384</v>
      </c>
      <c r="C33" s="298">
        <f ca="1">SUM(C34:C38)</f>
        <v>9496</v>
      </c>
      <c r="D33" s="274"/>
      <c r="E33" s="254"/>
      <c r="F33" s="283"/>
      <c r="G33" s="276"/>
    </row>
    <row r="34" spans="1:7" s="300" customFormat="1" ht="13.5" customHeight="1">
      <c r="A34" s="944" t="s">
        <v>791</v>
      </c>
      <c r="B34" s="257" t="s">
        <v>2385</v>
      </c>
      <c r="C34" s="262">
        <f ca="1">IF(B1="",IF(F34=100%,'数据-取费表'!M16,'数据-取费表'!O16),IF(F34=100%,INDIRECT("'数据-取费表'!m"&amp;$G$1)+INDIRECT("'数据-取费表'!t"&amp;$G$1),INDIRECT("'数据-取费表'!o"&amp;$G$1)+INDIRECT("'数据-取费表'!aq"&amp;$G$1)))</f>
        <v>8538</v>
      </c>
      <c r="D34" s="259"/>
      <c r="E34" s="262"/>
      <c r="F34" s="299">
        <f ca="1">IF('数据-取费表'!B24=0,1,IF(B1="",'数据-取费表'!N16,INDIRECT("'数据-取费表'!n"&amp;$G$1)))</f>
        <v>1</v>
      </c>
      <c r="G34" s="261" t="s">
        <v>2386</v>
      </c>
    </row>
    <row r="35" spans="1:7" ht="13.5" customHeight="1">
      <c r="A35" s="944" t="s">
        <v>796</v>
      </c>
      <c r="B35" s="257" t="s">
        <v>2387</v>
      </c>
      <c r="C35" s="262">
        <f ca="1">ROUND(C34*F35,0)</f>
        <v>256</v>
      </c>
      <c r="D35" s="262"/>
      <c r="E35" s="262"/>
      <c r="F35" s="301">
        <f>'数据-取费表'!B33</f>
        <v>0.03</v>
      </c>
      <c r="G35" s="261" t="s">
        <v>2388</v>
      </c>
    </row>
    <row r="36" spans="1:7" ht="24">
      <c r="A36" s="944" t="s">
        <v>797</v>
      </c>
      <c r="B36" s="257" t="s">
        <v>2389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2390</v>
      </c>
    </row>
    <row r="37" spans="1:7" s="300" customFormat="1" ht="13.5" customHeight="1">
      <c r="A37" s="944" t="s">
        <v>798</v>
      </c>
      <c r="B37" s="257" t="s">
        <v>2391</v>
      </c>
      <c r="C37" s="291">
        <f ca="1">ROUND(E37*D37*F34/10000,0)</f>
        <v>574</v>
      </c>
      <c r="D37" s="259">
        <f ca="1">D19</f>
        <v>28703.600000000002</v>
      </c>
      <c r="E37" s="291">
        <f>'数据-取费表'!B35</f>
        <v>200</v>
      </c>
      <c r="F37" s="301"/>
      <c r="G37" s="303" t="s">
        <v>2392</v>
      </c>
    </row>
    <row r="38" spans="1:7" ht="13.5" customHeight="1">
      <c r="A38" s="944" t="s">
        <v>799</v>
      </c>
      <c r="B38" s="257" t="s">
        <v>2393</v>
      </c>
      <c r="C38" s="262">
        <f ca="1">ROUND(C34*F38,0)</f>
        <v>128</v>
      </c>
      <c r="D38" s="262"/>
      <c r="E38" s="262"/>
      <c r="F38" s="301">
        <f>'数据-取费表'!B36</f>
        <v>1.4999999999999999E-2</v>
      </c>
      <c r="G38" s="261" t="s">
        <v>2388</v>
      </c>
    </row>
    <row r="39" spans="1:7" s="256" customFormat="1" ht="13.5" customHeight="1">
      <c r="A39" s="297" t="s">
        <v>2394</v>
      </c>
      <c r="B39" s="252" t="s">
        <v>2395</v>
      </c>
      <c r="C39" s="274">
        <f ca="1">ROUND(C33*F20,0)</f>
        <v>142</v>
      </c>
      <c r="D39" s="274"/>
      <c r="E39" s="274"/>
      <c r="F39" s="275"/>
      <c r="G39" s="276" t="s">
        <v>2396</v>
      </c>
    </row>
    <row r="40" spans="1:7" s="256" customFormat="1" ht="13.5" customHeight="1">
      <c r="A40" s="297" t="s">
        <v>2397</v>
      </c>
      <c r="B40" s="252" t="s">
        <v>2398</v>
      </c>
      <c r="C40" s="1714">
        <f>F21</f>
        <v>2.5000000000000001E-2</v>
      </c>
      <c r="D40" s="278" t="s">
        <v>2399</v>
      </c>
      <c r="E40" s="274"/>
      <c r="F40" s="275"/>
      <c r="G40" s="276" t="s">
        <v>2400</v>
      </c>
    </row>
    <row r="41" spans="1:7" s="256" customFormat="1" ht="13.5" customHeight="1">
      <c r="A41" s="297" t="s">
        <v>2401</v>
      </c>
      <c r="B41" s="252" t="s">
        <v>2402</v>
      </c>
      <c r="C41" s="274">
        <f ca="1">ROUND(SUM(C42:C43),0)</f>
        <v>458</v>
      </c>
      <c r="D41" s="277">
        <f ca="1">C44</f>
        <v>1.1999999999999999E-3</v>
      </c>
      <c r="E41" s="278" t="s">
        <v>2399</v>
      </c>
      <c r="F41" s="279"/>
      <c r="G41" s="276" t="str">
        <f>IF('数据-取费表'!B22&lt;=1,"单利计息","复利计息")</f>
        <v>复利计息</v>
      </c>
    </row>
    <row r="42" spans="1:7" ht="13.5" customHeight="1">
      <c r="A42" s="944" t="s">
        <v>791</v>
      </c>
      <c r="B42" s="257" t="s">
        <v>2403</v>
      </c>
      <c r="C42" s="280">
        <f ca="1">ROUND(IF('数据-取费表'!B22&lt;=1,C33*F22*'数据-取费表'!B21/2,C33*(POWER((1+F22),'数据-取费表'!B21/2)-1)),0)</f>
        <v>451</v>
      </c>
      <c r="D42" s="280"/>
      <c r="E42" s="280"/>
      <c r="F42" s="281"/>
      <c r="G42" s="3149" t="s">
        <v>2404</v>
      </c>
    </row>
    <row r="43" spans="1:7" ht="13.5" customHeight="1">
      <c r="A43" s="944" t="s">
        <v>792</v>
      </c>
      <c r="B43" s="257" t="s">
        <v>2405</v>
      </c>
      <c r="C43" s="280">
        <f ca="1">ROUND(IF('数据-取费表'!B22&lt;=1,C39*F22*'数据-取费表'!B21/2,C39*(POWER((1+F22),'数据-取费表'!B21/2)-1)),0)</f>
        <v>7</v>
      </c>
      <c r="D43" s="280"/>
      <c r="E43" s="280"/>
      <c r="F43" s="281"/>
      <c r="G43" s="3150"/>
    </row>
    <row r="44" spans="1:7" ht="13.5" customHeight="1">
      <c r="A44" s="944" t="s">
        <v>793</v>
      </c>
      <c r="B44" s="257" t="s">
        <v>2406</v>
      </c>
      <c r="C44" s="280">
        <f ca="1">ROUND(IF('数据-取费表'!B22&lt;=1,C40*F22*'数据-取费表'!B21/2,C40*(POWER((1+F22),'数据-取费表'!B21/2)-1)),4)</f>
        <v>1.1999999999999999E-3</v>
      </c>
      <c r="D44" s="280"/>
      <c r="E44" s="280"/>
      <c r="F44" s="281"/>
      <c r="G44" s="3151"/>
    </row>
    <row r="45" spans="1:7" s="256" customFormat="1" ht="13.5" customHeight="1">
      <c r="A45" s="297" t="s">
        <v>2407</v>
      </c>
      <c r="B45" s="286" t="s">
        <v>2373</v>
      </c>
      <c r="C45" s="287">
        <f ca="1">C46</f>
        <v>2024</v>
      </c>
      <c r="D45" s="277">
        <f ca="1">C47</f>
        <v>5.3E-3</v>
      </c>
      <c r="E45" s="278" t="s">
        <v>2399</v>
      </c>
      <c r="F45" s="288"/>
      <c r="G45" s="289" t="s">
        <v>2408</v>
      </c>
    </row>
    <row r="46" spans="1:7" s="256" customFormat="1" ht="13.5" customHeight="1">
      <c r="A46" s="944" t="s">
        <v>791</v>
      </c>
      <c r="B46" s="290" t="s">
        <v>2409</v>
      </c>
      <c r="C46" s="291">
        <f ca="1">ROUND((C33+C39)*F27,0)</f>
        <v>2024</v>
      </c>
      <c r="D46" s="305"/>
      <c r="E46" s="278"/>
      <c r="F46" s="288"/>
      <c r="G46" s="289"/>
    </row>
    <row r="47" spans="1:7" s="256" customFormat="1" ht="13.5" customHeight="1">
      <c r="A47" s="944" t="s">
        <v>792</v>
      </c>
      <c r="B47" s="290" t="s">
        <v>2410</v>
      </c>
      <c r="C47" s="280">
        <f ca="1">ROUND(C40*F27,4)</f>
        <v>5.3E-3</v>
      </c>
      <c r="D47" s="305"/>
      <c r="E47" s="278"/>
      <c r="F47" s="288"/>
      <c r="G47" s="289"/>
    </row>
    <row r="48" spans="1:7" s="256" customFormat="1" ht="13.5" customHeight="1">
      <c r="A48" s="297" t="s">
        <v>2372</v>
      </c>
      <c r="B48" s="252" t="s">
        <v>2411</v>
      </c>
      <c r="C48" s="1714">
        <f>ROUND(F30/(1+'数据-取费表'!C42),4)</f>
        <v>5.3800000000000001E-2</v>
      </c>
      <c r="D48" s="278" t="s">
        <v>2399</v>
      </c>
      <c r="E48" s="274"/>
      <c r="F48" s="279"/>
      <c r="G48" s="276" t="s">
        <v>2412</v>
      </c>
    </row>
    <row r="49" spans="1:7" ht="16.5" customHeight="1">
      <c r="A49" s="297" t="s">
        <v>2378</v>
      </c>
      <c r="B49" s="252" t="s">
        <v>2413</v>
      </c>
      <c r="C49" s="274">
        <f ca="1">ROUND((C33+C39+C41+C45)/(1-C40-D41-D45-C48),0)</f>
        <v>13250</v>
      </c>
      <c r="D49" s="274"/>
      <c r="E49" s="274"/>
      <c r="F49" s="306"/>
      <c r="G49" s="276" t="s">
        <v>2414</v>
      </c>
    </row>
    <row r="50" spans="1:7" s="300" customFormat="1" ht="24">
      <c r="A50" s="297" t="s">
        <v>2415</v>
      </c>
      <c r="B50" s="252" t="s">
        <v>2416</v>
      </c>
      <c r="C50" s="274"/>
      <c r="D50" s="274"/>
      <c r="E50" s="274"/>
      <c r="F50" s="306">
        <f>IF('数据-取费表'!B24=0,'数据-取费表'!N16,1)</f>
        <v>0.93</v>
      </c>
      <c r="G50" s="289" t="s">
        <v>2417</v>
      </c>
    </row>
    <row r="51" spans="1:7" ht="16.5" customHeight="1">
      <c r="A51" s="297" t="s">
        <v>2418</v>
      </c>
      <c r="B51" s="252" t="s">
        <v>2419</v>
      </c>
      <c r="C51" s="274">
        <f ca="1">ROUND(C49*F50,0)</f>
        <v>12323</v>
      </c>
      <c r="D51" s="274"/>
      <c r="E51" s="274"/>
      <c r="F51" s="306"/>
      <c r="G51" s="276" t="s">
        <v>2420</v>
      </c>
    </row>
    <row r="52" spans="1:7" s="250" customFormat="1" ht="16.5" thickBot="1">
      <c r="A52" s="307" t="s">
        <v>2421</v>
      </c>
      <c r="B52" s="308"/>
      <c r="C52" s="309">
        <f ca="1">C31+C51</f>
        <v>13155</v>
      </c>
      <c r="D52" s="308"/>
      <c r="E52" s="308"/>
      <c r="F52" s="308"/>
      <c r="G52" s="310"/>
    </row>
    <row r="55" spans="1:7" ht="15">
      <c r="B55" s="312" t="s">
        <v>2422</v>
      </c>
      <c r="C55" s="313"/>
    </row>
    <row r="56" spans="1:7">
      <c r="B56" s="315" t="s">
        <v>1515</v>
      </c>
      <c r="C56" s="317">
        <f ca="1">1-C57</f>
        <v>6.2999999999999945E-2</v>
      </c>
    </row>
    <row r="57" spans="1:7">
      <c r="B57" s="315" t="s">
        <v>1516</v>
      </c>
      <c r="C57" s="316">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2321</v>
      </c>
      <c r="B1" s="1923"/>
      <c r="C1" s="2536" t="s">
        <v>2423</v>
      </c>
      <c r="D1" s="240"/>
      <c r="E1" s="240"/>
      <c r="F1" s="240"/>
      <c r="G1" s="1364">
        <f>MATCH(B1,'数据-取费表'!A6:A16,0)+5</f>
        <v>9</v>
      </c>
      <c r="H1" s="1267" t="str">
        <f>IF(ISERROR(FIND("住宅",B1)),"非住宅","住宅")</f>
        <v>非住宅</v>
      </c>
    </row>
    <row r="2" spans="1:8" s="242" customFormat="1" ht="18" customHeight="1">
      <c r="A2" s="243" t="s">
        <v>2322</v>
      </c>
      <c r="B2" s="244">
        <f ca="1">ROUND(IF(D2="——",C52/10000,C52/10000-E2),0)</f>
        <v>14072</v>
      </c>
      <c r="C2" s="241" t="s">
        <v>2323</v>
      </c>
      <c r="D2" s="2530" t="s">
        <v>70</v>
      </c>
      <c r="E2" s="1425" t="e">
        <f ca="1">SUMIF(INDIRECT("'"&amp;G2&amp;"'"&amp;"!A:A"),"承租人权益价值",INDIRECT("'"&amp;G2&amp;"'"&amp;"!c:c"))</f>
        <v>#REF!</v>
      </c>
      <c r="F2" s="2531" t="s">
        <v>2323</v>
      </c>
      <c r="G2" s="2532"/>
    </row>
    <row r="3" spans="1:8" s="242" customFormat="1" ht="18" customHeight="1" thickBot="1">
      <c r="A3" s="245" t="s">
        <v>2324</v>
      </c>
      <c r="B3" s="246">
        <f ca="1">ROUND(B2*10000/(IF(B1="",'数据-汇总表'!E3,INDIRECT("'数据-取费表'!k"&amp;$G$1))),0)</f>
        <v>4903</v>
      </c>
      <c r="C3" s="241" t="s">
        <v>2325</v>
      </c>
      <c r="D3" s="241"/>
      <c r="E3" s="241"/>
      <c r="F3" s="241"/>
      <c r="G3" s="241"/>
    </row>
    <row r="4" spans="1:8" s="250" customFormat="1" ht="15.75">
      <c r="A4" s="247" t="s">
        <v>2326</v>
      </c>
      <c r="B4" s="248"/>
      <c r="C4" s="248"/>
      <c r="D4" s="248"/>
      <c r="E4" s="248"/>
      <c r="F4" s="248"/>
      <c r="G4" s="249"/>
    </row>
    <row r="5" spans="1:8" s="256" customFormat="1" ht="13.5" customHeight="1">
      <c r="A5" s="297" t="s">
        <v>2327</v>
      </c>
      <c r="B5" s="252" t="s">
        <v>2328</v>
      </c>
      <c r="C5" s="253">
        <f ca="1">C6+C7+C8</f>
        <v>6314792</v>
      </c>
      <c r="D5" s="253" t="s">
        <v>2329</v>
      </c>
      <c r="E5" s="254" t="s">
        <v>2330</v>
      </c>
      <c r="F5" s="254" t="s">
        <v>2331</v>
      </c>
      <c r="G5" s="255"/>
    </row>
    <row r="6" spans="1:8" s="256" customFormat="1" ht="13.5" customHeight="1">
      <c r="A6" s="942" t="s">
        <v>2332</v>
      </c>
      <c r="B6" s="257" t="s">
        <v>2333</v>
      </c>
      <c r="C6" s="258"/>
      <c r="D6" s="259"/>
      <c r="E6" s="260"/>
      <c r="F6" s="260"/>
      <c r="G6" s="261"/>
    </row>
    <row r="7" spans="1:8" s="256" customFormat="1" ht="13.5" customHeight="1">
      <c r="A7" s="942" t="s">
        <v>2334</v>
      </c>
      <c r="B7" s="257" t="s">
        <v>2335</v>
      </c>
      <c r="C7" s="262">
        <f>ROUND(C6*F7,0)</f>
        <v>0</v>
      </c>
      <c r="D7" s="262"/>
      <c r="E7" s="260"/>
      <c r="F7" s="263">
        <f>'数据-取费表'!B48+'数据-取费表'!B49</f>
        <v>3.0499999999999999E-2</v>
      </c>
      <c r="G7" s="261"/>
    </row>
    <row r="8" spans="1:8" s="265" customFormat="1">
      <c r="A8" s="942" t="s">
        <v>2336</v>
      </c>
      <c r="B8" s="257" t="s">
        <v>2337</v>
      </c>
      <c r="C8" s="262">
        <f ca="1">IF(G8="已包含在土地购买价格中",0,C9+C10)</f>
        <v>6314792</v>
      </c>
      <c r="D8" s="264"/>
      <c r="E8" s="262"/>
      <c r="F8" s="263"/>
      <c r="G8" s="2533"/>
    </row>
    <row r="9" spans="1:8" s="256" customFormat="1" ht="13.5" customHeight="1">
      <c r="A9" s="943" t="s">
        <v>800</v>
      </c>
      <c r="B9" s="266" t="s">
        <v>2338</v>
      </c>
      <c r="C9" s="267">
        <f ca="1">ROUND(D9*E9,0)</f>
        <v>0</v>
      </c>
      <c r="D9" s="1025">
        <f ca="1">IF(B1="",'数据-汇总表'!E5,IF(INDIRECT("'数据-取费表'!c"&amp;$G$1)="住宅",INDIRECT("'数据-取费表'!k"&amp;$G$1),0))</f>
        <v>0</v>
      </c>
      <c r="E9" s="267">
        <f>'数据-取费表'!B27</f>
        <v>165</v>
      </c>
      <c r="F9" s="263"/>
      <c r="G9" s="268"/>
    </row>
    <row r="10" spans="1:8" s="256" customFormat="1" ht="13.5" customHeight="1">
      <c r="A10" s="943" t="s">
        <v>801</v>
      </c>
      <c r="B10" s="266" t="s">
        <v>2340</v>
      </c>
      <c r="C10" s="267">
        <f ca="1">ROUND(D10*E10,0)</f>
        <v>6314792</v>
      </c>
      <c r="D10" s="1025">
        <f ca="1">IF(B1="",'数据-汇总表'!E6,IF(INDIRECT("'数据-取费表'!c"&amp;$G$1)="住宅",INDIRECT("'数据-取费表'!s"&amp;$G$1),INDIRECT("'数据-取费表'!k"&amp;$G$1)+INDIRECT("'数据-取费表'!s"&amp;$G$1)))</f>
        <v>28703.600000000002</v>
      </c>
      <c r="E10" s="267">
        <f>'数据-取费表'!B28</f>
        <v>220</v>
      </c>
      <c r="F10" s="263"/>
      <c r="G10" s="268"/>
    </row>
    <row r="11" spans="1:8" s="256" customFormat="1" ht="13.5" hidden="1" customHeight="1">
      <c r="A11" s="269" t="s">
        <v>7</v>
      </c>
      <c r="B11" s="257" t="s">
        <v>2341</v>
      </c>
      <c r="C11" s="253"/>
      <c r="D11" s="1027"/>
      <c r="E11" s="260"/>
      <c r="F11" s="260"/>
      <c r="G11" s="261"/>
    </row>
    <row r="12" spans="1:8" s="256" customFormat="1" ht="13.5" hidden="1" customHeight="1">
      <c r="A12" s="269" t="s">
        <v>8</v>
      </c>
      <c r="B12" s="257" t="s">
        <v>2424</v>
      </c>
      <c r="C12" s="253">
        <v>0</v>
      </c>
      <c r="D12" s="1027"/>
      <c r="E12" s="270"/>
      <c r="F12" s="263">
        <v>3.0499999999999999E-2</v>
      </c>
      <c r="G12" s="261"/>
    </row>
    <row r="13" spans="1:8" s="256" customFormat="1" ht="13.5" hidden="1" customHeight="1">
      <c r="A13" s="269" t="s">
        <v>9</v>
      </c>
      <c r="B13" s="257" t="s">
        <v>2425</v>
      </c>
      <c r="C13" s="253"/>
      <c r="D13" s="1027"/>
      <c r="E13" s="260"/>
      <c r="F13" s="260"/>
      <c r="G13" s="261"/>
    </row>
    <row r="14" spans="1:8" s="256" customFormat="1" ht="13.5" hidden="1" customHeight="1">
      <c r="A14" s="269" t="s">
        <v>10</v>
      </c>
      <c r="B14" s="257" t="s">
        <v>2337</v>
      </c>
      <c r="C14" s="253"/>
      <c r="D14" s="1027"/>
      <c r="E14" s="260"/>
      <c r="F14" s="260"/>
      <c r="G14" s="261" t="s">
        <v>2426</v>
      </c>
    </row>
    <row r="15" spans="1:8" s="256" customFormat="1" ht="13.5" hidden="1" customHeight="1">
      <c r="A15" s="269" t="s">
        <v>11</v>
      </c>
      <c r="B15" s="257" t="s">
        <v>2427</v>
      </c>
      <c r="C15" s="262"/>
      <c r="D15" s="1027"/>
      <c r="E15" s="260"/>
      <c r="F15" s="260"/>
      <c r="G15" s="261" t="s">
        <v>2428</v>
      </c>
    </row>
    <row r="16" spans="1:8" s="256" customFormat="1" ht="13.5" hidden="1" customHeight="1">
      <c r="A16" s="269" t="s">
        <v>12</v>
      </c>
      <c r="B16" s="257" t="s">
        <v>2337</v>
      </c>
      <c r="C16" s="262"/>
      <c r="D16" s="1027"/>
      <c r="E16" s="260"/>
      <c r="F16" s="260"/>
      <c r="G16" s="261"/>
    </row>
    <row r="17" spans="1:7" s="256" customFormat="1" ht="13.5" hidden="1" customHeight="1">
      <c r="A17" s="269" t="s">
        <v>13</v>
      </c>
      <c r="B17" s="257" t="s">
        <v>2429</v>
      </c>
      <c r="C17" s="271"/>
      <c r="D17" s="1028"/>
      <c r="E17" s="271"/>
      <c r="F17" s="271"/>
      <c r="G17" s="261" t="s">
        <v>2428</v>
      </c>
    </row>
    <row r="18" spans="1:7" s="256" customFormat="1" ht="13.5" hidden="1" customHeight="1">
      <c r="A18" s="269" t="s">
        <v>14</v>
      </c>
      <c r="B18" s="257" t="s">
        <v>2430</v>
      </c>
      <c r="C18" s="262">
        <v>0</v>
      </c>
      <c r="D18" s="1027"/>
      <c r="E18" s="260"/>
      <c r="F18" s="263">
        <v>3.0499999999999999E-2</v>
      </c>
      <c r="G18" s="261" t="s">
        <v>2431</v>
      </c>
    </row>
    <row r="19" spans="1:7" s="265" customFormat="1" ht="13.5" customHeight="1">
      <c r="A19" s="297" t="s">
        <v>2432</v>
      </c>
      <c r="B19" s="252" t="s">
        <v>2433</v>
      </c>
      <c r="C19" s="253">
        <f ca="1">IF(G19="已包含在土地取得成本中","0",ROUND(D19*E19,0))</f>
        <v>5740720</v>
      </c>
      <c r="D19" s="1029">
        <f ca="1">D9+D10</f>
        <v>28703.600000000002</v>
      </c>
      <c r="E19" s="253">
        <f>'数据-取费表'!B31</f>
        <v>200</v>
      </c>
      <c r="F19" s="273"/>
      <c r="G19" s="2533"/>
    </row>
    <row r="20" spans="1:7" s="256" customFormat="1" ht="13.5" customHeight="1">
      <c r="A20" s="297" t="s">
        <v>2434</v>
      </c>
      <c r="B20" s="252" t="s">
        <v>2435</v>
      </c>
      <c r="C20" s="274">
        <f ca="1">ROUND((C5+C19)*F20,0)</f>
        <v>180833</v>
      </c>
      <c r="D20" s="274"/>
      <c r="E20" s="274"/>
      <c r="F20" s="275">
        <f>'数据-取费表'!B37</f>
        <v>1.4999999999999999E-2</v>
      </c>
      <c r="G20" s="276" t="s">
        <v>2436</v>
      </c>
    </row>
    <row r="21" spans="1:7" s="256" customFormat="1" ht="13.5" customHeight="1">
      <c r="A21" s="297" t="s">
        <v>2437</v>
      </c>
      <c r="B21" s="252" t="s">
        <v>2438</v>
      </c>
      <c r="C21" s="277">
        <f>F21</f>
        <v>2.5000000000000001E-2</v>
      </c>
      <c r="D21" s="278" t="s">
        <v>2439</v>
      </c>
      <c r="E21" s="274"/>
      <c r="F21" s="275">
        <f>'数据-取费表'!B38</f>
        <v>2.5000000000000001E-2</v>
      </c>
      <c r="G21" s="276" t="s">
        <v>2440</v>
      </c>
    </row>
    <row r="22" spans="1:7" s="256" customFormat="1" ht="13.5" customHeight="1">
      <c r="A22" s="297" t="s">
        <v>2441</v>
      </c>
      <c r="B22" s="252" t="s">
        <v>2442</v>
      </c>
      <c r="C22" s="1365">
        <f ca="1">ROUND(SUM(C23:C25),0)</f>
        <v>1181064</v>
      </c>
      <c r="D22" s="277">
        <f ca="1">C26</f>
        <v>1.1999999999999999E-3</v>
      </c>
      <c r="E22" s="278" t="s">
        <v>2439</v>
      </c>
      <c r="F22" s="279">
        <f ca="1">'数据-取费表'!B40</f>
        <v>4.7500000000000001E-2</v>
      </c>
      <c r="G22" s="276" t="str">
        <f>IF('数据-取费表'!B22&lt;=1,"单利计息","复利计息")</f>
        <v>复利计息</v>
      </c>
    </row>
    <row r="23" spans="1:7" s="256" customFormat="1" ht="13.5" customHeight="1">
      <c r="A23" s="944" t="s">
        <v>2332</v>
      </c>
      <c r="B23" s="257" t="s">
        <v>2443</v>
      </c>
      <c r="C23" s="1366">
        <f ca="1">ROUND(IF('数据-取费表'!B22&lt;=1,C5*F22*'数据-取费表'!B22,C5*(POWER((1+F22),'数据-取费表'!B22)-1)),0)</f>
        <v>614153</v>
      </c>
      <c r="D23" s="280"/>
      <c r="E23" s="280"/>
      <c r="F23" s="281"/>
      <c r="G23" s="282" t="s">
        <v>2444</v>
      </c>
    </row>
    <row r="24" spans="1:7" s="256" customFormat="1" ht="13.5" customHeight="1">
      <c r="A24" s="944" t="s">
        <v>2334</v>
      </c>
      <c r="B24" s="257" t="s">
        <v>2445</v>
      </c>
      <c r="C24" s="1366">
        <f ca="1">ROUND(IF('数据-取费表'!B22&lt;=1,C19*F22*('数据-取费表'!B19/2+'数据-取费表'!B20),C19*(POWER((1+F22),('数据-取费表'!B19/2+'数据-取费表'!B20))-1)),0)</f>
        <v>558321</v>
      </c>
      <c r="D24" s="280"/>
      <c r="E24" s="280"/>
      <c r="F24" s="281"/>
      <c r="G24" s="282" t="s">
        <v>2446</v>
      </c>
    </row>
    <row r="25" spans="1:7" s="256" customFormat="1" ht="24">
      <c r="A25" s="944" t="s">
        <v>2336</v>
      </c>
      <c r="B25" s="257" t="s">
        <v>2447</v>
      </c>
      <c r="C25" s="1366">
        <f ca="1">ROUND(IF('数据-取费表'!B22&lt;=1,C20*F22*'数据-取费表'!B22/2,C20*(POWER((1+F22),'数据-取费表'!B22/2)-1)),0)</f>
        <v>8590</v>
      </c>
      <c r="D25" s="280"/>
      <c r="E25" s="283"/>
      <c r="F25" s="281"/>
      <c r="G25" s="284" t="s">
        <v>2448</v>
      </c>
    </row>
    <row r="26" spans="1:7" s="256" customFormat="1">
      <c r="A26" s="944" t="s">
        <v>795</v>
      </c>
      <c r="B26" s="257" t="s">
        <v>2371</v>
      </c>
      <c r="C26" s="280">
        <f ca="1">ROUND(IF('数据-取费表'!B22&lt;=1,F21*F22*'数据-取费表'!B22/2,F21*(POWER((1+F22),'数据-取费表'!B22/2)-1)),4)</f>
        <v>1.1999999999999999E-3</v>
      </c>
      <c r="D26" s="280"/>
      <c r="E26" s="283"/>
      <c r="F26" s="281"/>
      <c r="G26" s="285"/>
    </row>
    <row r="27" spans="1:7" s="256" customFormat="1" ht="24.75">
      <c r="A27" s="297" t="s">
        <v>2372</v>
      </c>
      <c r="B27" s="286" t="s">
        <v>2373</v>
      </c>
      <c r="C27" s="287">
        <f ca="1">C28</f>
        <v>2569632</v>
      </c>
      <c r="D27" s="277">
        <f ca="1">C29</f>
        <v>5.3E-3</v>
      </c>
      <c r="E27" s="278" t="s">
        <v>2374</v>
      </c>
      <c r="F27" s="288">
        <f ca="1">IF(B1="",'数据-取费表'!Q16,INDIRECT("'数据-取费表'!q"&amp;$G$1))</f>
        <v>0.21</v>
      </c>
      <c r="G27" s="289" t="s">
        <v>2375</v>
      </c>
    </row>
    <row r="28" spans="1:7" s="256" customFormat="1" ht="13.5" customHeight="1">
      <c r="A28" s="944" t="s">
        <v>791</v>
      </c>
      <c r="B28" s="290" t="s">
        <v>2376</v>
      </c>
      <c r="C28" s="291">
        <f ca="1">ROUND((C5+C19+C20)*F27,0)</f>
        <v>2569632</v>
      </c>
      <c r="D28" s="277"/>
      <c r="E28" s="278"/>
      <c r="F28" s="288"/>
      <c r="G28" s="289"/>
    </row>
    <row r="29" spans="1:7" s="256" customFormat="1" ht="13.5" customHeight="1">
      <c r="A29" s="944" t="s">
        <v>792</v>
      </c>
      <c r="B29" s="290" t="s">
        <v>2377</v>
      </c>
      <c r="C29" s="280">
        <f ca="1">ROUND(C21*F27,4)</f>
        <v>5.3E-3</v>
      </c>
      <c r="D29" s="277"/>
      <c r="E29" s="278"/>
      <c r="F29" s="288"/>
      <c r="G29" s="289"/>
    </row>
    <row r="30" spans="1:7" s="256" customFormat="1" ht="13.5" customHeight="1">
      <c r="A30" s="297" t="s">
        <v>2378</v>
      </c>
      <c r="B30" s="252" t="s">
        <v>2379</v>
      </c>
      <c r="C30" s="277">
        <f>ROUND(F30/(1+'数据-取费表'!C42),4)</f>
        <v>5.3800000000000001E-2</v>
      </c>
      <c r="D30" s="278" t="s">
        <v>2374</v>
      </c>
      <c r="E30" s="283"/>
      <c r="F30" s="279">
        <f>'数据-取费表'!B41</f>
        <v>5.6500000000000002E-2</v>
      </c>
      <c r="G30" s="276" t="s">
        <v>2380</v>
      </c>
    </row>
    <row r="31" spans="1:7" ht="16.5" customHeight="1">
      <c r="A31" s="251">
        <v>1</v>
      </c>
      <c r="B31" s="252" t="s">
        <v>2381</v>
      </c>
      <c r="C31" s="253">
        <f ca="1">ROUND((C5+C19+C20+C22+C27)/(1-C21-D22-D27-C30),0)</f>
        <v>17477906</v>
      </c>
      <c r="D31" s="272"/>
      <c r="E31" s="253"/>
      <c r="F31" s="292"/>
      <c r="G31" s="276" t="s">
        <v>2382</v>
      </c>
    </row>
    <row r="32" spans="1:7" s="250" customFormat="1" ht="15.75">
      <c r="A32" s="294" t="s">
        <v>2449</v>
      </c>
      <c r="B32" s="295"/>
      <c r="C32" s="295"/>
      <c r="D32" s="295"/>
      <c r="E32" s="295"/>
      <c r="F32" s="295"/>
      <c r="G32" s="296"/>
    </row>
    <row r="33" spans="1:7" s="256" customFormat="1" ht="13.5" customHeight="1">
      <c r="A33" s="297" t="s">
        <v>782</v>
      </c>
      <c r="B33" s="252" t="s">
        <v>2450</v>
      </c>
      <c r="C33" s="298">
        <f ca="1">SUM(C34:C38)</f>
        <v>94967292</v>
      </c>
      <c r="D33" s="274"/>
      <c r="E33" s="254"/>
      <c r="F33" s="283"/>
      <c r="G33" s="276"/>
    </row>
    <row r="34" spans="1:7" s="300" customFormat="1" ht="13.5" customHeight="1">
      <c r="A34" s="944" t="s">
        <v>791</v>
      </c>
      <c r="B34" s="257" t="s">
        <v>2385</v>
      </c>
      <c r="C34" s="262">
        <f ca="1">ROUND(IF(B1="",SUMPRODUCT('数据-取费表'!K6:K14,'数据-取费表'!L6:L14),INDIRECT("'数据-取费表'!l"&amp;$G$1)*INDIRECT("'数据-取费表'!k"&amp;$G$1)+'数据-取费表'!L14*INDIRECT("'数据-取费表'!S"&amp;$G$1)),0)</f>
        <v>85384280</v>
      </c>
      <c r="D34" s="259"/>
      <c r="E34" s="262"/>
      <c r="F34" s="299"/>
      <c r="G34" s="261"/>
    </row>
    <row r="35" spans="1:7" ht="13.5" customHeight="1">
      <c r="A35" s="944" t="s">
        <v>796</v>
      </c>
      <c r="B35" s="257" t="s">
        <v>2387</v>
      </c>
      <c r="C35" s="262">
        <f ca="1">ROUND(C34*F35,0)</f>
        <v>2561528</v>
      </c>
      <c r="D35" s="262"/>
      <c r="E35" s="262"/>
      <c r="F35" s="301">
        <f>'数据-取费表'!B33</f>
        <v>0.03</v>
      </c>
      <c r="G35" s="261" t="s">
        <v>2388</v>
      </c>
    </row>
    <row r="36" spans="1:7" ht="24">
      <c r="A36" s="944" t="s">
        <v>797</v>
      </c>
      <c r="B36" s="257" t="s">
        <v>2389</v>
      </c>
      <c r="C36" s="262">
        <f ca="1">ROUND(IF(B1="",SUM('数据-取费表'!AP6:AP13)*F36,IF(INDIRECT("'数据-取费表'!c"&amp;$G$1)="住宅",INDIRECT("'数据-取费表'!k"&amp;$G$1)*INDIRECT("'数据-取费表'!l"&amp;$G$1)*F36,0)),0)</f>
        <v>0</v>
      </c>
      <c r="D36" s="262"/>
      <c r="E36" s="262"/>
      <c r="F36" s="301">
        <f>'数据-取费表'!B34</f>
        <v>0</v>
      </c>
      <c r="G36" s="302" t="s">
        <v>2390</v>
      </c>
    </row>
    <row r="37" spans="1:7" s="300" customFormat="1" ht="13.5" customHeight="1">
      <c r="A37" s="944" t="s">
        <v>798</v>
      </c>
      <c r="B37" s="257" t="s">
        <v>2391</v>
      </c>
      <c r="C37" s="291">
        <f ca="1">ROUND(E37*D37,0)</f>
        <v>5740720</v>
      </c>
      <c r="D37" s="259">
        <f ca="1">D19</f>
        <v>28703.600000000002</v>
      </c>
      <c r="E37" s="291">
        <f>'数据-取费表'!B35</f>
        <v>200</v>
      </c>
      <c r="F37" s="301"/>
      <c r="G37" s="303"/>
    </row>
    <row r="38" spans="1:7" ht="13.5" customHeight="1">
      <c r="A38" s="944" t="s">
        <v>799</v>
      </c>
      <c r="B38" s="257" t="s">
        <v>2393</v>
      </c>
      <c r="C38" s="262">
        <f ca="1">ROUND(C34*F38,0)</f>
        <v>1280764</v>
      </c>
      <c r="D38" s="262"/>
      <c r="E38" s="262"/>
      <c r="F38" s="301">
        <f>'数据-取费表'!B36</f>
        <v>1.4999999999999999E-2</v>
      </c>
      <c r="G38" s="261" t="s">
        <v>2388</v>
      </c>
    </row>
    <row r="39" spans="1:7" s="256" customFormat="1" ht="13.5" customHeight="1">
      <c r="A39" s="297" t="s">
        <v>2394</v>
      </c>
      <c r="B39" s="252" t="s">
        <v>2395</v>
      </c>
      <c r="C39" s="274">
        <f ca="1">ROUND(C33*F20,0)</f>
        <v>1424509</v>
      </c>
      <c r="D39" s="274"/>
      <c r="E39" s="274"/>
      <c r="F39" s="275"/>
      <c r="G39" s="276" t="s">
        <v>2396</v>
      </c>
    </row>
    <row r="40" spans="1:7" s="256" customFormat="1" ht="13.5" customHeight="1">
      <c r="A40" s="297" t="s">
        <v>2397</v>
      </c>
      <c r="B40" s="252" t="s">
        <v>2398</v>
      </c>
      <c r="C40" s="1714">
        <f>F21</f>
        <v>2.5000000000000001E-2</v>
      </c>
      <c r="D40" s="278" t="s">
        <v>2399</v>
      </c>
      <c r="E40" s="274"/>
      <c r="F40" s="275"/>
      <c r="G40" s="276" t="s">
        <v>2400</v>
      </c>
    </row>
    <row r="41" spans="1:7" s="256" customFormat="1" ht="13.5" customHeight="1">
      <c r="A41" s="297" t="s">
        <v>2401</v>
      </c>
      <c r="B41" s="252" t="s">
        <v>2402</v>
      </c>
      <c r="C41" s="274">
        <f ca="1">ROUND(SUM(C42:C43),0)</f>
        <v>4578610</v>
      </c>
      <c r="D41" s="277">
        <f ca="1">C44</f>
        <v>1.1999999999999999E-3</v>
      </c>
      <c r="E41" s="278" t="s">
        <v>2399</v>
      </c>
      <c r="F41" s="279"/>
      <c r="G41" s="276" t="str">
        <f>IF('数据-取费表'!B22&lt;=1,"单利计息","复利计息")</f>
        <v>复利计息</v>
      </c>
    </row>
    <row r="42" spans="1:7" ht="13.5" customHeight="1">
      <c r="A42" s="944" t="s">
        <v>791</v>
      </c>
      <c r="B42" s="257" t="s">
        <v>2403</v>
      </c>
      <c r="C42" s="280">
        <f ca="1">ROUND(IF('数据-取费表'!B22&lt;=1,C33*F22*'数据-取费表'!B20/2,C33*(POWER((1+F22),'数据-取费表'!B20/2)-1)),0)</f>
        <v>4510946</v>
      </c>
      <c r="D42" s="280"/>
      <c r="E42" s="280"/>
      <c r="F42" s="281"/>
      <c r="G42" s="3149" t="s">
        <v>2451</v>
      </c>
    </row>
    <row r="43" spans="1:7" ht="13.5" customHeight="1">
      <c r="A43" s="944" t="s">
        <v>792</v>
      </c>
      <c r="B43" s="257" t="s">
        <v>2405</v>
      </c>
      <c r="C43" s="280">
        <f ca="1">ROUND(IF('数据-取费表'!B22&lt;=1,C39*F22*'数据-取费表'!B20/2,C39*(POWER((1+F22),'数据-取费表'!B20/2)-1)),0)</f>
        <v>67664</v>
      </c>
      <c r="D43" s="280"/>
      <c r="E43" s="280"/>
      <c r="F43" s="281"/>
      <c r="G43" s="3150"/>
    </row>
    <row r="44" spans="1:7" ht="13.5" customHeight="1">
      <c r="A44" s="944" t="s">
        <v>793</v>
      </c>
      <c r="B44" s="257" t="s">
        <v>2406</v>
      </c>
      <c r="C44" s="280">
        <f ca="1">ROUND(IF('数据-取费表'!B22&lt;=1,C40*F22*'数据-取费表'!B20/2,C40*(POWER((1+F22),'数据-取费表'!B20/2)-1)),4)</f>
        <v>1.1999999999999999E-3</v>
      </c>
      <c r="D44" s="280"/>
      <c r="E44" s="280"/>
      <c r="F44" s="281"/>
      <c r="G44" s="3151"/>
    </row>
    <row r="45" spans="1:7" s="256" customFormat="1" ht="13.5" customHeight="1">
      <c r="A45" s="297" t="s">
        <v>2407</v>
      </c>
      <c r="B45" s="286" t="s">
        <v>2373</v>
      </c>
      <c r="C45" s="287">
        <f ca="1">C46</f>
        <v>20242278</v>
      </c>
      <c r="D45" s="277">
        <f ca="1">C47</f>
        <v>5.3E-3</v>
      </c>
      <c r="E45" s="278" t="s">
        <v>2399</v>
      </c>
      <c r="F45" s="288"/>
      <c r="G45" s="289" t="s">
        <v>2408</v>
      </c>
    </row>
    <row r="46" spans="1:7" s="256" customFormat="1" ht="13.5" customHeight="1">
      <c r="A46" s="944" t="s">
        <v>791</v>
      </c>
      <c r="B46" s="290" t="s">
        <v>2409</v>
      </c>
      <c r="C46" s="291">
        <f ca="1">ROUND((C33+C39)*F27,0)</f>
        <v>20242278</v>
      </c>
      <c r="D46" s="305"/>
      <c r="E46" s="278"/>
      <c r="F46" s="288"/>
      <c r="G46" s="289"/>
    </row>
    <row r="47" spans="1:7" s="256" customFormat="1" ht="13.5" customHeight="1">
      <c r="A47" s="944" t="s">
        <v>792</v>
      </c>
      <c r="B47" s="290" t="s">
        <v>2410</v>
      </c>
      <c r="C47" s="280">
        <f ca="1">ROUND(C40*F27,4)</f>
        <v>5.3E-3</v>
      </c>
      <c r="D47" s="305"/>
      <c r="E47" s="278"/>
      <c r="F47" s="288"/>
      <c r="G47" s="289"/>
    </row>
    <row r="48" spans="1:7" s="256" customFormat="1" ht="13.5" customHeight="1">
      <c r="A48" s="297" t="s">
        <v>2372</v>
      </c>
      <c r="B48" s="252" t="s">
        <v>2411</v>
      </c>
      <c r="C48" s="304">
        <f>ROUND(F30/(1+'数据-取费表'!C42),4)</f>
        <v>5.3800000000000001E-2</v>
      </c>
      <c r="D48" s="278" t="s">
        <v>2399</v>
      </c>
      <c r="E48" s="274"/>
      <c r="F48" s="279"/>
      <c r="G48" s="276" t="s">
        <v>2412</v>
      </c>
    </row>
    <row r="49" spans="1:7" ht="16.5" customHeight="1">
      <c r="A49" s="297" t="s">
        <v>2378</v>
      </c>
      <c r="B49" s="252" t="s">
        <v>2452</v>
      </c>
      <c r="C49" s="274">
        <f ca="1">ROUND((C33+C39+C41+C45)/(1-C40-D41-D45-C48),0)</f>
        <v>132516332</v>
      </c>
      <c r="D49" s="274"/>
      <c r="E49" s="274"/>
      <c r="F49" s="306"/>
      <c r="G49" s="276" t="s">
        <v>2414</v>
      </c>
    </row>
    <row r="50" spans="1:7" s="300" customFormat="1">
      <c r="A50" s="297" t="s">
        <v>2415</v>
      </c>
      <c r="B50" s="252" t="s">
        <v>2416</v>
      </c>
      <c r="C50" s="274"/>
      <c r="D50" s="274"/>
      <c r="E50" s="274"/>
      <c r="F50" s="306">
        <f>IF('数据-取费表'!B24=0,'数据-取费表'!N16,1)</f>
        <v>0.93</v>
      </c>
      <c r="G50" s="289"/>
    </row>
    <row r="51" spans="1:7" ht="16.5" customHeight="1">
      <c r="A51" s="297" t="s">
        <v>2418</v>
      </c>
      <c r="B51" s="252" t="s">
        <v>2453</v>
      </c>
      <c r="C51" s="274">
        <f ca="1">ROUND(C49*F50,0)</f>
        <v>123240189</v>
      </c>
      <c r="D51" s="274"/>
      <c r="E51" s="274"/>
      <c r="F51" s="306"/>
      <c r="G51" s="276" t="s">
        <v>2420</v>
      </c>
    </row>
    <row r="52" spans="1:7" s="250" customFormat="1" ht="16.5" thickBot="1">
      <c r="A52" s="307" t="s">
        <v>2421</v>
      </c>
      <c r="B52" s="308"/>
      <c r="C52" s="309">
        <f ca="1">C31+C51</f>
        <v>140718095</v>
      </c>
      <c r="D52" s="308"/>
      <c r="E52" s="308"/>
      <c r="F52" s="308"/>
      <c r="G52" s="310"/>
    </row>
    <row r="55" spans="1:7" ht="15">
      <c r="B55" s="312" t="s">
        <v>2422</v>
      </c>
      <c r="C55" s="313"/>
    </row>
    <row r="56" spans="1:7">
      <c r="B56" s="315" t="s">
        <v>1515</v>
      </c>
      <c r="C56" s="317">
        <f ca="1">1-C57</f>
        <v>0.124</v>
      </c>
    </row>
    <row r="57" spans="1:7">
      <c r="B57" s="315" t="s">
        <v>1516</v>
      </c>
      <c r="C57" s="316">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5" customWidth="1"/>
    <col min="3" max="3" width="10.375" style="988" customWidth="1"/>
    <col min="4" max="4" width="9.875" style="945" customWidth="1"/>
    <col min="5" max="5" width="9.5" style="795"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8" t="s">
        <v>2454</v>
      </c>
      <c r="B1" s="1567"/>
      <c r="C1" s="1568"/>
      <c r="D1" s="1566"/>
      <c r="E1" s="318"/>
      <c r="F1" s="318"/>
      <c r="G1" s="1567"/>
      <c r="H1" s="318"/>
      <c r="I1" s="318"/>
      <c r="J1" s="318"/>
      <c r="K1" s="318">
        <f>MATCH(C1,'数据-取费表'!A6:A16,0)+5</f>
        <v>9</v>
      </c>
    </row>
    <row r="2" spans="1:33" ht="18" customHeight="1">
      <c r="A2" s="243" t="s">
        <v>2322</v>
      </c>
      <c r="B2" s="246">
        <f ca="1">C32</f>
        <v>-752</v>
      </c>
      <c r="C2" s="318" t="s">
        <v>2455</v>
      </c>
      <c r="D2" s="318"/>
      <c r="E2" s="318"/>
      <c r="F2" s="318"/>
      <c r="G2" s="318"/>
      <c r="H2" s="318"/>
      <c r="I2" s="318"/>
      <c r="J2" s="318"/>
      <c r="K2" s="318"/>
    </row>
    <row r="3" spans="1:33" ht="18" customHeight="1" thickBot="1">
      <c r="A3" s="245" t="s">
        <v>2324</v>
      </c>
      <c r="B3" s="246">
        <f ca="1">ROUND(B2*10000/IF(C1="",'数据-汇总表'!E3,INDIRECT("'数据-取费表'!K"&amp;$K$1)),0)</f>
        <v>-262</v>
      </c>
      <c r="C3" s="318" t="s">
        <v>2456</v>
      </c>
      <c r="D3" s="318"/>
      <c r="E3" s="318"/>
      <c r="F3" s="318"/>
      <c r="G3" s="318"/>
      <c r="H3" s="318"/>
      <c r="I3" s="318"/>
      <c r="J3" s="318"/>
      <c r="K3" s="318"/>
    </row>
    <row r="4" spans="1:33" s="949" customFormat="1" ht="16.5" customHeight="1">
      <c r="A4" s="946" t="s">
        <v>2457</v>
      </c>
      <c r="B4" s="947"/>
      <c r="C4" s="989">
        <f>SUM(C8:K8)</f>
        <v>0</v>
      </c>
      <c r="D4" s="947"/>
      <c r="E4" s="947"/>
      <c r="F4" s="947"/>
      <c r="G4" s="947"/>
      <c r="H4" s="947"/>
      <c r="I4" s="947"/>
      <c r="J4" s="947"/>
      <c r="K4" s="948"/>
    </row>
    <row r="5" spans="1:33" s="953" customFormat="1" ht="24.75">
      <c r="A5" s="950" t="s">
        <v>2458</v>
      </c>
      <c r="B5" s="951" t="s">
        <v>2459</v>
      </c>
      <c r="C5" s="2537" t="s">
        <v>2460</v>
      </c>
      <c r="D5" s="2537" t="s">
        <v>2461</v>
      </c>
      <c r="E5" s="2537" t="s">
        <v>2462</v>
      </c>
      <c r="F5" s="2537"/>
      <c r="G5" s="2537"/>
      <c r="H5" s="2537"/>
      <c r="I5" s="2537"/>
      <c r="J5" s="2537"/>
      <c r="K5" s="2537"/>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2463</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2464</v>
      </c>
      <c r="B7" s="138" t="s">
        <v>2465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38" t="s">
        <v>2466</v>
      </c>
      <c r="B8" s="175" t="s">
        <v>2467</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2468</v>
      </c>
      <c r="B9" s="947"/>
      <c r="C9" s="947"/>
      <c r="D9" s="947"/>
      <c r="E9" s="947"/>
      <c r="F9" s="947"/>
      <c r="G9" s="947"/>
      <c r="H9" s="947"/>
      <c r="I9" s="947"/>
      <c r="J9" s="947"/>
      <c r="K9" s="948"/>
    </row>
    <row r="10" spans="1:33" s="963" customFormat="1" ht="13.5" customHeight="1">
      <c r="A10" s="950" t="s">
        <v>2469</v>
      </c>
      <c r="B10" s="8" t="s">
        <v>2470</v>
      </c>
      <c r="C10" s="959" t="s">
        <v>2471</v>
      </c>
      <c r="D10" s="960" t="s">
        <v>2472</v>
      </c>
      <c r="E10" s="960" t="s">
        <v>2473</v>
      </c>
      <c r="F10" s="960" t="s">
        <v>2474</v>
      </c>
      <c r="G10" s="8"/>
      <c r="H10" s="961"/>
      <c r="I10" s="961"/>
      <c r="J10" s="961"/>
      <c r="K10" s="962"/>
    </row>
    <row r="11" spans="1:33" s="968" customFormat="1" ht="13.5" customHeight="1">
      <c r="A11" s="964" t="s">
        <v>1335</v>
      </c>
      <c r="B11" s="965" t="s">
        <v>2475</v>
      </c>
      <c r="C11" s="321">
        <f ca="1">IF(C1="",'数据-取费表'!P16,INDIRECT("'数据-取费表'!p"&amp;$K$1)+INDIRECT("'数据-取费表'!ar"&amp;$K$1))</f>
        <v>0</v>
      </c>
      <c r="D11" s="966"/>
      <c r="E11" s="373"/>
      <c r="F11" s="967">
        <f ca="1">1-IF('数据-取费表'!B24=0,1,IF(C1="",'数据-取费表'!N16,INDIRECT("'数据-取费表'!n"&amp;$K$1)))</f>
        <v>0</v>
      </c>
      <c r="G11" s="8"/>
      <c r="H11" s="961"/>
      <c r="I11" s="961"/>
      <c r="J11" s="961"/>
      <c r="K11" s="962"/>
    </row>
    <row r="12" spans="1:33" s="968" customFormat="1" ht="13.5" customHeight="1">
      <c r="A12" s="964" t="s">
        <v>1336</v>
      </c>
      <c r="B12" s="965" t="s">
        <v>2476</v>
      </c>
      <c r="C12" s="24">
        <f ca="1">ROUND(C11*F12,0)</f>
        <v>0</v>
      </c>
      <c r="D12" s="966"/>
      <c r="E12" s="373"/>
      <c r="F12" s="969">
        <f>'数据-取费表'!B33</f>
        <v>0.03</v>
      </c>
      <c r="G12" s="8" t="s">
        <v>2477</v>
      </c>
      <c r="H12" s="961"/>
      <c r="I12" s="961"/>
      <c r="J12" s="961"/>
      <c r="K12" s="962"/>
    </row>
    <row r="13" spans="1:33" s="968" customFormat="1" ht="13.5" customHeight="1">
      <c r="A13" s="964" t="s">
        <v>1337</v>
      </c>
      <c r="B13" s="965" t="s">
        <v>2478</v>
      </c>
      <c r="C13" s="24">
        <f ca="1">ROUND(IF(C1="",SUMIF('数据-取费表'!C:C,"住宅",'数据-取费表'!P:P)*F13,IF(INDIRECT("'数据-取费表'!c"&amp;$K$1)="住宅",INDIRECT("'数据-取费表'!P"&amp;$K$1)*F13,0)),0)</f>
        <v>0</v>
      </c>
      <c r="D13" s="1026"/>
      <c r="E13" s="373"/>
      <c r="F13" s="969">
        <f>'数据-取费表'!B34</f>
        <v>0</v>
      </c>
      <c r="G13" s="8" t="s">
        <v>2479</v>
      </c>
      <c r="H13" s="961"/>
      <c r="I13" s="961"/>
      <c r="J13" s="961"/>
      <c r="K13" s="962"/>
    </row>
    <row r="14" spans="1:33" s="970" customFormat="1" ht="13.5" customHeight="1">
      <c r="A14" s="964" t="s">
        <v>1338</v>
      </c>
      <c r="B14" s="965" t="s">
        <v>2480</v>
      </c>
      <c r="C14" s="24">
        <f ca="1">ROUND(D14*E14*F11/10000,0)</f>
        <v>0</v>
      </c>
      <c r="D14" s="1026">
        <f ca="1">IF(C1="",'数据-汇总表'!E3,INDIRECT("'数据-取费表'!K"&amp;$K$1)+INDIRECT("'数据-取费表'!S"&amp;$K$1))</f>
        <v>28703.600000000002</v>
      </c>
      <c r="E14" s="24">
        <f>'数据-取费表'!B35</f>
        <v>200</v>
      </c>
      <c r="F14" s="969"/>
      <c r="G14" s="8" t="s">
        <v>2481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1339</v>
      </c>
      <c r="B15" s="965" t="s">
        <v>2482</v>
      </c>
      <c r="C15" s="976">
        <f ca="1">ROUND(C11*F15,0)</f>
        <v>0</v>
      </c>
      <c r="D15" s="971"/>
      <c r="E15" s="976"/>
      <c r="F15" s="977">
        <f>'数据-取费表'!B36</f>
        <v>1.4999999999999999E-2</v>
      </c>
      <c r="G15" s="138" t="s">
        <v>2483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2484</v>
      </c>
      <c r="C16" s="976">
        <f ca="1">SUM(C11:C15)</f>
        <v>0</v>
      </c>
      <c r="D16" s="971"/>
      <c r="E16" s="976"/>
      <c r="F16" s="977"/>
      <c r="G16" s="138"/>
      <c r="H16" s="1564"/>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2485</v>
      </c>
      <c r="C17" s="24">
        <f ca="1">ROUND(D17*E17/10000,0)</f>
        <v>0</v>
      </c>
      <c r="D17" s="1026">
        <f ca="1">D14</f>
        <v>28703.600000000002</v>
      </c>
      <c r="E17" s="24">
        <f>'数据-取费表'!B32</f>
        <v>0</v>
      </c>
      <c r="F17" s="971"/>
      <c r="G17" s="138" t="s">
        <v>2486</v>
      </c>
      <c r="H17" s="1564"/>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1340</v>
      </c>
      <c r="B18" s="965" t="s">
        <v>2487</v>
      </c>
      <c r="C18" s="24">
        <f ca="1">C19+C20-IF(C1="",'数据-取费表'!B29,IF(G18="已全部缴纳",C19+C20,H18))</f>
        <v>631</v>
      </c>
      <c r="D18" s="1026"/>
      <c r="E18" s="24"/>
      <c r="F18" s="969"/>
      <c r="G18" s="2539"/>
      <c r="H18" s="1563"/>
      <c r="I18" s="2540" t="s">
        <v>2488</v>
      </c>
      <c r="J18" s="972"/>
      <c r="K18" s="973"/>
    </row>
    <row r="19" spans="1:33" s="968" customFormat="1" ht="13.5" customHeight="1">
      <c r="A19" s="964" t="s">
        <v>805</v>
      </c>
      <c r="B19" s="965" t="s">
        <v>2489</v>
      </c>
      <c r="C19" s="24">
        <f ca="1">ROUND(D19*E19/10000,0)</f>
        <v>0</v>
      </c>
      <c r="D19" s="1026">
        <f ca="1">IF(C1="",'数据-汇总表'!E5,IF(INDIRECT("'数据-取费表'!c"&amp;$K$1)="住宅",INDIRECT("'数据-取费表'!k"&amp;$K$1),0))</f>
        <v>0</v>
      </c>
      <c r="E19" s="24">
        <f>'数据-取费表'!B27</f>
        <v>165</v>
      </c>
      <c r="F19" s="969"/>
      <c r="G19" s="15"/>
      <c r="H19" s="1565"/>
      <c r="I19" s="974"/>
      <c r="J19" s="974"/>
      <c r="K19" s="975"/>
    </row>
    <row r="20" spans="1:33" s="968" customFormat="1" ht="13.5" customHeight="1">
      <c r="A20" s="964" t="s">
        <v>806</v>
      </c>
      <c r="B20" s="965" t="s">
        <v>2490</v>
      </c>
      <c r="C20" s="24">
        <f ca="1">ROUND(D20*E20/10000,0)</f>
        <v>631</v>
      </c>
      <c r="D20" s="1026">
        <f ca="1">IF(C1="",'数据-汇总表'!E6,IF(INDIRECT("'数据-取费表'!c"&amp;$K$1)="住宅",INDIRECT("'数据-取费表'!s"&amp;$K$1),INDIRECT("'数据-取费表'!k"&amp;$K$1)+INDIRECT("'数据-取费表'!s"&amp;$K$1)))</f>
        <v>28703.600000000002</v>
      </c>
      <c r="E20" s="24">
        <f>'数据-取费表'!B28</f>
        <v>220</v>
      </c>
      <c r="F20" s="969"/>
      <c r="G20" s="15"/>
      <c r="H20" s="974"/>
      <c r="I20" s="974"/>
      <c r="J20" s="974"/>
      <c r="K20" s="975"/>
    </row>
    <row r="21" spans="1:33" s="968" customFormat="1" ht="13.5" customHeight="1">
      <c r="A21" s="954" t="s">
        <v>802</v>
      </c>
      <c r="B21" s="978" t="s">
        <v>2491</v>
      </c>
      <c r="C21" s="979">
        <f ca="1">C16+C17+C18</f>
        <v>631</v>
      </c>
      <c r="D21" s="980"/>
      <c r="E21" s="323"/>
      <c r="F21" s="323"/>
      <c r="G21" s="138" t="s">
        <v>2492</v>
      </c>
      <c r="H21" s="972"/>
      <c r="I21" s="972"/>
      <c r="J21" s="972"/>
      <c r="K21" s="973"/>
    </row>
    <row r="22" spans="1:33" s="968" customFormat="1" ht="13.5" customHeight="1">
      <c r="A22" s="954" t="s">
        <v>2464</v>
      </c>
      <c r="B22" s="978" t="s">
        <v>2493</v>
      </c>
      <c r="C22" s="979">
        <f ca="1">ROUND(C21*F22,0)</f>
        <v>9</v>
      </c>
      <c r="D22" s="323"/>
      <c r="E22" s="323"/>
      <c r="F22" s="981">
        <f>'数据-取费表'!B37</f>
        <v>1.4999999999999999E-2</v>
      </c>
      <c r="G22" s="8" t="s">
        <v>2494</v>
      </c>
      <c r="H22" s="961"/>
      <c r="I22" s="961"/>
      <c r="J22" s="961"/>
      <c r="K22" s="962"/>
    </row>
    <row r="23" spans="1:33" s="968" customFormat="1" ht="13.5" customHeight="1">
      <c r="A23" s="954" t="s">
        <v>2466</v>
      </c>
      <c r="B23" s="978" t="s">
        <v>2495</v>
      </c>
      <c r="C23" s="979">
        <f ca="1">ROUND(C4*F23*F11,0)</f>
        <v>0</v>
      </c>
      <c r="D23" s="323"/>
      <c r="E23" s="323"/>
      <c r="F23" s="981">
        <f>'数据-取费表'!B38</f>
        <v>2.5000000000000001E-2</v>
      </c>
      <c r="G23" s="8" t="s">
        <v>2496</v>
      </c>
      <c r="H23" s="961"/>
      <c r="I23" s="961"/>
      <c r="J23" s="961"/>
      <c r="K23" s="962"/>
    </row>
    <row r="24" spans="1:33" s="968" customFormat="1" ht="13.5" customHeight="1">
      <c r="A24" s="954" t="s">
        <v>2497</v>
      </c>
      <c r="B24" s="978" t="s">
        <v>2498</v>
      </c>
      <c r="C24" s="322">
        <f>ROUND(F24/(1+'数据-取费表'!C42),4)</f>
        <v>2.9000000000000001E-2</v>
      </c>
      <c r="D24" s="323" t="s">
        <v>15</v>
      </c>
      <c r="E24" s="323"/>
      <c r="F24" s="981">
        <f>'数据-取费表'!B48+'数据-取费表'!B49</f>
        <v>3.0499999999999999E-2</v>
      </c>
      <c r="G24" s="8" t="s">
        <v>2499</v>
      </c>
      <c r="H24" s="983"/>
      <c r="I24" s="983"/>
      <c r="J24" s="983"/>
      <c r="K24" s="984"/>
    </row>
    <row r="25" spans="1:33" s="968" customFormat="1" ht="13.5" customHeight="1">
      <c r="A25" s="954" t="s">
        <v>2500</v>
      </c>
      <c r="B25" s="980" t="s">
        <v>2501</v>
      </c>
      <c r="C25" s="1341">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2502</v>
      </c>
      <c r="C26" s="1342">
        <f ca="1">ROUND(IF('数据-取费表'!B22&lt;=1,(1+C24)*F25*'数据-取费表'!B24,(1+C24)*(POWER((1+F25),'数据-取费表'!B24)-1)),4)</f>
        <v>0</v>
      </c>
      <c r="D26" s="326"/>
      <c r="E26" s="327"/>
      <c r="F26" s="328"/>
      <c r="G26" s="2541"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2503</v>
      </c>
      <c r="C27" s="1343">
        <f ca="1">ROUND(IF('数据-取费表'!B22&lt;=1,(C21+C22+C23)*F25*'数据-取费表'!B24/2,(C21+C22+C23)*(POWER((1+F25),'数据-取费表'!B24/2)-1)),0)</f>
        <v>0</v>
      </c>
      <c r="D27" s="326"/>
      <c r="E27" s="327"/>
      <c r="F27" s="328"/>
      <c r="G27" s="2541" t="str">
        <f>IF('数据-取费表'!B22&lt;=1,"（1）-（3）项×年利率×建设期÷2","（1）-（3）项×((1+年利率)^(建设期÷2)-1)")</f>
        <v>（1）-（3）项×((1+年利率)^(建设期÷2)-1)</v>
      </c>
      <c r="H27" s="972"/>
      <c r="I27" s="972"/>
      <c r="J27" s="972"/>
      <c r="K27" s="973"/>
    </row>
    <row r="28" spans="1:33" s="331" customFormat="1" ht="13.5" customHeight="1">
      <c r="A28" s="954" t="s">
        <v>2504</v>
      </c>
      <c r="B28" s="2542" t="s">
        <v>2505</v>
      </c>
      <c r="C28" s="329">
        <f ca="1">C30</f>
        <v>134</v>
      </c>
      <c r="D28" s="322">
        <f ca="1">C29</f>
        <v>0</v>
      </c>
      <c r="E28" s="324" t="s">
        <v>15</v>
      </c>
      <c r="F28" s="330">
        <f ca="1">IF(C1="",'数据-取费表'!Q16,INDIRECT("'数据-取费表'!q"&amp;$K$1))</f>
        <v>0.21</v>
      </c>
      <c r="G28" s="982"/>
      <c r="H28" s="983"/>
      <c r="I28" s="983"/>
      <c r="J28" s="983"/>
      <c r="K28" s="984"/>
    </row>
    <row r="29" spans="1:33" s="333" customFormat="1" ht="13.5" customHeight="1">
      <c r="A29" s="964" t="s">
        <v>803</v>
      </c>
      <c r="B29" s="987" t="s">
        <v>2506</v>
      </c>
      <c r="C29" s="326">
        <f ca="1">ROUND((1+C24)*F28*'数据-取费表'!B24/'数据-取费表'!B20,4)</f>
        <v>0</v>
      </c>
      <c r="D29" s="326"/>
      <c r="E29" s="327"/>
      <c r="F29" s="332"/>
      <c r="G29" s="138" t="s">
        <v>2507</v>
      </c>
      <c r="H29" s="972"/>
      <c r="I29" s="972"/>
      <c r="J29" s="972"/>
      <c r="K29" s="973"/>
    </row>
    <row r="30" spans="1:33" s="333" customFormat="1" ht="13.5" customHeight="1">
      <c r="A30" s="964" t="s">
        <v>804</v>
      </c>
      <c r="B30" s="987" t="s">
        <v>2508</v>
      </c>
      <c r="C30" s="334">
        <f ca="1">ROUND((C21+C22+C23)*F28,0)</f>
        <v>134</v>
      </c>
      <c r="D30" s="326"/>
      <c r="E30" s="327"/>
      <c r="F30" s="332"/>
      <c r="G30" s="138"/>
      <c r="H30" s="972"/>
      <c r="I30" s="972"/>
      <c r="J30" s="972"/>
      <c r="K30" s="973"/>
    </row>
    <row r="31" spans="1:33" s="968" customFormat="1" ht="13.5" customHeight="1" thickBot="1">
      <c r="A31" s="2543" t="s">
        <v>2509</v>
      </c>
      <c r="B31" s="998" t="s">
        <v>2510</v>
      </c>
      <c r="C31" s="999">
        <f>ROUND(C4*F31/(1+'数据-取费表'!C42),0)</f>
        <v>0</v>
      </c>
      <c r="D31" s="1000"/>
      <c r="E31" s="1001"/>
      <c r="F31" s="1002">
        <f>'数据-取费表'!B41</f>
        <v>5.6500000000000002E-2</v>
      </c>
      <c r="G31" s="1003" t="s">
        <v>2511</v>
      </c>
      <c r="H31" s="1004"/>
      <c r="I31" s="1004"/>
      <c r="J31" s="1004"/>
      <c r="K31" s="1005"/>
    </row>
    <row r="32" spans="1:33" s="963" customFormat="1" ht="13.5" customHeight="1" thickBot="1">
      <c r="A32" s="993" t="s">
        <v>2512</v>
      </c>
      <c r="B32" s="994"/>
      <c r="C32" s="995">
        <f ca="1">ROUND((C4-C21-C22-C23-C25-C28-C31)/(1+C24+D25+D28),0)</f>
        <v>-752</v>
      </c>
      <c r="D32" s="994"/>
      <c r="E32" s="994"/>
      <c r="F32" s="994"/>
      <c r="G32" s="996" t="s">
        <v>2513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85" zoomScaleNormal="85" workbookViewId="0">
      <selection activeCell="L23" sqref="L2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565" t="s">
        <v>2524</v>
      </c>
      <c r="C1" s="1620" t="s">
        <v>2525</v>
      </c>
      <c r="D1" s="1607" t="s">
        <v>3201</v>
      </c>
      <c r="E1" s="2566"/>
      <c r="F1" s="2567" t="s">
        <v>2526</v>
      </c>
      <c r="G1" s="1617" t="s">
        <v>2527</v>
      </c>
      <c r="H1" s="1616"/>
      <c r="I1" s="1616"/>
      <c r="J1" s="1616"/>
      <c r="K1" s="1618"/>
      <c r="L1" s="1619"/>
      <c r="M1" s="1620"/>
      <c r="N1" s="1620"/>
      <c r="O1" s="1620"/>
      <c r="P1" s="2568"/>
      <c r="Q1" s="1606"/>
      <c r="R1" s="1606"/>
      <c r="S1" s="1606"/>
      <c r="T1" s="1606"/>
      <c r="U1" s="1606"/>
      <c r="V1" s="1606"/>
      <c r="W1" s="1606"/>
      <c r="X1" s="1606"/>
      <c r="Y1" s="1606"/>
      <c r="Z1" s="1606"/>
      <c r="AA1" s="1606"/>
      <c r="AB1" s="1606"/>
      <c r="AC1" s="1614"/>
    </row>
    <row r="2" spans="1:29" s="391" customFormat="1" ht="28.5" customHeight="1" thickTop="1">
      <c r="A2" s="1603" t="s">
        <v>1395</v>
      </c>
      <c r="B2" s="1403">
        <f>IF(C2="——",ROUND(C49*D3/10000,0),ROUND(C49*D3/10000,0)-D2)</f>
        <v>153</v>
      </c>
      <c r="C2" s="2569" t="s">
        <v>70</v>
      </c>
      <c r="D2" s="1350" t="e">
        <f ca="1">SUMIF(INDIRECT("'"&amp;F2&amp;"'"&amp;"!A:A"),"承租人权益价值",INDIRECT("'"&amp;F2&amp;"'"&amp;"!c:c"))</f>
        <v>#REF!</v>
      </c>
      <c r="E2" s="2570" t="s">
        <v>2528</v>
      </c>
      <c r="F2" s="2571"/>
      <c r="G2" s="1117"/>
      <c r="H2" s="1117"/>
      <c r="I2" s="1117"/>
      <c r="J2" s="1117"/>
      <c r="K2" s="2572"/>
      <c r="L2" s="2573"/>
      <c r="M2" s="2574"/>
      <c r="N2" s="2574"/>
      <c r="O2" s="2574"/>
      <c r="P2" s="2575"/>
      <c r="Q2" s="2576"/>
      <c r="R2" s="2576"/>
      <c r="S2" s="2576"/>
      <c r="T2" s="2576"/>
      <c r="U2" s="2576"/>
      <c r="V2" s="2576"/>
      <c r="W2" s="2576"/>
      <c r="X2" s="2576"/>
      <c r="Y2" s="2576"/>
      <c r="Z2" s="2576"/>
      <c r="AA2" s="2576"/>
      <c r="AB2" s="2576"/>
      <c r="AC2" s="2577"/>
    </row>
    <row r="3" spans="1:29" s="391" customFormat="1" ht="28.5" customHeight="1" thickBot="1">
      <c r="A3" s="245" t="s">
        <v>1396</v>
      </c>
      <c r="B3" s="397">
        <f>IF(C2="——",C49,ROUND(B2*10000/D3,0))</f>
        <v>25724</v>
      </c>
      <c r="C3" s="398" t="s">
        <v>2529</v>
      </c>
      <c r="D3" s="397">
        <f>IF(D1="",'数据-汇总表'!E3,SUMIF('数据-汇总表'!$C19:$C33,D1,'数据-汇总表'!$E19:$E33))</f>
        <v>59.58</v>
      </c>
      <c r="E3" s="1117"/>
      <c r="F3" s="2578"/>
      <c r="G3" s="1117"/>
      <c r="H3" s="1117"/>
      <c r="I3" s="1117"/>
      <c r="J3" s="1117"/>
      <c r="K3" s="2572"/>
      <c r="L3" s="2573"/>
      <c r="M3" s="2574"/>
      <c r="N3" s="2574"/>
      <c r="O3" s="2574"/>
      <c r="P3" s="2575"/>
      <c r="Q3" s="2576"/>
      <c r="R3" s="2576"/>
      <c r="S3" s="2576"/>
      <c r="T3" s="2576"/>
      <c r="U3" s="2576"/>
      <c r="V3" s="2576"/>
      <c r="W3" s="2576"/>
      <c r="X3" s="2576"/>
      <c r="Y3" s="2576"/>
      <c r="Z3" s="2576"/>
      <c r="AA3" s="2576"/>
      <c r="AB3" s="2576"/>
      <c r="AC3" s="1267"/>
    </row>
    <row r="4" spans="1:29" ht="15">
      <c r="A4" s="399" t="s">
        <v>2530</v>
      </c>
      <c r="B4" s="400"/>
      <c r="C4" s="3171" t="s">
        <v>2531</v>
      </c>
      <c r="D4" s="3172"/>
      <c r="E4" s="3173" t="s">
        <v>2532</v>
      </c>
      <c r="F4" s="3174"/>
      <c r="G4" s="3171" t="s">
        <v>2533</v>
      </c>
      <c r="H4" s="3172"/>
      <c r="I4" s="3171" t="s">
        <v>2534</v>
      </c>
      <c r="J4" s="3172"/>
      <c r="K4" s="2579" t="s">
        <v>2535</v>
      </c>
      <c r="L4" s="1123"/>
      <c r="M4" s="1124"/>
      <c r="N4" s="1124"/>
      <c r="O4" s="1124"/>
      <c r="P4" s="3175" t="s">
        <v>2536</v>
      </c>
      <c r="Q4" s="3176"/>
      <c r="R4" s="3157" t="s">
        <v>2532</v>
      </c>
      <c r="S4" s="3158"/>
      <c r="T4" s="3157" t="s">
        <v>2533</v>
      </c>
      <c r="U4" s="3158"/>
      <c r="V4" s="3183" t="s">
        <v>2534</v>
      </c>
      <c r="W4" s="3183"/>
      <c r="X4" s="1799"/>
      <c r="Y4" s="3157" t="s">
        <v>2536</v>
      </c>
      <c r="Z4" s="3158"/>
      <c r="AA4" s="3152" t="s">
        <v>2532</v>
      </c>
      <c r="AB4" s="3152" t="s">
        <v>2533</v>
      </c>
      <c r="AC4" s="3152" t="s">
        <v>2534</v>
      </c>
    </row>
    <row r="5" spans="1:29" ht="33" customHeight="1">
      <c r="A5" s="402"/>
      <c r="B5" s="403"/>
      <c r="C5" s="3163" t="str">
        <f>项目基本情况!F10</f>
        <v>南开区红旗路与楚雄道交口西北侧</v>
      </c>
      <c r="D5" s="3164"/>
      <c r="E5" s="3161" t="s">
        <v>3093</v>
      </c>
      <c r="F5" s="3162"/>
      <c r="G5" s="3167" t="s">
        <v>3094</v>
      </c>
      <c r="H5" s="3164"/>
      <c r="I5" s="3167" t="s">
        <v>3169</v>
      </c>
      <c r="J5" s="3164"/>
      <c r="K5" s="2580"/>
      <c r="L5" s="1123"/>
      <c r="M5" s="1124"/>
      <c r="N5" s="1124"/>
      <c r="O5" s="1124"/>
      <c r="P5" s="3177"/>
      <c r="Q5" s="3178"/>
      <c r="R5" s="3159"/>
      <c r="S5" s="3160"/>
      <c r="T5" s="3159"/>
      <c r="U5" s="3160"/>
      <c r="V5" s="3183"/>
      <c r="W5" s="3183"/>
      <c r="X5" s="1799"/>
      <c r="Y5" s="3159"/>
      <c r="Z5" s="3160"/>
      <c r="AA5" s="3153"/>
      <c r="AB5" s="3153"/>
      <c r="AC5" s="3153"/>
    </row>
    <row r="6" spans="1:29" ht="15.75" thickBot="1">
      <c r="A6" s="404"/>
      <c r="B6" s="405"/>
      <c r="C6" s="3165" t="s">
        <v>3129</v>
      </c>
      <c r="D6" s="3166"/>
      <c r="E6" s="3165" t="s">
        <v>3129</v>
      </c>
      <c r="F6" s="3166"/>
      <c r="G6" s="3168" t="s">
        <v>3130</v>
      </c>
      <c r="H6" s="3169"/>
      <c r="I6" s="3168" t="s">
        <v>3130</v>
      </c>
      <c r="J6" s="3169"/>
      <c r="K6" s="2580" t="s">
        <v>2542</v>
      </c>
      <c r="L6" s="1123"/>
      <c r="M6" s="1124"/>
      <c r="N6" s="1124"/>
      <c r="O6" s="1124"/>
      <c r="P6" s="3179"/>
      <c r="Q6" s="3180"/>
      <c r="R6" s="3159"/>
      <c r="S6" s="3160"/>
      <c r="T6" s="3181"/>
      <c r="U6" s="3182"/>
      <c r="V6" s="3183"/>
      <c r="W6" s="3183"/>
      <c r="X6" s="1799"/>
      <c r="Y6" s="3181"/>
      <c r="Z6" s="3182"/>
      <c r="AA6" s="3154"/>
      <c r="AB6" s="3154"/>
      <c r="AC6" s="3154"/>
    </row>
    <row r="7" spans="1:29" s="115" customFormat="1" ht="15.75" thickBot="1">
      <c r="A7" s="406" t="s">
        <v>2543</v>
      </c>
      <c r="B7" s="407"/>
      <c r="C7" s="408">
        <f>'数据-取费表'!B2</f>
        <v>43061</v>
      </c>
      <c r="D7" s="409">
        <v>100</v>
      </c>
      <c r="E7" s="410">
        <v>43041</v>
      </c>
      <c r="F7" s="411">
        <f>SUMIF(58:58,YEAR(E7)&amp;"-"&amp;MONTH(E7),59:59)</f>
        <v>100</v>
      </c>
      <c r="G7" s="410">
        <v>43059</v>
      </c>
      <c r="H7" s="409">
        <f>SUMIF(58:58,YEAR(G7)&amp;"-"&amp;MONTH(G7),59:59)</f>
        <v>100</v>
      </c>
      <c r="I7" s="410">
        <v>43040</v>
      </c>
      <c r="J7" s="409">
        <f>SUMIF(58:58,YEAR(I7)&amp;"-"&amp;MONTH(I7),59:59)</f>
        <v>100</v>
      </c>
      <c r="K7" s="2581"/>
      <c r="L7" s="1125"/>
      <c r="M7" s="1126"/>
      <c r="N7" s="1126"/>
      <c r="O7" s="1126"/>
      <c r="P7" s="3155" t="s">
        <v>2544</v>
      </c>
      <c r="Q7" s="3184"/>
      <c r="R7" s="767" t="s">
        <v>23</v>
      </c>
      <c r="S7" s="768">
        <f t="shared" ref="S7:S15" si="0">F7</f>
        <v>100</v>
      </c>
      <c r="T7" s="767" t="s">
        <v>23</v>
      </c>
      <c r="U7" s="768">
        <f t="shared" ref="U7:U15" si="1">H7</f>
        <v>100</v>
      </c>
      <c r="V7" s="767" t="s">
        <v>23</v>
      </c>
      <c r="W7" s="768">
        <f t="shared" ref="W7:W15" si="2">J7</f>
        <v>100</v>
      </c>
      <c r="X7" s="769"/>
      <c r="Y7" s="3155" t="s">
        <v>2544</v>
      </c>
      <c r="Z7" s="3156"/>
      <c r="AA7" s="770">
        <f>D7/F7</f>
        <v>1</v>
      </c>
      <c r="AB7" s="770">
        <f>D7/H7</f>
        <v>1</v>
      </c>
      <c r="AC7" s="770">
        <f>D7/J7</f>
        <v>1</v>
      </c>
    </row>
    <row r="8" spans="1:29" s="115" customFormat="1" ht="15.75" thickBot="1">
      <c r="A8" s="406" t="s">
        <v>2545</v>
      </c>
      <c r="B8" s="407"/>
      <c r="C8" s="412" t="s">
        <v>2546</v>
      </c>
      <c r="D8" s="409">
        <v>100</v>
      </c>
      <c r="E8" s="2582" t="s">
        <v>3085</v>
      </c>
      <c r="F8" s="411">
        <f>SUMIF(61:61,E8,62:62)-SUMIF(61:61,C8,62:62)+100</f>
        <v>100</v>
      </c>
      <c r="G8" s="2582" t="s">
        <v>3085</v>
      </c>
      <c r="H8" s="409">
        <f>SUMIF(61:61,G8,62:62)-SUMIF(61:61,C8,62:62)+100</f>
        <v>100</v>
      </c>
      <c r="I8" s="2582" t="s">
        <v>3085</v>
      </c>
      <c r="J8" s="409">
        <f>SUMIF(61:61,I8,62:62)-SUMIF(61:61,C8,62:62)+100</f>
        <v>100</v>
      </c>
      <c r="K8" s="2581"/>
      <c r="L8" s="1125"/>
      <c r="M8" s="1126"/>
      <c r="N8" s="1126"/>
      <c r="O8" s="1126"/>
      <c r="P8" s="3155" t="s">
        <v>2547</v>
      </c>
      <c r="Q8" s="3156"/>
      <c r="R8" s="767" t="s">
        <v>23</v>
      </c>
      <c r="S8" s="768">
        <f t="shared" si="0"/>
        <v>100</v>
      </c>
      <c r="T8" s="767" t="s">
        <v>23</v>
      </c>
      <c r="U8" s="768">
        <f t="shared" si="1"/>
        <v>100</v>
      </c>
      <c r="V8" s="767" t="s">
        <v>23</v>
      </c>
      <c r="W8" s="768">
        <f t="shared" si="2"/>
        <v>100</v>
      </c>
      <c r="X8" s="769"/>
      <c r="Y8" s="3155" t="s">
        <v>2547</v>
      </c>
      <c r="Z8" s="3156"/>
      <c r="AA8" s="770">
        <f t="shared" ref="AA8:AA19" si="3">D8/F8</f>
        <v>1</v>
      </c>
      <c r="AB8" s="770">
        <f t="shared" ref="AB8:AB19" si="4">D8/H8</f>
        <v>1</v>
      </c>
      <c r="AC8" s="770">
        <f t="shared" ref="AC8:AC19" si="5">D8/J8</f>
        <v>1</v>
      </c>
    </row>
    <row r="9" spans="1:29" s="115" customFormat="1">
      <c r="A9" s="413" t="s">
        <v>2548</v>
      </c>
      <c r="B9" s="71" t="s">
        <v>2549</v>
      </c>
      <c r="C9" s="2930" t="s">
        <v>3068</v>
      </c>
      <c r="D9" s="133">
        <v>100</v>
      </c>
      <c r="E9" s="415" t="s">
        <v>3057</v>
      </c>
      <c r="F9" s="416">
        <f>SUMIF(63:63,E9,64:64)-SUMIF(63:63,C9,64:64)+100</f>
        <v>100</v>
      </c>
      <c r="G9" s="415" t="s">
        <v>3057</v>
      </c>
      <c r="H9" s="133">
        <f>SUMIF(63:63,G9,64:64)-SUMIF(63:63,C9,64:64)+100</f>
        <v>100</v>
      </c>
      <c r="I9" s="415" t="s">
        <v>3057</v>
      </c>
      <c r="J9" s="133">
        <f>SUMIF(63:63,I9,64:64)-SUMIF(63:63,C9,64:64)+100</f>
        <v>100</v>
      </c>
      <c r="K9" s="2581"/>
      <c r="L9" s="1125"/>
      <c r="M9" s="1126"/>
      <c r="N9" s="1126"/>
      <c r="O9" s="1126"/>
      <c r="P9" s="3170" t="s">
        <v>2550</v>
      </c>
      <c r="Q9" s="1781" t="str">
        <f t="shared" ref="Q9:Q15" si="6">B9</f>
        <v>用途</v>
      </c>
      <c r="R9" s="767" t="s">
        <v>17</v>
      </c>
      <c r="S9" s="768">
        <f t="shared" si="0"/>
        <v>100</v>
      </c>
      <c r="T9" s="767" t="s">
        <v>17</v>
      </c>
      <c r="U9" s="768">
        <f t="shared" si="1"/>
        <v>100</v>
      </c>
      <c r="V9" s="767" t="s">
        <v>17</v>
      </c>
      <c r="W9" s="768">
        <f t="shared" si="2"/>
        <v>100</v>
      </c>
      <c r="X9" s="769"/>
      <c r="Y9" s="3029" t="s">
        <v>2551</v>
      </c>
      <c r="Z9" s="55" t="str">
        <f t="shared" ref="Z9:Z15" si="7">Q9</f>
        <v>用途</v>
      </c>
      <c r="AA9" s="770">
        <f t="shared" si="3"/>
        <v>1</v>
      </c>
      <c r="AB9" s="770">
        <f t="shared" si="4"/>
        <v>1</v>
      </c>
      <c r="AC9" s="770">
        <f t="shared" si="5"/>
        <v>1</v>
      </c>
    </row>
    <row r="10" spans="1:29" s="425" customFormat="1" ht="27">
      <c r="A10" s="419"/>
      <c r="B10" s="420" t="s">
        <v>2552</v>
      </c>
      <c r="C10" s="421" t="s">
        <v>3128</v>
      </c>
      <c r="D10" s="134">
        <v>100</v>
      </c>
      <c r="E10" s="422" t="s">
        <v>3069</v>
      </c>
      <c r="F10" s="423">
        <f>SUMIF(65:65,E10,66:66)-SUMIF(65:65,C10,66:66)+100</f>
        <v>97</v>
      </c>
      <c r="G10" s="422" t="s">
        <v>3069</v>
      </c>
      <c r="H10" s="134">
        <f>SUMIF(65:65,G10,66:66)-SUMIF(65:65,C10,66:66)+100</f>
        <v>97</v>
      </c>
      <c r="I10" s="422" t="s">
        <v>3069</v>
      </c>
      <c r="J10" s="134">
        <f>SUMIF(65:65,I10,66:66)-SUMIF(65:65,C10,66:66)+100</f>
        <v>97</v>
      </c>
      <c r="K10" s="424">
        <v>3</v>
      </c>
      <c r="L10" s="1128"/>
      <c r="M10" s="1129"/>
      <c r="N10" s="1129"/>
      <c r="O10" s="1129"/>
      <c r="P10" s="3170"/>
      <c r="Q10" s="1781" t="str">
        <f t="shared" si="6"/>
        <v>土地使用年限（年）</v>
      </c>
      <c r="R10" s="767" t="s">
        <v>17</v>
      </c>
      <c r="S10" s="768">
        <f t="shared" si="0"/>
        <v>97</v>
      </c>
      <c r="T10" s="767" t="s">
        <v>17</v>
      </c>
      <c r="U10" s="768">
        <f t="shared" si="1"/>
        <v>97</v>
      </c>
      <c r="V10" s="767" t="s">
        <v>17</v>
      </c>
      <c r="W10" s="768">
        <f t="shared" si="2"/>
        <v>97</v>
      </c>
      <c r="X10" s="769"/>
      <c r="Y10" s="3029"/>
      <c r="Z10" s="55" t="str">
        <f t="shared" si="7"/>
        <v>土地使用年限（年）</v>
      </c>
      <c r="AA10" s="770">
        <f t="shared" si="3"/>
        <v>1.0309278350515463</v>
      </c>
      <c r="AB10" s="770">
        <f t="shared" si="4"/>
        <v>1.0309278350515463</v>
      </c>
      <c r="AC10" s="770">
        <f t="shared" si="5"/>
        <v>1.0309278350515463</v>
      </c>
    </row>
    <row r="11" spans="1:29" ht="15.75" thickBot="1">
      <c r="A11" s="426"/>
      <c r="B11" s="2959" t="s">
        <v>2553</v>
      </c>
      <c r="C11" s="427">
        <f>'数据-汇总表'!I4</f>
        <v>12.07</v>
      </c>
      <c r="D11" s="134">
        <v>100</v>
      </c>
      <c r="E11" s="428">
        <v>2.76</v>
      </c>
      <c r="F11" s="423">
        <f>LOOKUP(E11,68:68,69:69)-LOOKUP(C11,68:68,69:69)+100</f>
        <v>110</v>
      </c>
      <c r="G11" s="428">
        <v>2</v>
      </c>
      <c r="H11" s="134">
        <f>LOOKUP(G11,68:68,69:69)-LOOKUP(C11,68:68,69:69)+100</f>
        <v>110</v>
      </c>
      <c r="I11" s="428">
        <v>3.14</v>
      </c>
      <c r="J11" s="134">
        <f>LOOKUP(I11,68:68,69:69)-LOOKUP(C11,68:68,69:69)+100</f>
        <v>109</v>
      </c>
      <c r="K11" s="424">
        <v>1</v>
      </c>
      <c r="L11" s="1131"/>
      <c r="M11" s="1124"/>
      <c r="N11" s="1124"/>
      <c r="O11" s="1124"/>
      <c r="P11" s="3170"/>
      <c r="Q11" s="1781" t="str">
        <f t="shared" si="6"/>
        <v>容积率</v>
      </c>
      <c r="R11" s="767" t="s">
        <v>21</v>
      </c>
      <c r="S11" s="768">
        <f t="shared" si="0"/>
        <v>110</v>
      </c>
      <c r="T11" s="767" t="s">
        <v>21</v>
      </c>
      <c r="U11" s="768">
        <f t="shared" si="1"/>
        <v>110</v>
      </c>
      <c r="V11" s="767" t="s">
        <v>21</v>
      </c>
      <c r="W11" s="768">
        <f t="shared" si="2"/>
        <v>109</v>
      </c>
      <c r="X11" s="769"/>
      <c r="Y11" s="3029"/>
      <c r="Z11" s="55" t="str">
        <f t="shared" si="7"/>
        <v>容积率</v>
      </c>
      <c r="AA11" s="770">
        <f t="shared" si="3"/>
        <v>0.90909090909090906</v>
      </c>
      <c r="AB11" s="770">
        <f t="shared" si="4"/>
        <v>0.90909090909090906</v>
      </c>
      <c r="AC11" s="770">
        <f t="shared" si="5"/>
        <v>0.91743119266055051</v>
      </c>
    </row>
    <row r="12" spans="1:29" s="115" customFormat="1" ht="15" hidden="1">
      <c r="A12" s="429"/>
      <c r="B12" s="2583"/>
      <c r="C12" s="430"/>
      <c r="D12" s="431">
        <v>100</v>
      </c>
      <c r="E12" s="430"/>
      <c r="F12" s="423">
        <f>SUMIF(70:70,E12,71:71)-SUMIF(70:70,C12,71:71)+100</f>
        <v>100</v>
      </c>
      <c r="G12" s="430"/>
      <c r="H12" s="134">
        <f>SUMIF(70:70,G12,71:71)-SUMIF(70:70,C12,71:71)+100</f>
        <v>100</v>
      </c>
      <c r="I12" s="430"/>
      <c r="J12" s="134">
        <f>SUMIF(70:70,I12,71:71)-SUMIF(70:70,C12,71:71)+100</f>
        <v>100</v>
      </c>
      <c r="K12" s="2584"/>
      <c r="L12" s="1125"/>
      <c r="M12" s="1126"/>
      <c r="N12" s="1126"/>
      <c r="O12" s="1126"/>
      <c r="P12" s="3170"/>
      <c r="Q12" s="1781">
        <f t="shared" si="6"/>
        <v>0</v>
      </c>
      <c r="R12" s="767" t="s">
        <v>21</v>
      </c>
      <c r="S12" s="768">
        <f t="shared" si="0"/>
        <v>100</v>
      </c>
      <c r="T12" s="767" t="s">
        <v>21</v>
      </c>
      <c r="U12" s="768">
        <f t="shared" si="1"/>
        <v>100</v>
      </c>
      <c r="V12" s="767" t="s">
        <v>21</v>
      </c>
      <c r="W12" s="768">
        <f t="shared" si="2"/>
        <v>100</v>
      </c>
      <c r="X12" s="769"/>
      <c r="Y12" s="3029"/>
      <c r="Z12" s="55">
        <f t="shared" si="7"/>
        <v>0</v>
      </c>
      <c r="AA12" s="770">
        <f>D12/F12</f>
        <v>1</v>
      </c>
      <c r="AB12" s="770">
        <f>D12/H12</f>
        <v>1</v>
      </c>
      <c r="AC12" s="770">
        <f>D12/J12</f>
        <v>1</v>
      </c>
    </row>
    <row r="13" spans="1:29" ht="15" hidden="1">
      <c r="A13" s="426"/>
      <c r="B13" s="2583"/>
      <c r="C13" s="432"/>
      <c r="D13" s="433">
        <v>100</v>
      </c>
      <c r="E13" s="432"/>
      <c r="F13" s="423">
        <f>SUMIF(72:72,E13,73:73)-SUMIF(72:72,C13,73:73)+100</f>
        <v>100</v>
      </c>
      <c r="G13" s="432"/>
      <c r="H13" s="433">
        <f>SUMIF(72:72,G13,73:73)-SUMIF(72:72,C13,73:73)+100</f>
        <v>100</v>
      </c>
      <c r="I13" s="432"/>
      <c r="J13" s="433">
        <f>SUMIF(72:72,I13,73:73)-SUMIF(72:72,C13,73:73)+100</f>
        <v>100</v>
      </c>
      <c r="K13" s="2584"/>
      <c r="L13" s="1133"/>
      <c r="M13" s="1124"/>
      <c r="N13" s="1124"/>
      <c r="O13" s="1124"/>
      <c r="P13" s="3170"/>
      <c r="Q13" s="1781">
        <f t="shared" si="6"/>
        <v>0</v>
      </c>
      <c r="R13" s="767" t="s">
        <v>21</v>
      </c>
      <c r="S13" s="768">
        <f t="shared" si="0"/>
        <v>100</v>
      </c>
      <c r="T13" s="767" t="s">
        <v>21</v>
      </c>
      <c r="U13" s="768">
        <f t="shared" si="1"/>
        <v>100</v>
      </c>
      <c r="V13" s="767" t="s">
        <v>21</v>
      </c>
      <c r="W13" s="768">
        <f t="shared" si="2"/>
        <v>100</v>
      </c>
      <c r="X13" s="769"/>
      <c r="Y13" s="3029"/>
      <c r="Z13" s="55">
        <f t="shared" si="7"/>
        <v>0</v>
      </c>
      <c r="AA13" s="770">
        <f t="shared" si="3"/>
        <v>1</v>
      </c>
      <c r="AB13" s="770">
        <f t="shared" si="4"/>
        <v>1</v>
      </c>
      <c r="AC13" s="770">
        <f t="shared" si="5"/>
        <v>1</v>
      </c>
    </row>
    <row r="14" spans="1:29" ht="15.75" hidden="1" thickBot="1">
      <c r="A14" s="434"/>
      <c r="B14" s="2585"/>
      <c r="C14" s="435"/>
      <c r="D14" s="436">
        <v>100</v>
      </c>
      <c r="E14" s="435"/>
      <c r="F14" s="437">
        <f>SUMIF(74:74,E14,75:75)-SUMIF(74:74,C14,75:75)+100</f>
        <v>100</v>
      </c>
      <c r="G14" s="435"/>
      <c r="H14" s="436">
        <f>SUMIF(74:74,G14,75:75)-SUMIF(74:74,C14,75:75)+100</f>
        <v>100</v>
      </c>
      <c r="I14" s="435"/>
      <c r="J14" s="436">
        <f>SUMIF(74:74,I14,75:75)-SUMIF(74:74,C14,75:75)+100</f>
        <v>100</v>
      </c>
      <c r="K14" s="2584"/>
      <c r="L14" s="1133"/>
      <c r="M14" s="1124"/>
      <c r="N14" s="1124"/>
      <c r="O14" s="1124"/>
      <c r="P14" s="3170"/>
      <c r="Q14" s="1781">
        <f t="shared" si="6"/>
        <v>0</v>
      </c>
      <c r="R14" s="767" t="s">
        <v>21</v>
      </c>
      <c r="S14" s="768">
        <f t="shared" si="0"/>
        <v>100</v>
      </c>
      <c r="T14" s="767" t="s">
        <v>21</v>
      </c>
      <c r="U14" s="768">
        <f t="shared" si="1"/>
        <v>100</v>
      </c>
      <c r="V14" s="767" t="s">
        <v>21</v>
      </c>
      <c r="W14" s="768">
        <f t="shared" si="2"/>
        <v>100</v>
      </c>
      <c r="X14" s="769"/>
      <c r="Y14" s="3029"/>
      <c r="Z14" s="55">
        <f t="shared" si="7"/>
        <v>0</v>
      </c>
      <c r="AA14" s="770">
        <f t="shared" si="3"/>
        <v>1</v>
      </c>
      <c r="AB14" s="770">
        <f t="shared" si="4"/>
        <v>1</v>
      </c>
      <c r="AC14" s="770">
        <f t="shared" si="5"/>
        <v>1</v>
      </c>
    </row>
    <row r="15" spans="1:29" ht="99.75">
      <c r="A15" s="438" t="s">
        <v>2554</v>
      </c>
      <c r="B15" s="69" t="s">
        <v>2082</v>
      </c>
      <c r="C15" s="2586" t="str">
        <f>估价对象房地状况!C3</f>
        <v>估价对象周边居住用地比例、居住小区规模和社区发展完善程度，综合评价居住社区成熟度一般</v>
      </c>
      <c r="D15" s="439">
        <v>100</v>
      </c>
      <c r="E15" s="442"/>
      <c r="F15" s="439">
        <f>SUMIF(76:76,E16,77:77)-SUMIF(76:76,C16,77:77)+100</f>
        <v>100</v>
      </c>
      <c r="G15" s="442"/>
      <c r="H15" s="439">
        <f>SUMIF(76:76,G16,77:77)-SUMIF(76:76,C16,77:77)+100</f>
        <v>100</v>
      </c>
      <c r="I15" s="442"/>
      <c r="J15" s="439">
        <f>SUMIF(76:76,I16,77:77)-SUMIF(76:76,C16,77:77)+100</f>
        <v>100</v>
      </c>
      <c r="K15" s="443">
        <v>4</v>
      </c>
      <c r="L15" s="1133"/>
      <c r="M15" s="1124"/>
      <c r="N15" s="1124"/>
      <c r="O15" s="1124"/>
      <c r="P15" s="3197" t="s">
        <v>2555</v>
      </c>
      <c r="Q15" s="1796" t="str">
        <f t="shared" si="6"/>
        <v>居住社区成熟度</v>
      </c>
      <c r="R15" s="771" t="s">
        <v>21</v>
      </c>
      <c r="S15" s="772">
        <f t="shared" si="0"/>
        <v>100</v>
      </c>
      <c r="T15" s="771" t="s">
        <v>21</v>
      </c>
      <c r="U15" s="772">
        <f t="shared" si="1"/>
        <v>100</v>
      </c>
      <c r="V15" s="771" t="s">
        <v>21</v>
      </c>
      <c r="W15" s="772">
        <f t="shared" si="2"/>
        <v>100</v>
      </c>
      <c r="X15" s="1799"/>
      <c r="Y15" s="3190" t="s">
        <v>2555</v>
      </c>
      <c r="Z15" s="1800" t="str">
        <f t="shared" si="7"/>
        <v>居住社区成熟度</v>
      </c>
      <c r="AA15" s="1797">
        <f t="shared" si="3"/>
        <v>1</v>
      </c>
      <c r="AB15" s="1797">
        <f t="shared" si="4"/>
        <v>1</v>
      </c>
      <c r="AC15" s="1797">
        <f t="shared" si="5"/>
        <v>1</v>
      </c>
    </row>
    <row r="16" spans="1:29" ht="15">
      <c r="A16" s="426"/>
      <c r="B16" s="444"/>
      <c r="C16" s="445" t="s">
        <v>3071</v>
      </c>
      <c r="D16" s="446"/>
      <c r="E16" s="2587" t="s">
        <v>3071</v>
      </c>
      <c r="F16" s="446"/>
      <c r="G16" s="2587" t="s">
        <v>3071</v>
      </c>
      <c r="H16" s="448"/>
      <c r="I16" s="2587" t="s">
        <v>3071</v>
      </c>
      <c r="J16" s="446"/>
      <c r="K16" s="2589"/>
      <c r="L16" s="1133"/>
      <c r="M16" s="1124"/>
      <c r="N16" s="1124"/>
      <c r="O16" s="1124"/>
      <c r="P16" s="3198"/>
      <c r="Q16" s="1796"/>
      <c r="R16" s="771"/>
      <c r="S16" s="772"/>
      <c r="T16" s="771"/>
      <c r="U16" s="772"/>
      <c r="V16" s="771"/>
      <c r="W16" s="772"/>
      <c r="X16" s="1799"/>
      <c r="Y16" s="3191"/>
      <c r="Z16" s="1800"/>
      <c r="AA16" s="1797">
        <v>1</v>
      </c>
      <c r="AB16" s="1797">
        <v>1</v>
      </c>
      <c r="AC16" s="1797">
        <v>1</v>
      </c>
    </row>
    <row r="17" spans="1:29" ht="85.5">
      <c r="A17" s="426"/>
      <c r="B17" s="449" t="s">
        <v>2094</v>
      </c>
      <c r="C17" s="2590" t="str">
        <f>估价对象房地状况!C6</f>
        <v>估价对象周边道路状况、公共交通通达情况、停车便捷程度，综合评价交通便捷度较好</v>
      </c>
      <c r="D17" s="448">
        <v>100</v>
      </c>
      <c r="E17" s="452"/>
      <c r="F17" s="448">
        <f>SUMIF(78:78,E18,79:79)-SUMIF(78:78,C18,79:79)+100</f>
        <v>100</v>
      </c>
      <c r="G17" s="452"/>
      <c r="H17" s="453">
        <f>SUMIF(78:78,G18,79:79)-SUMIF(78:78,C18,79:79)+100</f>
        <v>97</v>
      </c>
      <c r="I17" s="452"/>
      <c r="J17" s="453">
        <f>SUMIF(78:78,I18,79:79)-SUMIF(78:78,C18,79:79)+100</f>
        <v>97</v>
      </c>
      <c r="K17" s="443">
        <v>3</v>
      </c>
      <c r="L17" s="1133"/>
      <c r="M17" s="1124"/>
      <c r="N17" s="1124"/>
      <c r="O17" s="1124"/>
      <c r="P17" s="3198"/>
      <c r="Q17" s="1796" t="str">
        <f>B17</f>
        <v>交通便捷度</v>
      </c>
      <c r="R17" s="771" t="s">
        <v>21</v>
      </c>
      <c r="S17" s="772">
        <f>F17</f>
        <v>100</v>
      </c>
      <c r="T17" s="771" t="s">
        <v>21</v>
      </c>
      <c r="U17" s="772">
        <f>H17</f>
        <v>97</v>
      </c>
      <c r="V17" s="771" t="s">
        <v>21</v>
      </c>
      <c r="W17" s="772">
        <f>J17</f>
        <v>97</v>
      </c>
      <c r="X17" s="1799"/>
      <c r="Y17" s="3191"/>
      <c r="Z17" s="1800" t="str">
        <f>Q17</f>
        <v>交通便捷度</v>
      </c>
      <c r="AA17" s="1797">
        <f t="shared" si="3"/>
        <v>1</v>
      </c>
      <c r="AB17" s="1797">
        <f t="shared" si="4"/>
        <v>1.0309278350515463</v>
      </c>
      <c r="AC17" s="1797">
        <f t="shared" si="5"/>
        <v>1.0309278350515463</v>
      </c>
    </row>
    <row r="18" spans="1:29" ht="15">
      <c r="A18" s="426"/>
      <c r="B18" s="454"/>
      <c r="C18" s="2591" t="s">
        <v>3071</v>
      </c>
      <c r="D18" s="448"/>
      <c r="E18" s="2592" t="s">
        <v>3071</v>
      </c>
      <c r="F18" s="448"/>
      <c r="G18" s="2592" t="s">
        <v>3070</v>
      </c>
      <c r="H18" s="446"/>
      <c r="I18" s="2592" t="s">
        <v>3070</v>
      </c>
      <c r="J18" s="446"/>
      <c r="K18" s="2589"/>
      <c r="L18" s="1133"/>
      <c r="M18" s="1124"/>
      <c r="N18" s="1124"/>
      <c r="O18" s="1124"/>
      <c r="P18" s="3198"/>
      <c r="Q18" s="1796"/>
      <c r="R18" s="771"/>
      <c r="S18" s="772"/>
      <c r="T18" s="771"/>
      <c r="U18" s="772"/>
      <c r="V18" s="771"/>
      <c r="W18" s="772"/>
      <c r="X18" s="1799"/>
      <c r="Y18" s="3191"/>
      <c r="Z18" s="1800"/>
      <c r="AA18" s="1797">
        <v>1</v>
      </c>
      <c r="AB18" s="1797">
        <v>1</v>
      </c>
      <c r="AC18" s="1797">
        <v>1</v>
      </c>
    </row>
    <row r="19" spans="1:29" ht="42.75">
      <c r="A19" s="426"/>
      <c r="B19" s="449" t="s">
        <v>2092</v>
      </c>
      <c r="C19" s="2590" t="str">
        <f>估价对象房地状况!C7</f>
        <v>估价对象所在区域公共配套设施齐备情况</v>
      </c>
      <c r="D19" s="453">
        <v>100</v>
      </c>
      <c r="E19" s="457"/>
      <c r="F19" s="453">
        <f>SUMIF(80:80,E20,81:81)-SUMIF(80:80,C20,81:81)+100</f>
        <v>100</v>
      </c>
      <c r="G19" s="457"/>
      <c r="H19" s="448">
        <f>SUMIF(80:80,G20,81:81)-SUMIF(80:80,C20,81:81)+100</f>
        <v>100</v>
      </c>
      <c r="I19" s="457"/>
      <c r="J19" s="448">
        <f>SUMIF(80:80,I20,81:81)-SUMIF(80:80,C20,81:81)+100</f>
        <v>100</v>
      </c>
      <c r="K19" s="443">
        <v>2</v>
      </c>
      <c r="L19" s="1133"/>
      <c r="M19" s="1124"/>
      <c r="N19" s="1124"/>
      <c r="O19" s="1124"/>
      <c r="P19" s="3198"/>
      <c r="Q19" s="1796" t="str">
        <f>B19</f>
        <v>公共配套设施</v>
      </c>
      <c r="R19" s="771" t="s">
        <v>21</v>
      </c>
      <c r="S19" s="772">
        <f>F19</f>
        <v>100</v>
      </c>
      <c r="T19" s="771" t="s">
        <v>21</v>
      </c>
      <c r="U19" s="772">
        <f>H19</f>
        <v>100</v>
      </c>
      <c r="V19" s="771" t="s">
        <v>21</v>
      </c>
      <c r="W19" s="772">
        <f>J19</f>
        <v>100</v>
      </c>
      <c r="X19" s="1799"/>
      <c r="Y19" s="3191"/>
      <c r="Z19" s="1800" t="str">
        <f>Q19</f>
        <v>公共配套设施</v>
      </c>
      <c r="AA19" s="1797">
        <f t="shared" si="3"/>
        <v>1</v>
      </c>
      <c r="AB19" s="1797">
        <f t="shared" si="4"/>
        <v>1</v>
      </c>
      <c r="AC19" s="1797">
        <f t="shared" si="5"/>
        <v>1</v>
      </c>
    </row>
    <row r="20" spans="1:29" ht="15">
      <c r="A20" s="426"/>
      <c r="B20" s="454"/>
      <c r="C20" s="445" t="s">
        <v>3071</v>
      </c>
      <c r="D20" s="446"/>
      <c r="E20" s="2587" t="s">
        <v>3071</v>
      </c>
      <c r="F20" s="446"/>
      <c r="G20" s="2587" t="s">
        <v>3071</v>
      </c>
      <c r="H20" s="446"/>
      <c r="I20" s="2587" t="s">
        <v>3071</v>
      </c>
      <c r="J20" s="446"/>
      <c r="K20" s="2589"/>
      <c r="L20" s="1133"/>
      <c r="M20" s="1124"/>
      <c r="N20" s="1124"/>
      <c r="O20" s="1124"/>
      <c r="P20" s="3198"/>
      <c r="Q20" s="1796"/>
      <c r="R20" s="771"/>
      <c r="S20" s="772"/>
      <c r="T20" s="771"/>
      <c r="U20" s="772"/>
      <c r="V20" s="771"/>
      <c r="W20" s="772"/>
      <c r="X20" s="1799"/>
      <c r="Y20" s="3191"/>
      <c r="Z20" s="1800"/>
      <c r="AA20" s="1797">
        <v>1</v>
      </c>
      <c r="AB20" s="1797">
        <v>1</v>
      </c>
      <c r="AC20" s="1797">
        <v>1</v>
      </c>
    </row>
    <row r="21" spans="1:29" ht="28.5">
      <c r="A21" s="426"/>
      <c r="B21" s="1369" t="s">
        <v>2095</v>
      </c>
      <c r="C21" s="2590" t="str">
        <f>估价对象房地状况!C8</f>
        <v>估价对象所在区域基础设施水平</v>
      </c>
      <c r="D21" s="448">
        <v>100</v>
      </c>
      <c r="E21" s="457"/>
      <c r="F21" s="453">
        <f>SUMIF(82:82,E22,83:83)-SUMIF(82:82,C22,83:83)+100</f>
        <v>100</v>
      </c>
      <c r="G21" s="457"/>
      <c r="H21" s="448">
        <f>SUMIF(82:82,G22,83:83)-SUMIF(82:82,C22,83:83)+100</f>
        <v>100</v>
      </c>
      <c r="I21" s="457"/>
      <c r="J21" s="448">
        <f>SUMIF(82:82,I22,83:83)-SUMIF(82:82,C22,83:83)+100</f>
        <v>100</v>
      </c>
      <c r="K21" s="443">
        <v>2</v>
      </c>
      <c r="L21" s="1133"/>
      <c r="M21" s="1124"/>
      <c r="N21" s="1124"/>
      <c r="O21" s="1124"/>
      <c r="P21" s="3198"/>
      <c r="Q21" s="1796" t="str">
        <f>B21</f>
        <v>基础设施水平</v>
      </c>
      <c r="R21" s="771" t="s">
        <v>17</v>
      </c>
      <c r="S21" s="772">
        <f>F21</f>
        <v>100</v>
      </c>
      <c r="T21" s="771" t="s">
        <v>17</v>
      </c>
      <c r="U21" s="772">
        <f>H21</f>
        <v>100</v>
      </c>
      <c r="V21" s="771" t="s">
        <v>17</v>
      </c>
      <c r="W21" s="772">
        <f>J21</f>
        <v>100</v>
      </c>
      <c r="X21" s="1799"/>
      <c r="Y21" s="3191"/>
      <c r="Z21" s="1800" t="str">
        <f>Q21</f>
        <v>基础设施水平</v>
      </c>
      <c r="AA21" s="1797">
        <f t="shared" ref="AA21" si="8">D21/F21</f>
        <v>1</v>
      </c>
      <c r="AB21" s="1797">
        <f t="shared" ref="AB21" si="9">D21/H21</f>
        <v>1</v>
      </c>
      <c r="AC21" s="1797">
        <f t="shared" ref="AC21" si="10">D21/J21</f>
        <v>1</v>
      </c>
    </row>
    <row r="22" spans="1:29" ht="15">
      <c r="A22" s="426"/>
      <c r="B22" s="1369"/>
      <c r="C22" s="2591" t="s">
        <v>3072</v>
      </c>
      <c r="D22" s="446"/>
      <c r="E22" s="445" t="s">
        <v>3072</v>
      </c>
      <c r="F22" s="446"/>
      <c r="G22" s="445" t="s">
        <v>3072</v>
      </c>
      <c r="H22" s="446"/>
      <c r="I22" s="445" t="s">
        <v>3072</v>
      </c>
      <c r="J22" s="446"/>
      <c r="K22" s="2595"/>
      <c r="L22" s="1133"/>
      <c r="M22" s="1124"/>
      <c r="N22" s="1124"/>
      <c r="O22" s="1124"/>
      <c r="P22" s="3198"/>
      <c r="Q22" s="1796"/>
      <c r="R22" s="771"/>
      <c r="S22" s="772"/>
      <c r="T22" s="771"/>
      <c r="U22" s="772"/>
      <c r="V22" s="771"/>
      <c r="W22" s="772"/>
      <c r="X22" s="1799"/>
      <c r="Y22" s="3191"/>
      <c r="Z22" s="1800"/>
      <c r="AA22" s="1797">
        <v>1</v>
      </c>
      <c r="AB22" s="1797">
        <v>1</v>
      </c>
      <c r="AC22" s="1797">
        <v>1</v>
      </c>
    </row>
    <row r="23" spans="1:29" ht="57">
      <c r="A23" s="426"/>
      <c r="B23" s="449" t="s">
        <v>2099</v>
      </c>
      <c r="C23" s="2590" t="str">
        <f>估价对象房地状况!C9</f>
        <v>区域自然环境：；人文环境；综合评价环境状况一般</v>
      </c>
      <c r="D23" s="448">
        <v>100</v>
      </c>
      <c r="E23" s="452"/>
      <c r="F23" s="448">
        <f>SUMIF(84:84,E24,85:85)-SUMIF(84:84,C24,85:85)+100</f>
        <v>100</v>
      </c>
      <c r="G23" s="452"/>
      <c r="H23" s="448">
        <f>SUMIF(84:84,G24,85:85)-SUMIF(84:84,C24,85:85)+100</f>
        <v>100</v>
      </c>
      <c r="I23" s="452"/>
      <c r="J23" s="448">
        <f>SUMIF(84:84,I24,85:85)-SUMIF(84:84,C24,85:85)+100</f>
        <v>100</v>
      </c>
      <c r="K23" s="443">
        <v>2</v>
      </c>
      <c r="L23" s="1133"/>
      <c r="M23" s="1124"/>
      <c r="N23" s="1124"/>
      <c r="O23" s="1124"/>
      <c r="P23" s="3198"/>
      <c r="Q23" s="1796" t="str">
        <f>B23</f>
        <v>自然及人文环境</v>
      </c>
      <c r="R23" s="771" t="s">
        <v>21</v>
      </c>
      <c r="S23" s="772">
        <f>F23</f>
        <v>100</v>
      </c>
      <c r="T23" s="771" t="s">
        <v>21</v>
      </c>
      <c r="U23" s="772">
        <f>H23</f>
        <v>100</v>
      </c>
      <c r="V23" s="771" t="s">
        <v>21</v>
      </c>
      <c r="W23" s="772">
        <f>J23</f>
        <v>100</v>
      </c>
      <c r="X23" s="1799"/>
      <c r="Y23" s="3191"/>
      <c r="Z23" s="1800" t="str">
        <f>Q23</f>
        <v>自然及人文环境</v>
      </c>
      <c r="AA23" s="1797">
        <f>D23/F23</f>
        <v>1</v>
      </c>
      <c r="AB23" s="1797">
        <f>D23/H23</f>
        <v>1</v>
      </c>
      <c r="AC23" s="1797">
        <f>D23/J23</f>
        <v>1</v>
      </c>
    </row>
    <row r="24" spans="1:29" ht="15">
      <c r="A24" s="426"/>
      <c r="B24" s="454"/>
      <c r="C24" s="445" t="s">
        <v>3071</v>
      </c>
      <c r="D24" s="446"/>
      <c r="E24" s="2587" t="s">
        <v>3071</v>
      </c>
      <c r="F24" s="446"/>
      <c r="G24" s="2587" t="s">
        <v>3071</v>
      </c>
      <c r="H24" s="446"/>
      <c r="I24" s="2587" t="s">
        <v>3071</v>
      </c>
      <c r="J24" s="446"/>
      <c r="K24" s="2589"/>
      <c r="L24" s="1133"/>
      <c r="M24" s="1124"/>
      <c r="N24" s="1124"/>
      <c r="O24" s="1124"/>
      <c r="P24" s="3198"/>
      <c r="Q24" s="1796"/>
      <c r="R24" s="771"/>
      <c r="S24" s="772"/>
      <c r="T24" s="771"/>
      <c r="U24" s="772"/>
      <c r="V24" s="771"/>
      <c r="W24" s="772"/>
      <c r="X24" s="1799"/>
      <c r="Y24" s="3191"/>
      <c r="Z24" s="1800"/>
      <c r="AA24" s="1797">
        <v>1</v>
      </c>
      <c r="AB24" s="1797">
        <v>1</v>
      </c>
      <c r="AC24" s="1797">
        <v>1</v>
      </c>
    </row>
    <row r="25" spans="1:29" ht="15" hidden="1">
      <c r="A25" s="426"/>
      <c r="B25" s="2951" t="s">
        <v>2556</v>
      </c>
      <c r="C25" s="458"/>
      <c r="D25" s="433">
        <v>100</v>
      </c>
      <c r="E25" s="2596"/>
      <c r="F25" s="433">
        <f>SUMIF(86:86,E25,87:87)-SUMIF(86:86,C25,87:87)+100</f>
        <v>100</v>
      </c>
      <c r="G25" s="2596"/>
      <c r="H25" s="433">
        <f>SUMIF(86:86,G25,87:87)-SUMIF(86:86,C25,87:87)+100</f>
        <v>100</v>
      </c>
      <c r="I25" s="2596"/>
      <c r="J25" s="433">
        <f>SUMIF(86:86,I25,87:87)-SUMIF(86:86,C25,87:87)+100</f>
        <v>100</v>
      </c>
      <c r="K25" s="424">
        <v>2</v>
      </c>
      <c r="L25" s="1133"/>
      <c r="M25" s="1124"/>
      <c r="N25" s="1124"/>
      <c r="O25" s="1124"/>
      <c r="P25" s="3198"/>
      <c r="Q25" s="1796" t="str">
        <f t="shared" ref="Q25:Q46" si="11">B25</f>
        <v>楼层-1</v>
      </c>
      <c r="R25" s="771" t="s">
        <v>21</v>
      </c>
      <c r="S25" s="772">
        <f t="shared" ref="S25:S46" si="12">F25</f>
        <v>100</v>
      </c>
      <c r="T25" s="771" t="s">
        <v>21</v>
      </c>
      <c r="U25" s="772">
        <f t="shared" ref="U25:U46" si="13">H25</f>
        <v>100</v>
      </c>
      <c r="V25" s="771" t="s">
        <v>21</v>
      </c>
      <c r="W25" s="772">
        <f t="shared" ref="W25:W46" si="14">J25</f>
        <v>100</v>
      </c>
      <c r="X25" s="1799"/>
      <c r="Y25" s="3191"/>
      <c r="Z25" s="1800" t="str">
        <f>Q25</f>
        <v>楼层-1</v>
      </c>
      <c r="AA25" s="1797">
        <f t="shared" ref="AA25:AA46" si="15">D25/F25</f>
        <v>1</v>
      </c>
      <c r="AB25" s="1797">
        <f t="shared" ref="AB25:AB46" si="16">D25/H25</f>
        <v>1</v>
      </c>
      <c r="AC25" s="1797">
        <f t="shared" ref="AC25:AC46" si="17">D25/J25</f>
        <v>1</v>
      </c>
    </row>
    <row r="26" spans="1:29" ht="15" hidden="1">
      <c r="A26" s="426"/>
      <c r="B26" s="420" t="s">
        <v>2557</v>
      </c>
      <c r="C26" s="458"/>
      <c r="D26" s="433">
        <v>100</v>
      </c>
      <c r="E26" s="2596"/>
      <c r="F26" s="433">
        <f>SUMIF(88:88,E26,89:89)-SUMIF(88:88,C26,89:89)+100</f>
        <v>100</v>
      </c>
      <c r="G26" s="2596"/>
      <c r="H26" s="433">
        <f>SUMIF(88:88,G26,89:89)-SUMIF(88:88,C26,89:89)+100</f>
        <v>100</v>
      </c>
      <c r="I26" s="2596"/>
      <c r="J26" s="433">
        <f>SUMIF(88:88,I26,89:89)-SUMIF(88:88,C26,89:89)+100</f>
        <v>100</v>
      </c>
      <c r="K26" s="424">
        <v>2</v>
      </c>
      <c r="L26" s="1133"/>
      <c r="M26" s="1124"/>
      <c r="N26" s="1124"/>
      <c r="O26" s="1124"/>
      <c r="P26" s="3198"/>
      <c r="Q26" s="1796" t="str">
        <f t="shared" si="11"/>
        <v>朝向</v>
      </c>
      <c r="R26" s="771" t="s">
        <v>21</v>
      </c>
      <c r="S26" s="772">
        <f t="shared" si="12"/>
        <v>100</v>
      </c>
      <c r="T26" s="771" t="s">
        <v>21</v>
      </c>
      <c r="U26" s="772">
        <f t="shared" si="13"/>
        <v>100</v>
      </c>
      <c r="V26" s="771" t="s">
        <v>21</v>
      </c>
      <c r="W26" s="772">
        <f t="shared" si="14"/>
        <v>100</v>
      </c>
      <c r="X26" s="1799"/>
      <c r="Y26" s="3191"/>
      <c r="Z26" s="1800" t="str">
        <f>Q26</f>
        <v>朝向</v>
      </c>
      <c r="AA26" s="1797">
        <f t="shared" si="15"/>
        <v>1</v>
      </c>
      <c r="AB26" s="1797">
        <f t="shared" si="16"/>
        <v>1</v>
      </c>
      <c r="AC26" s="1797">
        <f t="shared" si="17"/>
        <v>1</v>
      </c>
    </row>
    <row r="27" spans="1:29" s="115" customFormat="1" ht="15.75" thickBot="1">
      <c r="A27" s="429"/>
      <c r="B27" s="2960" t="s">
        <v>3210</v>
      </c>
      <c r="C27" s="2961" t="s">
        <v>3207</v>
      </c>
      <c r="D27" s="460">
        <v>100</v>
      </c>
      <c r="E27" s="2962" t="s">
        <v>3208</v>
      </c>
      <c r="F27" s="460">
        <f>SUMIF(90:90,E27,91:91)-SUMIF(90:90,C27,91:91)+100</f>
        <v>103</v>
      </c>
      <c r="G27" s="2962" t="s">
        <v>3208</v>
      </c>
      <c r="H27" s="460">
        <f>SUMIF(90:90,G27,91:91)-SUMIF(90:90,C27,91:91)+100</f>
        <v>103</v>
      </c>
      <c r="I27" s="2962" t="s">
        <v>3208</v>
      </c>
      <c r="J27" s="460">
        <f>SUMIF(90:90,I27,91:91)-SUMIF(90:90,C27,91:91)+100</f>
        <v>103</v>
      </c>
      <c r="K27" s="2584"/>
      <c r="L27" s="1125"/>
      <c r="M27" s="1126"/>
      <c r="N27" s="1126"/>
      <c r="O27" s="1126"/>
      <c r="P27" s="3198"/>
      <c r="Q27" s="1781" t="str">
        <f t="shared" si="11"/>
        <v>楼层</v>
      </c>
      <c r="R27" s="767" t="s">
        <v>21</v>
      </c>
      <c r="S27" s="768">
        <f t="shared" si="12"/>
        <v>103</v>
      </c>
      <c r="T27" s="767" t="s">
        <v>21</v>
      </c>
      <c r="U27" s="768">
        <f t="shared" si="13"/>
        <v>103</v>
      </c>
      <c r="V27" s="767" t="s">
        <v>21</v>
      </c>
      <c r="W27" s="768">
        <f t="shared" si="14"/>
        <v>103</v>
      </c>
      <c r="X27" s="769"/>
      <c r="Y27" s="3191"/>
      <c r="Z27" s="55" t="str">
        <f>Q27</f>
        <v>楼层</v>
      </c>
      <c r="AA27" s="1797">
        <f t="shared" si="15"/>
        <v>0.970873786407767</v>
      </c>
      <c r="AB27" s="1797">
        <f t="shared" si="16"/>
        <v>0.970873786407767</v>
      </c>
      <c r="AC27" s="1797">
        <f t="shared" si="17"/>
        <v>0.970873786407767</v>
      </c>
    </row>
    <row r="28" spans="1:29" ht="15" hidden="1">
      <c r="A28" s="426"/>
      <c r="B28" s="1371"/>
      <c r="C28" s="432"/>
      <c r="D28" s="433">
        <v>100</v>
      </c>
      <c r="E28" s="432"/>
      <c r="F28" s="433">
        <f>SUMIF(92:92,E28,93:93)-SUMIF(92:92,C28,93:93)+100</f>
        <v>100</v>
      </c>
      <c r="G28" s="432"/>
      <c r="H28" s="433">
        <f>SUMIF(92:92,G28,93:93)-SUMIF(92:92,C28,93:93)+100</f>
        <v>100</v>
      </c>
      <c r="I28" s="432"/>
      <c r="J28" s="433">
        <f>SUMIF(92:92,I28,93:93)-SUMIF(92:92,C28,93:93)+100</f>
        <v>100</v>
      </c>
      <c r="K28" s="2584"/>
      <c r="L28" s="1133"/>
      <c r="M28" s="1124"/>
      <c r="N28" s="1124"/>
      <c r="O28" s="1124"/>
      <c r="P28" s="3198"/>
      <c r="Q28" s="1796">
        <f t="shared" si="11"/>
        <v>0</v>
      </c>
      <c r="R28" s="771" t="s">
        <v>21</v>
      </c>
      <c r="S28" s="772">
        <f t="shared" si="12"/>
        <v>100</v>
      </c>
      <c r="T28" s="771" t="s">
        <v>21</v>
      </c>
      <c r="U28" s="772">
        <f t="shared" si="13"/>
        <v>100</v>
      </c>
      <c r="V28" s="771" t="s">
        <v>21</v>
      </c>
      <c r="W28" s="772">
        <f t="shared" si="14"/>
        <v>100</v>
      </c>
      <c r="X28" s="1799"/>
      <c r="Y28" s="3191"/>
      <c r="Z28" s="1800">
        <f t="shared" ref="Z28:Z46" si="18">Q28</f>
        <v>0</v>
      </c>
      <c r="AA28" s="1797">
        <f t="shared" si="15"/>
        <v>1</v>
      </c>
      <c r="AB28" s="1797">
        <f t="shared" si="16"/>
        <v>1</v>
      </c>
      <c r="AC28" s="1797">
        <f t="shared" si="17"/>
        <v>1</v>
      </c>
    </row>
    <row r="29" spans="1:29" ht="15" hidden="1">
      <c r="A29" s="426"/>
      <c r="B29" s="1371"/>
      <c r="C29" s="432"/>
      <c r="D29" s="433">
        <v>100</v>
      </c>
      <c r="E29" s="432"/>
      <c r="F29" s="433">
        <f>SUMIF(94:94,E29,95:95)-SUMIF(94:94,C29,95:95)+100</f>
        <v>100</v>
      </c>
      <c r="G29" s="432"/>
      <c r="H29" s="433">
        <f>SUMIF(94:94,G29,95:95)-SUMIF(94:94,C29,95:95)+100</f>
        <v>100</v>
      </c>
      <c r="I29" s="432"/>
      <c r="J29" s="433">
        <f>SUMIF(94:94,I29,95:95)-SUMIF(94:94,C29,95:95)+100</f>
        <v>100</v>
      </c>
      <c r="K29" s="2584"/>
      <c r="L29" s="1133"/>
      <c r="M29" s="1124"/>
      <c r="N29" s="1124"/>
      <c r="O29" s="1124"/>
      <c r="P29" s="3198"/>
      <c r="Q29" s="1796">
        <f t="shared" si="11"/>
        <v>0</v>
      </c>
      <c r="R29" s="771" t="s">
        <v>21</v>
      </c>
      <c r="S29" s="772">
        <f t="shared" si="12"/>
        <v>100</v>
      </c>
      <c r="T29" s="771" t="s">
        <v>21</v>
      </c>
      <c r="U29" s="772">
        <f t="shared" si="13"/>
        <v>100</v>
      </c>
      <c r="V29" s="771" t="s">
        <v>21</v>
      </c>
      <c r="W29" s="772">
        <f t="shared" si="14"/>
        <v>100</v>
      </c>
      <c r="X29" s="1799"/>
      <c r="Y29" s="3191"/>
      <c r="Z29" s="1800">
        <f t="shared" si="18"/>
        <v>0</v>
      </c>
      <c r="AA29" s="1797">
        <f t="shared" si="15"/>
        <v>1</v>
      </c>
      <c r="AB29" s="1797">
        <f t="shared" si="16"/>
        <v>1</v>
      </c>
      <c r="AC29" s="1797">
        <f t="shared" si="17"/>
        <v>1</v>
      </c>
    </row>
    <row r="30" spans="1:29" ht="15" hidden="1">
      <c r="A30" s="426"/>
      <c r="B30" s="1371"/>
      <c r="C30" s="432"/>
      <c r="D30" s="433">
        <v>100</v>
      </c>
      <c r="E30" s="432"/>
      <c r="F30" s="433">
        <f>SUMIF(96:96,E30,97:97)-SUMIF(96:96,C30,97:97)+100</f>
        <v>100</v>
      </c>
      <c r="G30" s="432"/>
      <c r="H30" s="433">
        <f>SUMIF(96:96,G30,97:97)-SUMIF(96:96,C30,97:97)+100</f>
        <v>100</v>
      </c>
      <c r="I30" s="432"/>
      <c r="J30" s="433">
        <f>SUMIF(96:96,I30,97:97)-SUMIF(96:96,C30,97:97)+100</f>
        <v>100</v>
      </c>
      <c r="K30" s="2584"/>
      <c r="L30" s="1133"/>
      <c r="M30" s="1124"/>
      <c r="N30" s="1124"/>
      <c r="O30" s="1124"/>
      <c r="P30" s="3198"/>
      <c r="Q30" s="1796">
        <f t="shared" si="11"/>
        <v>0</v>
      </c>
      <c r="R30" s="771" t="s">
        <v>21</v>
      </c>
      <c r="S30" s="772">
        <f t="shared" si="12"/>
        <v>100</v>
      </c>
      <c r="T30" s="771" t="s">
        <v>21</v>
      </c>
      <c r="U30" s="772">
        <f t="shared" si="13"/>
        <v>100</v>
      </c>
      <c r="V30" s="771" t="s">
        <v>21</v>
      </c>
      <c r="W30" s="772">
        <f t="shared" si="14"/>
        <v>100</v>
      </c>
      <c r="X30" s="1799"/>
      <c r="Y30" s="3191"/>
      <c r="Z30" s="1800">
        <f t="shared" si="18"/>
        <v>0</v>
      </c>
      <c r="AA30" s="1797">
        <f t="shared" si="15"/>
        <v>1</v>
      </c>
      <c r="AB30" s="1797">
        <f t="shared" si="16"/>
        <v>1</v>
      </c>
      <c r="AC30" s="1797">
        <f t="shared" si="17"/>
        <v>1</v>
      </c>
    </row>
    <row r="31" spans="1:29" ht="15.75" hidden="1" thickBot="1">
      <c r="A31" s="434"/>
      <c r="B31" s="1371"/>
      <c r="C31" s="435"/>
      <c r="D31" s="436">
        <v>100</v>
      </c>
      <c r="E31" s="435"/>
      <c r="F31" s="436">
        <f>SUMIF(98:98,E31,99:99)-SUMIF(98:98,C31,99:99)+100</f>
        <v>100</v>
      </c>
      <c r="G31" s="435"/>
      <c r="H31" s="436">
        <f>SUMIF(98:98,G31,99:99)-SUMIF(98:98,C31,99:99)+100</f>
        <v>100</v>
      </c>
      <c r="I31" s="435"/>
      <c r="J31" s="436">
        <f>SUMIF(98:98,I31,99:99)-SUMIF(98:98,C31,99:99)+100</f>
        <v>100</v>
      </c>
      <c r="K31" s="2584"/>
      <c r="L31" s="1133"/>
      <c r="M31" s="1124"/>
      <c r="N31" s="1124"/>
      <c r="O31" s="1124"/>
      <c r="P31" s="3198"/>
      <c r="Q31" s="1796">
        <f t="shared" si="11"/>
        <v>0</v>
      </c>
      <c r="R31" s="771" t="s">
        <v>21</v>
      </c>
      <c r="S31" s="772">
        <f t="shared" si="12"/>
        <v>100</v>
      </c>
      <c r="T31" s="771" t="s">
        <v>21</v>
      </c>
      <c r="U31" s="772">
        <f t="shared" si="13"/>
        <v>100</v>
      </c>
      <c r="V31" s="771" t="s">
        <v>21</v>
      </c>
      <c r="W31" s="772">
        <f t="shared" si="14"/>
        <v>100</v>
      </c>
      <c r="X31" s="1799"/>
      <c r="Y31" s="3191"/>
      <c r="Z31" s="1800">
        <f t="shared" si="18"/>
        <v>0</v>
      </c>
      <c r="AA31" s="1797">
        <f t="shared" si="15"/>
        <v>1</v>
      </c>
      <c r="AB31" s="1797">
        <f t="shared" si="16"/>
        <v>1</v>
      </c>
      <c r="AC31" s="1797">
        <f t="shared" si="17"/>
        <v>1</v>
      </c>
    </row>
    <row r="32" spans="1:29" ht="15">
      <c r="A32" s="438" t="s">
        <v>2558</v>
      </c>
      <c r="B32" s="71" t="s">
        <v>2559</v>
      </c>
      <c r="C32" s="2934" t="s">
        <v>3086</v>
      </c>
      <c r="D32" s="465">
        <v>100</v>
      </c>
      <c r="E32" s="2934" t="s">
        <v>3086</v>
      </c>
      <c r="F32" s="459">
        <f>SUMIF(100:100,E32,101:101)-SUMIF(100:100,C32,101:101)+100</f>
        <v>100</v>
      </c>
      <c r="G32" s="2934" t="s">
        <v>3086</v>
      </c>
      <c r="H32" s="465">
        <f>SUMIF(100:100,G32,101:101)-SUMIF(100:100,C32,101:101)+100</f>
        <v>100</v>
      </c>
      <c r="I32" s="2934" t="s">
        <v>3086</v>
      </c>
      <c r="J32" s="433">
        <f>SUMIF(100:100,I32,101:101)-SUMIF(100:100,C32,101:101)+100</f>
        <v>100</v>
      </c>
      <c r="K32" s="424">
        <v>2</v>
      </c>
      <c r="L32" s="1133"/>
      <c r="M32" s="1124"/>
      <c r="N32" s="1124"/>
      <c r="O32" s="1124"/>
      <c r="P32" s="3192" t="s">
        <v>2560</v>
      </c>
      <c r="Q32" s="1796" t="str">
        <f t="shared" si="11"/>
        <v>建筑类型</v>
      </c>
      <c r="R32" s="771" t="s">
        <v>21</v>
      </c>
      <c r="S32" s="772">
        <f t="shared" si="12"/>
        <v>100</v>
      </c>
      <c r="T32" s="771" t="s">
        <v>21</v>
      </c>
      <c r="U32" s="772">
        <f t="shared" si="13"/>
        <v>100</v>
      </c>
      <c r="V32" s="771" t="s">
        <v>21</v>
      </c>
      <c r="W32" s="772">
        <f t="shared" si="14"/>
        <v>100</v>
      </c>
      <c r="X32" s="1799"/>
      <c r="Y32" s="3195" t="s">
        <v>2560</v>
      </c>
      <c r="Z32" s="1800" t="str">
        <f t="shared" si="18"/>
        <v>建筑类型</v>
      </c>
      <c r="AA32" s="1797">
        <f t="shared" si="15"/>
        <v>1</v>
      </c>
      <c r="AB32" s="1797">
        <f t="shared" si="16"/>
        <v>1</v>
      </c>
      <c r="AC32" s="1797">
        <f t="shared" si="17"/>
        <v>1</v>
      </c>
    </row>
    <row r="33" spans="1:29" s="469" customFormat="1" ht="15">
      <c r="A33" s="466"/>
      <c r="B33" s="420" t="s">
        <v>2561</v>
      </c>
      <c r="C33" s="467">
        <f>'数据-汇总表'!E3</f>
        <v>28703.600000000002</v>
      </c>
      <c r="D33" s="134">
        <v>100</v>
      </c>
      <c r="E33" s="467">
        <v>1020900</v>
      </c>
      <c r="F33" s="423">
        <f>LOOKUP(E33,103:103,104:104)-LOOKUP(C33,103:103,104:104)+100</f>
        <v>104</v>
      </c>
      <c r="G33" s="467">
        <v>470000</v>
      </c>
      <c r="H33" s="134">
        <f>LOOKUP(G33,103:103,104:104)-LOOKUP(C33,103:103,104:104)+100</f>
        <v>103</v>
      </c>
      <c r="I33" s="467">
        <v>106400</v>
      </c>
      <c r="J33" s="134">
        <f>LOOKUP(I33,103:103,104:104)-LOOKUP(C33,103:103,104:104)+100</f>
        <v>102</v>
      </c>
      <c r="K33" s="2584"/>
      <c r="L33" s="1131"/>
      <c r="M33" s="1134"/>
      <c r="N33" s="1134"/>
      <c r="O33" s="1134"/>
      <c r="P33" s="3193"/>
      <c r="Q33" s="773" t="str">
        <f t="shared" si="11"/>
        <v>项目建筑规模</v>
      </c>
      <c r="R33" s="774" t="s">
        <v>21</v>
      </c>
      <c r="S33" s="775">
        <f t="shared" si="12"/>
        <v>104</v>
      </c>
      <c r="T33" s="774" t="s">
        <v>21</v>
      </c>
      <c r="U33" s="775">
        <f t="shared" si="13"/>
        <v>103</v>
      </c>
      <c r="V33" s="774" t="s">
        <v>21</v>
      </c>
      <c r="W33" s="775">
        <f t="shared" si="14"/>
        <v>102</v>
      </c>
      <c r="X33" s="776"/>
      <c r="Y33" s="3195"/>
      <c r="Z33" s="777" t="str">
        <f t="shared" si="18"/>
        <v>项目建筑规模</v>
      </c>
      <c r="AA33" s="1797">
        <f t="shared" si="15"/>
        <v>0.96153846153846156</v>
      </c>
      <c r="AB33" s="1797">
        <f t="shared" si="16"/>
        <v>0.970873786407767</v>
      </c>
      <c r="AC33" s="1797">
        <f t="shared" si="17"/>
        <v>0.98039215686274506</v>
      </c>
    </row>
    <row r="34" spans="1:29" ht="15">
      <c r="A34" s="470"/>
      <c r="B34" s="420" t="s">
        <v>2562</v>
      </c>
      <c r="C34" s="2600" t="s">
        <v>3061</v>
      </c>
      <c r="D34" s="433">
        <v>100</v>
      </c>
      <c r="E34" s="2600" t="s">
        <v>3061</v>
      </c>
      <c r="F34" s="459">
        <f>SUMIF(105:105,E34,106:106)-SUMIF(105:105,C34,106:106)+100</f>
        <v>100</v>
      </c>
      <c r="G34" s="2600" t="s">
        <v>3061</v>
      </c>
      <c r="H34" s="433">
        <f>SUMIF(105:105,G34,106:106)-SUMIF(105:105,C34,106:106)+100</f>
        <v>100</v>
      </c>
      <c r="I34" s="2600" t="s">
        <v>3061</v>
      </c>
      <c r="J34" s="433">
        <f>SUMIF(105:105,I34,106:106)-SUMIF(105:105,C34,106:106)+100</f>
        <v>100</v>
      </c>
      <c r="K34" s="424">
        <v>2</v>
      </c>
      <c r="L34" s="1133"/>
      <c r="M34" s="1124"/>
      <c r="N34" s="1124"/>
      <c r="O34" s="1124"/>
      <c r="P34" s="3193"/>
      <c r="Q34" s="1796" t="str">
        <f t="shared" si="11"/>
        <v>建筑结构</v>
      </c>
      <c r="R34" s="771" t="s">
        <v>21</v>
      </c>
      <c r="S34" s="772">
        <f t="shared" si="12"/>
        <v>100</v>
      </c>
      <c r="T34" s="771" t="s">
        <v>21</v>
      </c>
      <c r="U34" s="772">
        <f t="shared" si="13"/>
        <v>100</v>
      </c>
      <c r="V34" s="771" t="s">
        <v>21</v>
      </c>
      <c r="W34" s="772">
        <f t="shared" si="14"/>
        <v>100</v>
      </c>
      <c r="X34" s="1799"/>
      <c r="Y34" s="3195"/>
      <c r="Z34" s="1800" t="str">
        <f t="shared" si="18"/>
        <v>建筑结构</v>
      </c>
      <c r="AA34" s="1797">
        <f t="shared" si="15"/>
        <v>1</v>
      </c>
      <c r="AB34" s="1797">
        <f t="shared" si="16"/>
        <v>1</v>
      </c>
      <c r="AC34" s="1797">
        <f t="shared" si="17"/>
        <v>1</v>
      </c>
    </row>
    <row r="35" spans="1:29" ht="15">
      <c r="A35" s="470"/>
      <c r="B35" s="420" t="s">
        <v>2563</v>
      </c>
      <c r="C35" s="2596" t="s">
        <v>3076</v>
      </c>
      <c r="D35" s="433">
        <v>100</v>
      </c>
      <c r="E35" s="2596" t="s">
        <v>3076</v>
      </c>
      <c r="F35" s="459">
        <f>SUMIF(107:107,E35,108:108)-SUMIF(107:107,C35,108:108)+100</f>
        <v>100</v>
      </c>
      <c r="G35" s="2596" t="s">
        <v>3076</v>
      </c>
      <c r="H35" s="433">
        <f>SUMIF(107:107,G35,108:108)-SUMIF(107:107,C35,108:108)+100</f>
        <v>100</v>
      </c>
      <c r="I35" s="2596" t="s">
        <v>3076</v>
      </c>
      <c r="J35" s="433">
        <f>SUMIF(107:107,I35,108:108)-SUMIF(107:107,C35,108:108)+100</f>
        <v>100</v>
      </c>
      <c r="K35" s="424">
        <v>2</v>
      </c>
      <c r="L35" s="1133"/>
      <c r="M35" s="1124"/>
      <c r="N35" s="1124"/>
      <c r="O35" s="1124"/>
      <c r="P35" s="3193"/>
      <c r="Q35" s="1796" t="str">
        <f t="shared" si="11"/>
        <v>建筑品质</v>
      </c>
      <c r="R35" s="771" t="s">
        <v>21</v>
      </c>
      <c r="S35" s="772">
        <f t="shared" si="12"/>
        <v>100</v>
      </c>
      <c r="T35" s="771" t="s">
        <v>21</v>
      </c>
      <c r="U35" s="772">
        <f t="shared" si="13"/>
        <v>100</v>
      </c>
      <c r="V35" s="771" t="s">
        <v>21</v>
      </c>
      <c r="W35" s="772">
        <f t="shared" si="14"/>
        <v>100</v>
      </c>
      <c r="X35" s="1799"/>
      <c r="Y35" s="3195"/>
      <c r="Z35" s="1800" t="str">
        <f t="shared" si="18"/>
        <v>建筑品质</v>
      </c>
      <c r="AA35" s="1797">
        <f t="shared" si="15"/>
        <v>1</v>
      </c>
      <c r="AB35" s="1797">
        <f t="shared" si="16"/>
        <v>1</v>
      </c>
      <c r="AC35" s="1797">
        <f t="shared" si="17"/>
        <v>1</v>
      </c>
    </row>
    <row r="36" spans="1:29" ht="15">
      <c r="A36" s="470"/>
      <c r="B36" s="420" t="s">
        <v>2564</v>
      </c>
      <c r="C36" s="2596" t="s">
        <v>3087</v>
      </c>
      <c r="D36" s="433">
        <v>100</v>
      </c>
      <c r="E36" s="2596" t="s">
        <v>3087</v>
      </c>
      <c r="F36" s="459">
        <f>SUMIF(109:109,E36,110:110)-SUMIF(109:109,C36,110:110)+100</f>
        <v>100</v>
      </c>
      <c r="G36" s="2596" t="s">
        <v>3087</v>
      </c>
      <c r="H36" s="433">
        <f>SUMIF(109:109,G36,110:110)-SUMIF(109:109,C36,110:110)+100</f>
        <v>100</v>
      </c>
      <c r="I36" s="2596" t="s">
        <v>3087</v>
      </c>
      <c r="J36" s="433">
        <f>SUMIF(109:109,I36,110:110)-SUMIF(109:109,C36,110:110)+100</f>
        <v>100</v>
      </c>
      <c r="K36" s="424">
        <v>2</v>
      </c>
      <c r="L36" s="1133"/>
      <c r="M36" s="1124"/>
      <c r="N36" s="1124"/>
      <c r="O36" s="1124"/>
      <c r="P36" s="3193"/>
      <c r="Q36" s="1796" t="str">
        <f t="shared" si="11"/>
        <v>公共部分装修</v>
      </c>
      <c r="R36" s="771" t="s">
        <v>21</v>
      </c>
      <c r="S36" s="772">
        <f t="shared" si="12"/>
        <v>100</v>
      </c>
      <c r="T36" s="771" t="s">
        <v>21</v>
      </c>
      <c r="U36" s="772">
        <f t="shared" si="13"/>
        <v>100</v>
      </c>
      <c r="V36" s="771" t="s">
        <v>21</v>
      </c>
      <c r="W36" s="772">
        <f t="shared" si="14"/>
        <v>100</v>
      </c>
      <c r="X36" s="1799"/>
      <c r="Y36" s="3195"/>
      <c r="Z36" s="1800" t="str">
        <f t="shared" si="18"/>
        <v>公共部分装修</v>
      </c>
      <c r="AA36" s="1797">
        <f t="shared" si="15"/>
        <v>1</v>
      </c>
      <c r="AB36" s="1797">
        <f t="shared" si="16"/>
        <v>1</v>
      </c>
      <c r="AC36" s="1797">
        <f t="shared" si="17"/>
        <v>1</v>
      </c>
    </row>
    <row r="37" spans="1:29" s="115" customFormat="1" ht="15">
      <c r="A37" s="471"/>
      <c r="B37" s="420" t="s">
        <v>2565</v>
      </c>
      <c r="C37" s="472">
        <v>1</v>
      </c>
      <c r="D37" s="134">
        <v>100</v>
      </c>
      <c r="E37" s="472">
        <f>ROUND(1-(2017-2016)/60,2)</f>
        <v>0.98</v>
      </c>
      <c r="F37" s="423">
        <f>LOOKUP(E37,112:112,113:113)-LOOKUP(C37,112:112,113:113)+100</f>
        <v>100</v>
      </c>
      <c r="G37" s="472">
        <v>1</v>
      </c>
      <c r="H37" s="134">
        <f>LOOKUP(G37,112:112,113:113)-LOOKUP(C37,112:112,113:113)+100</f>
        <v>100</v>
      </c>
      <c r="I37" s="472">
        <f>ROUND(1-(2017-2016)/60,2)</f>
        <v>0.98</v>
      </c>
      <c r="J37" s="134">
        <f>LOOKUP(I37,112:112,113:113)-LOOKUP(C37,112:112,113:113)+100</f>
        <v>100</v>
      </c>
      <c r="K37" s="424">
        <v>2</v>
      </c>
      <c r="L37" s="1125"/>
      <c r="M37" s="1126"/>
      <c r="N37" s="1126"/>
      <c r="O37" s="1126"/>
      <c r="P37" s="3193"/>
      <c r="Q37" s="1781" t="str">
        <f t="shared" si="11"/>
        <v>成新度</v>
      </c>
      <c r="R37" s="767" t="s">
        <v>21</v>
      </c>
      <c r="S37" s="768">
        <f t="shared" si="12"/>
        <v>100</v>
      </c>
      <c r="T37" s="767" t="s">
        <v>21</v>
      </c>
      <c r="U37" s="768">
        <f t="shared" si="13"/>
        <v>100</v>
      </c>
      <c r="V37" s="767" t="s">
        <v>21</v>
      </c>
      <c r="W37" s="768">
        <f t="shared" si="14"/>
        <v>100</v>
      </c>
      <c r="X37" s="769"/>
      <c r="Y37" s="3195"/>
      <c r="Z37" s="55" t="str">
        <f t="shared" si="18"/>
        <v>成新度</v>
      </c>
      <c r="AA37" s="770">
        <f t="shared" si="15"/>
        <v>1</v>
      </c>
      <c r="AB37" s="770">
        <f t="shared" si="16"/>
        <v>1</v>
      </c>
      <c r="AC37" s="770">
        <f t="shared" si="17"/>
        <v>1</v>
      </c>
    </row>
    <row r="38" spans="1:29" ht="15">
      <c r="A38" s="470"/>
      <c r="B38" s="420" t="s">
        <v>2566</v>
      </c>
      <c r="C38" s="2596" t="s">
        <v>3088</v>
      </c>
      <c r="D38" s="433">
        <v>100</v>
      </c>
      <c r="E38" s="2596" t="s">
        <v>3088</v>
      </c>
      <c r="F38" s="459">
        <f>SUMIF(114:114,E38,115:115)-SUMIF(114:114,C38,115:115)+100</f>
        <v>100</v>
      </c>
      <c r="G38" s="2596" t="s">
        <v>3088</v>
      </c>
      <c r="H38" s="433">
        <f>SUMIF(114:114,G38,115:115)-SUMIF(114:114,C38,115:115)+100</f>
        <v>100</v>
      </c>
      <c r="I38" s="2596" t="s">
        <v>3088</v>
      </c>
      <c r="J38" s="433">
        <f>SUMIF(114:114,I38,115:115)-SUMIF(114:114,C38,115:115)+100</f>
        <v>100</v>
      </c>
      <c r="K38" s="424">
        <v>2</v>
      </c>
      <c r="L38" s="1133"/>
      <c r="M38" s="1124"/>
      <c r="N38" s="1124"/>
      <c r="O38" s="1124"/>
      <c r="P38" s="3193" t="s">
        <v>2560</v>
      </c>
      <c r="Q38" s="1796" t="str">
        <f t="shared" si="11"/>
        <v>物业管理</v>
      </c>
      <c r="R38" s="771" t="s">
        <v>21</v>
      </c>
      <c r="S38" s="772">
        <f t="shared" si="12"/>
        <v>100</v>
      </c>
      <c r="T38" s="771" t="s">
        <v>21</v>
      </c>
      <c r="U38" s="772">
        <f t="shared" si="13"/>
        <v>100</v>
      </c>
      <c r="V38" s="771" t="s">
        <v>21</v>
      </c>
      <c r="W38" s="772">
        <f t="shared" si="14"/>
        <v>100</v>
      </c>
      <c r="X38" s="1799"/>
      <c r="Y38" s="3195" t="s">
        <v>2560</v>
      </c>
      <c r="Z38" s="1800" t="str">
        <f t="shared" si="18"/>
        <v>物业管理</v>
      </c>
      <c r="AA38" s="1797">
        <f t="shared" si="15"/>
        <v>1</v>
      </c>
      <c r="AB38" s="1797">
        <f t="shared" si="16"/>
        <v>1</v>
      </c>
      <c r="AC38" s="1797">
        <f t="shared" si="17"/>
        <v>1</v>
      </c>
    </row>
    <row r="39" spans="1:29" ht="15">
      <c r="A39" s="470"/>
      <c r="B39" s="420" t="s">
        <v>2567</v>
      </c>
      <c r="C39" s="2596" t="s">
        <v>3089</v>
      </c>
      <c r="D39" s="433">
        <v>100</v>
      </c>
      <c r="E39" s="2596" t="s">
        <v>3089</v>
      </c>
      <c r="F39" s="459">
        <f>SUMIF(116:116,E39,117:117)-SUMIF(116:116,C39,117:117)+100</f>
        <v>100</v>
      </c>
      <c r="G39" s="2596" t="s">
        <v>3089</v>
      </c>
      <c r="H39" s="433">
        <f>SUMIF(116:116,G39,117:117)-SUMIF(116:116,C39,117:117)+100</f>
        <v>100</v>
      </c>
      <c r="I39" s="2596" t="s">
        <v>3089</v>
      </c>
      <c r="J39" s="433">
        <f>SUMIF(116:116,I39,117:117)-SUMIF(116:116,C39,117:117)+100</f>
        <v>100</v>
      </c>
      <c r="K39" s="424">
        <v>2</v>
      </c>
      <c r="L39" s="1133"/>
      <c r="M39" s="1124"/>
      <c r="N39" s="1124"/>
      <c r="O39" s="1124"/>
      <c r="P39" s="3193"/>
      <c r="Q39" s="1796" t="str">
        <f t="shared" si="11"/>
        <v>市政基础设施</v>
      </c>
      <c r="R39" s="771" t="s">
        <v>21</v>
      </c>
      <c r="S39" s="772">
        <f t="shared" si="12"/>
        <v>100</v>
      </c>
      <c r="T39" s="771" t="s">
        <v>21</v>
      </c>
      <c r="U39" s="772">
        <f t="shared" si="13"/>
        <v>100</v>
      </c>
      <c r="V39" s="771" t="s">
        <v>21</v>
      </c>
      <c r="W39" s="772">
        <f t="shared" si="14"/>
        <v>100</v>
      </c>
      <c r="X39" s="1799"/>
      <c r="Y39" s="3195"/>
      <c r="Z39" s="1800" t="str">
        <f t="shared" si="18"/>
        <v>市政基础设施</v>
      </c>
      <c r="AA39" s="1797">
        <f t="shared" si="15"/>
        <v>1</v>
      </c>
      <c r="AB39" s="1797">
        <f t="shared" si="16"/>
        <v>1</v>
      </c>
      <c r="AC39" s="1797">
        <f t="shared" si="17"/>
        <v>1</v>
      </c>
    </row>
    <row r="40" spans="1:29" ht="15">
      <c r="A40" s="470"/>
      <c r="B40" s="420" t="s">
        <v>2568</v>
      </c>
      <c r="C40" s="2596"/>
      <c r="D40" s="433">
        <v>100</v>
      </c>
      <c r="E40" s="2596"/>
      <c r="F40" s="459">
        <f>SUMIF(118:118,E40,119:119)-SUMIF(118:118,C40,119:119)+100</f>
        <v>100</v>
      </c>
      <c r="G40" s="2596"/>
      <c r="H40" s="433">
        <f>SUMIF(118:118,G40,119:119)-SUMIF(118:118,C40,119:119)+100</f>
        <v>100</v>
      </c>
      <c r="I40" s="2596"/>
      <c r="J40" s="433">
        <f>SUMIF(118:118,I40,119:119)-SUMIF(118:118,C40,119:119)+100</f>
        <v>100</v>
      </c>
      <c r="K40" s="424">
        <v>2</v>
      </c>
      <c r="L40" s="1133"/>
      <c r="M40" s="1124"/>
      <c r="N40" s="1124"/>
      <c r="O40" s="1124"/>
      <c r="P40" s="3193"/>
      <c r="Q40" s="1796" t="str">
        <f t="shared" si="11"/>
        <v>房型</v>
      </c>
      <c r="R40" s="771" t="s">
        <v>21</v>
      </c>
      <c r="S40" s="772">
        <f t="shared" si="12"/>
        <v>100</v>
      </c>
      <c r="T40" s="771" t="s">
        <v>21</v>
      </c>
      <c r="U40" s="772">
        <f t="shared" si="13"/>
        <v>100</v>
      </c>
      <c r="V40" s="771" t="s">
        <v>21</v>
      </c>
      <c r="W40" s="772">
        <f t="shared" si="14"/>
        <v>100</v>
      </c>
      <c r="X40" s="1799"/>
      <c r="Y40" s="3195"/>
      <c r="Z40" s="1800" t="str">
        <f t="shared" si="18"/>
        <v>房型</v>
      </c>
      <c r="AA40" s="1797">
        <f t="shared" si="15"/>
        <v>1</v>
      </c>
      <c r="AB40" s="1797">
        <f t="shared" si="16"/>
        <v>1</v>
      </c>
      <c r="AC40" s="1797">
        <f t="shared" si="17"/>
        <v>1</v>
      </c>
    </row>
    <row r="41" spans="1:29" s="469" customFormat="1" ht="28.5">
      <c r="A41" s="466"/>
      <c r="B41" s="420" t="s">
        <v>2569</v>
      </c>
      <c r="C41" s="467">
        <v>59.58</v>
      </c>
      <c r="D41" s="134">
        <v>100</v>
      </c>
      <c r="E41" s="467" t="s">
        <v>3114</v>
      </c>
      <c r="F41" s="423">
        <f>SUMIF(120:120,E41,121:121)-SUMIF(120:120,C41,121:121)+100</f>
        <v>100</v>
      </c>
      <c r="G41" s="467" t="s">
        <v>3115</v>
      </c>
      <c r="H41" s="134">
        <f>SUMIF(120:120,G41,121:121)-SUMIF(120:120,C41,121:121)+100</f>
        <v>100</v>
      </c>
      <c r="I41" s="467" t="s">
        <v>3170</v>
      </c>
      <c r="J41" s="433">
        <f>SUMIF(120:120,I41,121:121)-SUMIF(120:120,C41,121:121)+100</f>
        <v>100</v>
      </c>
      <c r="K41" s="2584"/>
      <c r="L41" s="1131"/>
      <c r="M41" s="1134"/>
      <c r="N41" s="1134"/>
      <c r="O41" s="1134"/>
      <c r="P41" s="3193"/>
      <c r="Q41" s="773" t="str">
        <f t="shared" si="11"/>
        <v>单套/主力户型建筑面积</v>
      </c>
      <c r="R41" s="774" t="s">
        <v>21</v>
      </c>
      <c r="S41" s="775">
        <f t="shared" si="12"/>
        <v>100</v>
      </c>
      <c r="T41" s="774" t="s">
        <v>21</v>
      </c>
      <c r="U41" s="775">
        <f t="shared" si="13"/>
        <v>100</v>
      </c>
      <c r="V41" s="774" t="s">
        <v>21</v>
      </c>
      <c r="W41" s="775">
        <f t="shared" si="14"/>
        <v>100</v>
      </c>
      <c r="X41" s="776"/>
      <c r="Y41" s="3195"/>
      <c r="Z41" s="777" t="str">
        <f t="shared" si="18"/>
        <v>单套/主力户型建筑面积</v>
      </c>
      <c r="AA41" s="1797">
        <f t="shared" si="15"/>
        <v>1</v>
      </c>
      <c r="AB41" s="1797">
        <f t="shared" si="16"/>
        <v>1</v>
      </c>
      <c r="AC41" s="1797">
        <f t="shared" si="17"/>
        <v>1</v>
      </c>
    </row>
    <row r="42" spans="1:29" ht="15.75" thickBot="1">
      <c r="A42" s="470"/>
      <c r="B42" s="420" t="s">
        <v>2570</v>
      </c>
      <c r="C42" s="2596" t="s">
        <v>3087</v>
      </c>
      <c r="D42" s="433">
        <v>100</v>
      </c>
      <c r="E42" s="2596" t="s">
        <v>3087</v>
      </c>
      <c r="F42" s="459">
        <f>SUMIF(122:122,E42,123:123)-SUMIF(122:122,C42,123:123)+100</f>
        <v>100</v>
      </c>
      <c r="G42" s="2596" t="s">
        <v>3087</v>
      </c>
      <c r="H42" s="433">
        <f>SUMIF(122:122,G42,123:123)-SUMIF(122:122,C42,123:123)+100</f>
        <v>100</v>
      </c>
      <c r="I42" s="2596" t="s">
        <v>3087</v>
      </c>
      <c r="J42" s="433">
        <f>SUMIF(122:122,I42,123:123)-SUMIF(122:122,C42,123:123)+100</f>
        <v>100</v>
      </c>
      <c r="K42" s="424">
        <v>2</v>
      </c>
      <c r="L42" s="1133"/>
      <c r="M42" s="1124"/>
      <c r="N42" s="1124"/>
      <c r="O42" s="1124"/>
      <c r="P42" s="3193"/>
      <c r="Q42" s="1796" t="str">
        <f t="shared" si="11"/>
        <v>内部装修</v>
      </c>
      <c r="R42" s="771" t="s">
        <v>21</v>
      </c>
      <c r="S42" s="772">
        <f t="shared" si="12"/>
        <v>100</v>
      </c>
      <c r="T42" s="771" t="s">
        <v>21</v>
      </c>
      <c r="U42" s="772">
        <f t="shared" si="13"/>
        <v>100</v>
      </c>
      <c r="V42" s="771" t="s">
        <v>21</v>
      </c>
      <c r="W42" s="772">
        <f t="shared" si="14"/>
        <v>100</v>
      </c>
      <c r="X42" s="1799"/>
      <c r="Y42" s="3195"/>
      <c r="Z42" s="1800" t="str">
        <f t="shared" si="18"/>
        <v>内部装修</v>
      </c>
      <c r="AA42" s="1797">
        <f t="shared" si="15"/>
        <v>1</v>
      </c>
      <c r="AB42" s="1797">
        <f t="shared" si="16"/>
        <v>1</v>
      </c>
      <c r="AC42" s="1797">
        <f t="shared" si="17"/>
        <v>1</v>
      </c>
    </row>
    <row r="43" spans="1:29" ht="15.75" hidden="1" thickBot="1">
      <c r="A43" s="470"/>
      <c r="B43" s="420" t="s">
        <v>2571</v>
      </c>
      <c r="C43" s="2596" t="s">
        <v>3071</v>
      </c>
      <c r="D43" s="433">
        <v>100</v>
      </c>
      <c r="E43" s="2596" t="s">
        <v>3071</v>
      </c>
      <c r="F43" s="459">
        <f>SUMIF(124:124,E43,125:125)-SUMIF(124:124,C43,125:125)+100</f>
        <v>100</v>
      </c>
      <c r="G43" s="2596" t="s">
        <v>3071</v>
      </c>
      <c r="H43" s="433">
        <f>SUMIF(124:124,G43,125:125)-SUMIF(124:124,C43,125:125)+100</f>
        <v>100</v>
      </c>
      <c r="I43" s="2596" t="s">
        <v>3071</v>
      </c>
      <c r="J43" s="433">
        <f>SUMIF(124:124,I43,125:125)-SUMIF(124:124,C43,125:125)+100</f>
        <v>100</v>
      </c>
      <c r="K43" s="424">
        <v>2</v>
      </c>
      <c r="L43" s="1133"/>
      <c r="M43" s="1124"/>
      <c r="N43" s="1124"/>
      <c r="O43" s="1124"/>
      <c r="P43" s="3193"/>
      <c r="Q43" s="1796" t="str">
        <f t="shared" si="11"/>
        <v>内部装修维护情况</v>
      </c>
      <c r="R43" s="771" t="s">
        <v>21</v>
      </c>
      <c r="S43" s="772">
        <f t="shared" si="12"/>
        <v>100</v>
      </c>
      <c r="T43" s="771" t="s">
        <v>21</v>
      </c>
      <c r="U43" s="772">
        <f t="shared" si="13"/>
        <v>100</v>
      </c>
      <c r="V43" s="771" t="s">
        <v>21</v>
      </c>
      <c r="W43" s="772">
        <f t="shared" si="14"/>
        <v>100</v>
      </c>
      <c r="X43" s="1799"/>
      <c r="Y43" s="3195"/>
      <c r="Z43" s="1800" t="str">
        <f t="shared" si="18"/>
        <v>内部装修维护情况</v>
      </c>
      <c r="AA43" s="1797">
        <f t="shared" si="15"/>
        <v>1</v>
      </c>
      <c r="AB43" s="1797">
        <f t="shared" si="16"/>
        <v>1</v>
      </c>
      <c r="AC43" s="1797">
        <f t="shared" si="17"/>
        <v>1</v>
      </c>
    </row>
    <row r="44" spans="1:29" s="115" customFormat="1" ht="15" hidden="1">
      <c r="A44" s="471"/>
      <c r="B44" s="1371"/>
      <c r="C44" s="467"/>
      <c r="D44" s="134">
        <v>100</v>
      </c>
      <c r="E44" s="467"/>
      <c r="F44" s="423">
        <f>SUMIF(126:126,E44,127:127)-SUMIF(126:126,C44,127:127)+100</f>
        <v>100</v>
      </c>
      <c r="G44" s="467"/>
      <c r="H44" s="134">
        <f>SUMIF(126:126,G44,127:127)-SUMIF(126:126,C44,127:127)+100</f>
        <v>100</v>
      </c>
      <c r="I44" s="467"/>
      <c r="J44" s="134">
        <f>SUMIF(126:126,I44,127:127)-SUMIF(126:126,C44,127:127)+100</f>
        <v>100</v>
      </c>
      <c r="K44" s="2584"/>
      <c r="L44" s="1125"/>
      <c r="M44" s="1126"/>
      <c r="N44" s="1126"/>
      <c r="O44" s="1126"/>
      <c r="P44" s="3193"/>
      <c r="Q44" s="1781">
        <f t="shared" si="11"/>
        <v>0</v>
      </c>
      <c r="R44" s="767" t="s">
        <v>21</v>
      </c>
      <c r="S44" s="768">
        <f t="shared" si="12"/>
        <v>100</v>
      </c>
      <c r="T44" s="767" t="s">
        <v>21</v>
      </c>
      <c r="U44" s="768">
        <f t="shared" si="13"/>
        <v>100</v>
      </c>
      <c r="V44" s="767" t="s">
        <v>21</v>
      </c>
      <c r="W44" s="768">
        <f t="shared" si="14"/>
        <v>100</v>
      </c>
      <c r="X44" s="769"/>
      <c r="Y44" s="3195"/>
      <c r="Z44" s="55">
        <f t="shared" si="18"/>
        <v>0</v>
      </c>
      <c r="AA44" s="770">
        <f t="shared" si="15"/>
        <v>1</v>
      </c>
      <c r="AB44" s="770">
        <f t="shared" si="16"/>
        <v>1</v>
      </c>
      <c r="AC44" s="770">
        <f t="shared" si="17"/>
        <v>1</v>
      </c>
    </row>
    <row r="45" spans="1:29" ht="15" hidden="1">
      <c r="A45" s="470"/>
      <c r="B45" s="1371"/>
      <c r="C45" s="432"/>
      <c r="D45" s="433">
        <v>100</v>
      </c>
      <c r="E45" s="432"/>
      <c r="F45" s="459">
        <f>SUMIF(128:128,E45,129:129)-SUMIF(128:128,C45,129:129)+100</f>
        <v>100</v>
      </c>
      <c r="G45" s="432"/>
      <c r="H45" s="433">
        <f>SUMIF(128:128,G45,129:129)-SUMIF(128:128,C45,129:129)+100</f>
        <v>100</v>
      </c>
      <c r="I45" s="432"/>
      <c r="J45" s="433">
        <f>SUMIF(128:128,I45,129:129)-SUMIF(128:128,C45,129:129)+100</f>
        <v>100</v>
      </c>
      <c r="K45" s="2584"/>
      <c r="L45" s="1133"/>
      <c r="M45" s="1124"/>
      <c r="N45" s="1124"/>
      <c r="O45" s="1124"/>
      <c r="P45" s="3193"/>
      <c r="Q45" s="1796">
        <f t="shared" si="11"/>
        <v>0</v>
      </c>
      <c r="R45" s="771" t="s">
        <v>21</v>
      </c>
      <c r="S45" s="772">
        <f t="shared" si="12"/>
        <v>100</v>
      </c>
      <c r="T45" s="771" t="s">
        <v>21</v>
      </c>
      <c r="U45" s="772">
        <f t="shared" si="13"/>
        <v>100</v>
      </c>
      <c r="V45" s="771" t="s">
        <v>21</v>
      </c>
      <c r="W45" s="772">
        <f t="shared" si="14"/>
        <v>100</v>
      </c>
      <c r="X45" s="1799"/>
      <c r="Y45" s="3195"/>
      <c r="Z45" s="1800">
        <f t="shared" si="18"/>
        <v>0</v>
      </c>
      <c r="AA45" s="1797">
        <f t="shared" si="15"/>
        <v>1</v>
      </c>
      <c r="AB45" s="1797">
        <f t="shared" si="16"/>
        <v>1</v>
      </c>
      <c r="AC45" s="1797">
        <f t="shared" si="17"/>
        <v>1</v>
      </c>
    </row>
    <row r="46" spans="1:29" ht="15.75" hidden="1" thickBot="1">
      <c r="A46" s="476"/>
      <c r="B46" s="2585"/>
      <c r="C46" s="435"/>
      <c r="D46" s="436">
        <v>100</v>
      </c>
      <c r="E46" s="435"/>
      <c r="F46" s="437">
        <f>SUMIF(130:130,E46,131:131)-SUMIF(130:130,C46,131:131)+100</f>
        <v>100</v>
      </c>
      <c r="G46" s="435"/>
      <c r="H46" s="436">
        <f>SUMIF(130:130,G46,131:131)-SUMIF(130:130,C46,131:131)+100</f>
        <v>100</v>
      </c>
      <c r="I46" s="435"/>
      <c r="J46" s="436">
        <f>SUMIF(130:130,I46,131:131)-SUMIF(130:130,C46,131:131)+100</f>
        <v>100</v>
      </c>
      <c r="K46" s="2584"/>
      <c r="L46" s="1133"/>
      <c r="M46" s="1124"/>
      <c r="N46" s="1124"/>
      <c r="O46" s="1124"/>
      <c r="P46" s="3194"/>
      <c r="Q46" s="1796">
        <f t="shared" si="11"/>
        <v>0</v>
      </c>
      <c r="R46" s="771" t="s">
        <v>20</v>
      </c>
      <c r="S46" s="772">
        <f t="shared" si="12"/>
        <v>100</v>
      </c>
      <c r="T46" s="771" t="s">
        <v>20</v>
      </c>
      <c r="U46" s="772">
        <f t="shared" si="13"/>
        <v>100</v>
      </c>
      <c r="V46" s="771" t="s">
        <v>20</v>
      </c>
      <c r="W46" s="772">
        <f t="shared" si="14"/>
        <v>100</v>
      </c>
      <c r="X46" s="1799"/>
      <c r="Y46" s="3196"/>
      <c r="Z46" s="1800">
        <f t="shared" si="18"/>
        <v>0</v>
      </c>
      <c r="AA46" s="1797">
        <f t="shared" si="15"/>
        <v>1</v>
      </c>
      <c r="AB46" s="1797">
        <f t="shared" si="16"/>
        <v>1</v>
      </c>
      <c r="AC46" s="1797">
        <f t="shared" si="17"/>
        <v>1</v>
      </c>
    </row>
    <row r="47" spans="1:29" ht="15">
      <c r="A47" s="477" t="s">
        <v>2572</v>
      </c>
      <c r="B47" s="478"/>
      <c r="C47" s="1392" t="s">
        <v>19</v>
      </c>
      <c r="D47" s="1393"/>
      <c r="E47" s="1394">
        <v>32000</v>
      </c>
      <c r="F47" s="1395"/>
      <c r="G47" s="1396">
        <f>ROUND((25000+30000)/2,0)</f>
        <v>27500</v>
      </c>
      <c r="H47" s="1397"/>
      <c r="I47" s="1394">
        <v>26000</v>
      </c>
      <c r="J47" s="1397"/>
      <c r="K47" s="2601"/>
      <c r="L47" s="1136"/>
      <c r="M47" s="1137"/>
      <c r="N47" s="1124"/>
      <c r="O47" s="1137"/>
      <c r="P47" s="3188" t="str">
        <f>A47</f>
        <v>成交单价（元/平方米）</v>
      </c>
      <c r="Q47" s="3188"/>
      <c r="R47" s="3189">
        <f>E47</f>
        <v>32000</v>
      </c>
      <c r="S47" s="3189"/>
      <c r="T47" s="3189">
        <f>G47</f>
        <v>27500</v>
      </c>
      <c r="U47" s="3189"/>
      <c r="V47" s="3189">
        <f>I47</f>
        <v>26000</v>
      </c>
      <c r="W47" s="3189"/>
      <c r="X47" s="756"/>
      <c r="Y47" s="778"/>
      <c r="Z47" s="756"/>
      <c r="AA47" s="756"/>
      <c r="AB47" s="756"/>
      <c r="AC47" s="756"/>
    </row>
    <row r="48" spans="1:29" ht="15.75" thickBot="1">
      <c r="A48" s="484" t="s">
        <v>2573</v>
      </c>
      <c r="B48" s="485"/>
      <c r="C48" s="1398">
        <f>R49</f>
        <v>25724</v>
      </c>
      <c r="D48" s="1399"/>
      <c r="E48" s="1400">
        <f>R48</f>
        <v>27997</v>
      </c>
      <c r="F48" s="1400"/>
      <c r="G48" s="1398">
        <f>T48</f>
        <v>25045</v>
      </c>
      <c r="H48" s="1399"/>
      <c r="I48" s="1400">
        <f>V48</f>
        <v>24130</v>
      </c>
      <c r="J48" s="1399"/>
      <c r="K48" s="2602"/>
      <c r="L48" s="1136"/>
      <c r="M48" s="1137"/>
      <c r="N48" s="1137"/>
      <c r="O48" s="1137"/>
      <c r="P48" s="3188" t="str">
        <f>A48</f>
        <v>比较价值（元/平方米）</v>
      </c>
      <c r="Q48" s="3188"/>
      <c r="R48" s="3189">
        <f>IF(F1="售价",ROUND(PRODUCT(R47,AA7:AA46),0),ROUND(PRODUCT(R47,AA7:AA46),1))</f>
        <v>27997</v>
      </c>
      <c r="S48" s="3189"/>
      <c r="T48" s="3189">
        <f>IF(F1="售价",ROUND(PRODUCT(T47,AB7:AB46),0),ROUND(PRODUCT(T47,AB7:AB46),1))</f>
        <v>25045</v>
      </c>
      <c r="U48" s="3189"/>
      <c r="V48" s="3189">
        <f>IF(F1="售价",ROUND(PRODUCT(V47,AC7:AC46),0),ROUND(PRODUCT(V47,AC7:AC46),1))</f>
        <v>24130</v>
      </c>
      <c r="W48" s="3189"/>
      <c r="X48" s="756"/>
      <c r="Y48" s="756"/>
      <c r="Z48" s="756"/>
      <c r="AA48" s="756"/>
      <c r="AB48" s="756"/>
      <c r="AC48" s="756"/>
    </row>
    <row r="49" spans="1:29" ht="15.75" thickBot="1">
      <c r="A49" s="490" t="s">
        <v>2574</v>
      </c>
      <c r="B49" s="491"/>
      <c r="C49" s="1401">
        <f>R49</f>
        <v>25724</v>
      </c>
      <c r="D49" s="1402"/>
      <c r="E49" s="1402"/>
      <c r="F49" s="1402"/>
      <c r="G49" s="1402"/>
      <c r="H49" s="1402"/>
      <c r="I49" s="1402"/>
      <c r="J49" s="1402"/>
      <c r="K49" s="2603"/>
      <c r="L49" s="1136"/>
      <c r="M49" s="1137"/>
      <c r="N49" s="1137"/>
      <c r="O49" s="1137"/>
      <c r="P49" s="3185" t="str">
        <f>A49</f>
        <v>估价对象XX用房的比较价值（楼面单价，元/平方米）</v>
      </c>
      <c r="Q49" s="3186"/>
      <c r="R49" s="3187">
        <f>IF(F1="售价",ROUND(AVERAGE(R48:V48),0),ROUND(AVERAGE(R48:V48),1))</f>
        <v>25724</v>
      </c>
      <c r="S49" s="3187"/>
      <c r="T49" s="3187"/>
      <c r="U49" s="3187"/>
      <c r="V49" s="3187"/>
      <c r="W49" s="3187"/>
      <c r="X49" s="756"/>
      <c r="Y49" s="756"/>
      <c r="Z49" s="756"/>
      <c r="AA49" s="756"/>
      <c r="AB49" s="756"/>
      <c r="AC49" s="756"/>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2575</v>
      </c>
      <c r="D52" s="496"/>
      <c r="E52" s="497">
        <f>IF(E47&lt;E48,E48/E47-1,E47/E48-1)</f>
        <v>0.14297960495767414</v>
      </c>
      <c r="F52" s="498" t="str">
        <f>IF(OR(E52&gt;=0.3,E52&lt;=-0.3),"超过30%","")</f>
        <v/>
      </c>
      <c r="G52" s="497">
        <f>IF(G47&lt;G48,G48/G47-1,G47/G48-1)</f>
        <v>9.8023557596326638E-2</v>
      </c>
      <c r="H52" s="498" t="str">
        <f>IF(OR(G52&gt;=0.3,G52&lt;=-0.3),"超过30%","")</f>
        <v/>
      </c>
      <c r="I52" s="497">
        <f>IF(I47&lt;I48,I48/I47-1,I47/I48-1)</f>
        <v>7.7496891835888926E-2</v>
      </c>
      <c r="J52" s="498" t="str">
        <f>IF(OR(I52&gt;=0.3,I52&lt;=-0.3),"超过30%","")</f>
        <v/>
      </c>
      <c r="K52" s="1098"/>
      <c r="L52" s="1099"/>
      <c r="M52" s="1137"/>
      <c r="N52" s="1137"/>
      <c r="O52" s="1137"/>
    </row>
    <row r="53" spans="1:29" ht="13.5" customHeight="1">
      <c r="A53" s="1137"/>
      <c r="B53" s="1137"/>
      <c r="C53" s="495" t="s">
        <v>2576</v>
      </c>
      <c r="D53" s="499"/>
      <c r="E53" s="497">
        <f>IF(E48&lt;G48,G48/E48-1,E48/G48-1)</f>
        <v>0.11786783789179478</v>
      </c>
      <c r="F53" s="498" t="str">
        <f>IF(OR(E53&gt;=0.2,E53&lt;=-0.2),"超过20%","")</f>
        <v/>
      </c>
      <c r="G53" s="497">
        <f>IF(G48&lt;I48,I48/G48-1,G48/I48-1)</f>
        <v>3.7919602154993681E-2</v>
      </c>
      <c r="H53" s="498" t="str">
        <f>IF(OR(G53&gt;=0.2,G53&lt;=-0.2),"超过20%","")</f>
        <v/>
      </c>
      <c r="I53" s="497">
        <f>IF(I48&lt;E48,E48/I48-1,I48/E48-1)</f>
        <v>0.16025694156651471</v>
      </c>
      <c r="J53" s="498" t="str">
        <f>IF(OR(I53&gt;=0.2,I53&lt;=-0.2),"超过20%","")</f>
        <v/>
      </c>
      <c r="K53" s="1098"/>
      <c r="L53" s="1099"/>
      <c r="M53" s="1137"/>
      <c r="N53" s="1137"/>
      <c r="O53" s="1137"/>
    </row>
    <row r="54" spans="1:29" s="500" customFormat="1" ht="13.5" customHeight="1">
      <c r="A54" s="1138"/>
      <c r="B54" s="1138"/>
      <c r="C54" s="495" t="s">
        <v>2577</v>
      </c>
      <c r="D54" s="499"/>
      <c r="E54" s="497">
        <f>IF(E47&lt;G47,G47/E47-1,E47/G47-1)</f>
        <v>0.16363636363636358</v>
      </c>
      <c r="F54" s="498" t="str">
        <f>IF(OR(E54&gt;=0.3,E54&lt;=-0.3),"超过30%","")</f>
        <v/>
      </c>
      <c r="G54" s="497">
        <f>IF(G47&lt;I47,I47/G47-1,G47/I47-1)</f>
        <v>5.7692307692307709E-2</v>
      </c>
      <c r="H54" s="498" t="str">
        <f>IF(OR(G54&gt;=0.3,G54&lt;=-0.3),"超过30%","")</f>
        <v/>
      </c>
      <c r="I54" s="497">
        <f>IF(I47&lt;E47,E47/I47-1,I47/E47-1)</f>
        <v>0.23076923076923084</v>
      </c>
      <c r="J54" s="498" t="str">
        <f>IF(OR(I54&gt;=0.3,I54&lt;=-0.3),"超过30%","")</f>
        <v/>
      </c>
      <c r="K54" s="1141"/>
      <c r="L54" s="1142"/>
      <c r="M54" s="1138"/>
      <c r="N54" s="1138"/>
      <c r="O54" s="1138"/>
      <c r="P54" s="2605"/>
    </row>
    <row r="55" spans="1:29" s="500" customFormat="1">
      <c r="A55" s="1138"/>
      <c r="B55" s="1139"/>
      <c r="C55" s="1143"/>
      <c r="D55" s="1138"/>
      <c r="E55" s="1138"/>
      <c r="F55" s="1138"/>
      <c r="G55" s="1138"/>
      <c r="H55" s="1138"/>
      <c r="I55" s="1138"/>
      <c r="J55" s="1138"/>
      <c r="K55" s="1141"/>
      <c r="L55" s="1142"/>
      <c r="M55" s="1138"/>
      <c r="N55" s="1138"/>
      <c r="O55" s="1138"/>
      <c r="P55" s="2605"/>
    </row>
    <row r="56" spans="1:29">
      <c r="A56" s="1137"/>
      <c r="B56" s="1139"/>
      <c r="C56" s="1143"/>
      <c r="D56" s="1137"/>
      <c r="E56" s="1137"/>
      <c r="F56" s="1137"/>
      <c r="G56" s="1137"/>
      <c r="H56" s="1137"/>
      <c r="I56" s="1137"/>
      <c r="J56" s="1137"/>
      <c r="K56" s="1098"/>
      <c r="L56" s="1099"/>
      <c r="M56" s="1137"/>
      <c r="N56" s="1137"/>
      <c r="O56" s="1137"/>
    </row>
    <row r="57" spans="1:29" ht="21.75" thickBot="1">
      <c r="A57" s="760" t="s">
        <v>2578</v>
      </c>
      <c r="B57" s="756"/>
      <c r="C57" s="761"/>
      <c r="D57" s="761"/>
      <c r="E57" s="761"/>
      <c r="F57" s="762"/>
      <c r="G57" s="762"/>
      <c r="H57" s="761"/>
      <c r="I57" s="761"/>
      <c r="J57" s="761"/>
      <c r="K57" s="1153"/>
      <c r="L57" s="1154"/>
      <c r="M57" s="1152"/>
      <c r="N57" s="1152"/>
      <c r="O57" s="1152"/>
      <c r="P57" s="2606"/>
      <c r="Q57" s="502"/>
    </row>
    <row r="58" spans="1:29" s="506" customFormat="1" ht="15">
      <c r="A58" s="503" t="s">
        <v>2579</v>
      </c>
      <c r="B58" s="504"/>
      <c r="C58" s="1562" t="str">
        <f>YEAR(C7)&amp;"-"&amp;MONTH(C7)</f>
        <v>2017-11</v>
      </c>
      <c r="D58" s="1561">
        <f>EDATE(C58,-1)</f>
        <v>43009</v>
      </c>
      <c r="E58" s="1561">
        <f>EDATE(D58,-1)</f>
        <v>42979</v>
      </c>
      <c r="F58" s="1561">
        <f t="shared" ref="F58:O58" si="19">EDATE(E58,-1)</f>
        <v>42948</v>
      </c>
      <c r="G58" s="1561">
        <f t="shared" si="19"/>
        <v>42917</v>
      </c>
      <c r="H58" s="1561">
        <f t="shared" si="19"/>
        <v>42887</v>
      </c>
      <c r="I58" s="1561">
        <f t="shared" si="19"/>
        <v>42856</v>
      </c>
      <c r="J58" s="1561">
        <f t="shared" si="19"/>
        <v>42826</v>
      </c>
      <c r="K58" s="1561">
        <f t="shared" si="19"/>
        <v>42795</v>
      </c>
      <c r="L58" s="1561">
        <f t="shared" si="19"/>
        <v>42767</v>
      </c>
      <c r="M58" s="1561">
        <f t="shared" si="19"/>
        <v>42736</v>
      </c>
      <c r="N58" s="1561">
        <f t="shared" si="19"/>
        <v>42705</v>
      </c>
      <c r="O58" s="1561">
        <f t="shared" si="19"/>
        <v>42675</v>
      </c>
      <c r="P58" s="1556"/>
    </row>
    <row r="59" spans="1:29" s="115" customFormat="1" ht="15">
      <c r="A59" s="507"/>
      <c r="B59" s="2607"/>
      <c r="C59" s="1559">
        <v>100</v>
      </c>
      <c r="D59" s="509">
        <v>99</v>
      </c>
      <c r="E59" s="510">
        <v>98</v>
      </c>
      <c r="F59" s="509">
        <v>97</v>
      </c>
      <c r="G59" s="510">
        <v>96</v>
      </c>
      <c r="H59" s="509">
        <v>95</v>
      </c>
      <c r="I59" s="510">
        <v>94</v>
      </c>
      <c r="J59" s="509">
        <v>93</v>
      </c>
      <c r="K59" s="510">
        <v>92</v>
      </c>
      <c r="L59" s="509">
        <v>91</v>
      </c>
      <c r="M59" s="510">
        <v>90</v>
      </c>
      <c r="N59" s="509">
        <v>89</v>
      </c>
      <c r="O59" s="510">
        <v>88</v>
      </c>
      <c r="P59" s="2608"/>
    </row>
    <row r="60" spans="1:29" s="115" customFormat="1" ht="15.75" thickBot="1">
      <c r="A60" s="513" t="s">
        <v>2580</v>
      </c>
      <c r="B60" s="514"/>
      <c r="C60" s="515"/>
      <c r="D60" s="516"/>
      <c r="E60" s="516"/>
      <c r="F60" s="516"/>
      <c r="G60" s="516"/>
      <c r="H60" s="516"/>
      <c r="I60" s="516"/>
      <c r="J60" s="516"/>
      <c r="K60" s="516"/>
      <c r="L60" s="516"/>
      <c r="M60" s="517"/>
      <c r="N60" s="516"/>
      <c r="O60" s="517"/>
      <c r="P60" s="2608"/>
      <c r="Q60" s="502"/>
    </row>
    <row r="61" spans="1:29" s="115" customFormat="1" ht="15">
      <c r="A61" s="519" t="s">
        <v>2581</v>
      </c>
      <c r="B61" s="508"/>
      <c r="C61" s="520" t="s">
        <v>2582</v>
      </c>
      <c r="D61" s="521"/>
      <c r="E61" s="521"/>
      <c r="F61" s="521"/>
      <c r="G61" s="521"/>
      <c r="H61" s="521"/>
      <c r="I61" s="521"/>
      <c r="J61" s="521"/>
      <c r="K61" s="521"/>
      <c r="L61" s="522"/>
      <c r="M61" s="523"/>
      <c r="N61" s="1144"/>
      <c r="O61" s="1144"/>
      <c r="P61" s="2609"/>
      <c r="Q61" s="502"/>
    </row>
    <row r="62" spans="1:29" s="115" customFormat="1" ht="15.75" thickBot="1">
      <c r="A62" s="519"/>
      <c r="B62" s="508"/>
      <c r="C62" s="509">
        <v>100</v>
      </c>
      <c r="D62" s="510"/>
      <c r="E62" s="510"/>
      <c r="F62" s="510"/>
      <c r="G62" s="510"/>
      <c r="H62" s="510"/>
      <c r="I62" s="510"/>
      <c r="J62" s="510"/>
      <c r="K62" s="510"/>
      <c r="L62" s="510"/>
      <c r="M62" s="512"/>
      <c r="N62" s="1144"/>
      <c r="O62" s="1144"/>
      <c r="P62" s="2608"/>
      <c r="Q62" s="502"/>
    </row>
    <row r="63" spans="1:29">
      <c r="A63" s="525" t="s">
        <v>2583</v>
      </c>
      <c r="B63" s="526" t="s">
        <v>2549</v>
      </c>
      <c r="C63" s="527" t="str">
        <f>C9</f>
        <v>公寓</v>
      </c>
      <c r="D63" s="528"/>
      <c r="E63" s="528"/>
      <c r="F63" s="528"/>
      <c r="G63" s="528"/>
      <c r="H63" s="528"/>
      <c r="I63" s="528"/>
      <c r="J63" s="528"/>
      <c r="K63" s="529"/>
      <c r="L63" s="530"/>
      <c r="M63" s="531"/>
      <c r="N63" s="1145"/>
      <c r="O63" s="1145"/>
      <c r="P63" s="2610"/>
      <c r="Q63" s="502"/>
    </row>
    <row r="64" spans="1:29" ht="15.75" thickBot="1">
      <c r="A64" s="532"/>
      <c r="B64" s="533"/>
      <c r="C64" s="534">
        <v>100</v>
      </c>
      <c r="D64" s="534"/>
      <c r="E64" s="534"/>
      <c r="F64" s="534"/>
      <c r="G64" s="534"/>
      <c r="H64" s="534"/>
      <c r="I64" s="534"/>
      <c r="J64" s="534"/>
      <c r="K64" s="534"/>
      <c r="L64" s="534"/>
      <c r="M64" s="535"/>
      <c r="N64" s="1146"/>
      <c r="O64" s="1146"/>
      <c r="P64" s="2610"/>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45"/>
      <c r="O65" s="1145"/>
      <c r="P65" s="2610"/>
      <c r="Q65" s="502"/>
    </row>
    <row r="66" spans="1:17" ht="15.75" thickBot="1">
      <c r="A66" s="532"/>
      <c r="B66" s="541"/>
      <c r="C66" s="542">
        <v>100</v>
      </c>
      <c r="D66" s="542">
        <f t="shared" ref="D66:I66" si="20">C66-$K10</f>
        <v>97</v>
      </c>
      <c r="E66" s="542">
        <f t="shared" si="20"/>
        <v>94</v>
      </c>
      <c r="F66" s="542">
        <f t="shared" si="20"/>
        <v>91</v>
      </c>
      <c r="G66" s="542">
        <f t="shared" si="20"/>
        <v>88</v>
      </c>
      <c r="H66" s="542">
        <f t="shared" si="20"/>
        <v>85</v>
      </c>
      <c r="I66" s="542">
        <f t="shared" si="20"/>
        <v>82</v>
      </c>
      <c r="J66" s="542"/>
      <c r="K66" s="542"/>
      <c r="L66" s="542"/>
      <c r="M66" s="543"/>
      <c r="N66" s="1146"/>
      <c r="O66" s="1146"/>
      <c r="P66" s="2610"/>
      <c r="Q66" s="502"/>
    </row>
    <row r="67" spans="1:17" ht="15.75" thickTop="1">
      <c r="A67" s="532"/>
      <c r="B67" s="544" t="s">
        <v>2553</v>
      </c>
      <c r="C67" s="545" t="str">
        <f>C68&amp;"（含）"&amp;"-"&amp;D68</f>
        <v>2（含）-3</v>
      </c>
      <c r="D67" s="545" t="str">
        <f t="shared" ref="D67:L67" si="21">D68&amp;"（含）"&amp;"-"&amp;E68</f>
        <v>3（含）-4</v>
      </c>
      <c r="E67" s="545" t="str">
        <f t="shared" si="21"/>
        <v>4（含）-5</v>
      </c>
      <c r="F67" s="545" t="str">
        <f t="shared" si="21"/>
        <v>5（含）-6</v>
      </c>
      <c r="G67" s="545" t="str">
        <f t="shared" si="21"/>
        <v>6（含）-7</v>
      </c>
      <c r="H67" s="545" t="str">
        <f t="shared" si="21"/>
        <v>7（含）-8</v>
      </c>
      <c r="I67" s="545" t="str">
        <f t="shared" si="21"/>
        <v>8（含）-9</v>
      </c>
      <c r="J67" s="545" t="str">
        <f t="shared" si="21"/>
        <v>9（含）-10</v>
      </c>
      <c r="K67" s="545" t="str">
        <f>K68&amp;"（含）"&amp;"-"&amp;L68</f>
        <v>10（含）-11</v>
      </c>
      <c r="L67" s="545" t="str">
        <f t="shared" si="21"/>
        <v>11（含）-12</v>
      </c>
      <c r="M67" s="446" t="str">
        <f>M68&amp;"（含）"&amp;"-"&amp;P68</f>
        <v>12（含）-</v>
      </c>
      <c r="N67" s="1146"/>
      <c r="O67" s="1146"/>
      <c r="P67" s="2610"/>
      <c r="Q67" s="502"/>
    </row>
    <row r="68" spans="1:17" ht="15">
      <c r="A68" s="532"/>
      <c r="B68" s="546"/>
      <c r="C68" s="547">
        <v>2</v>
      </c>
      <c r="D68" s="547">
        <v>3</v>
      </c>
      <c r="E68" s="547">
        <v>4</v>
      </c>
      <c r="F68" s="547">
        <v>5</v>
      </c>
      <c r="G68" s="547">
        <v>6</v>
      </c>
      <c r="H68" s="547">
        <v>7</v>
      </c>
      <c r="I68" s="547">
        <v>8</v>
      </c>
      <c r="J68" s="547">
        <v>9</v>
      </c>
      <c r="K68" s="548">
        <v>10</v>
      </c>
      <c r="L68" s="549">
        <v>11</v>
      </c>
      <c r="M68" s="550">
        <v>12</v>
      </c>
      <c r="N68" s="1145"/>
      <c r="O68" s="1145"/>
      <c r="P68" s="2610"/>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6"/>
      <c r="O69" s="1146"/>
      <c r="P69" s="2610"/>
      <c r="Q69" s="502"/>
    </row>
    <row r="70" spans="1:17" s="469" customFormat="1" ht="15.75" thickTop="1">
      <c r="A70" s="551"/>
      <c r="B70" s="536">
        <f>B12</f>
        <v>0</v>
      </c>
      <c r="C70" s="552"/>
      <c r="D70" s="552"/>
      <c r="E70" s="552"/>
      <c r="F70" s="552"/>
      <c r="G70" s="552"/>
      <c r="H70" s="553"/>
      <c r="I70" s="553"/>
      <c r="J70" s="553"/>
      <c r="K70" s="553"/>
      <c r="L70" s="554"/>
      <c r="M70" s="555"/>
      <c r="N70" s="1147"/>
      <c r="O70" s="1147"/>
      <c r="P70" s="2611"/>
      <c r="Q70" s="557"/>
    </row>
    <row r="71" spans="1:17" s="469" customFormat="1" ht="15.75" thickBot="1">
      <c r="A71" s="551"/>
      <c r="B71" s="541"/>
      <c r="C71" s="558"/>
      <c r="D71" s="534"/>
      <c r="E71" s="534"/>
      <c r="F71" s="534"/>
      <c r="G71" s="534"/>
      <c r="H71" s="534"/>
      <c r="I71" s="534"/>
      <c r="J71" s="534"/>
      <c r="K71" s="534"/>
      <c r="L71" s="534"/>
      <c r="M71" s="535"/>
      <c r="N71" s="1146"/>
      <c r="O71" s="1146"/>
      <c r="P71" s="2611"/>
      <c r="Q71" s="557"/>
    </row>
    <row r="72" spans="1:17" s="469" customFormat="1" ht="15.75" thickTop="1">
      <c r="A72" s="551"/>
      <c r="B72" s="536">
        <f>B13</f>
        <v>0</v>
      </c>
      <c r="C72" s="552"/>
      <c r="D72" s="552"/>
      <c r="E72" s="552"/>
      <c r="F72" s="552"/>
      <c r="G72" s="552"/>
      <c r="H72" s="553"/>
      <c r="I72" s="553"/>
      <c r="J72" s="553"/>
      <c r="K72" s="553"/>
      <c r="L72" s="554"/>
      <c r="M72" s="555"/>
      <c r="N72" s="1147"/>
      <c r="O72" s="1147"/>
      <c r="P72" s="2612"/>
      <c r="Q72" s="559"/>
    </row>
    <row r="73" spans="1:17" s="469" customFormat="1" ht="15.75" thickBot="1">
      <c r="A73" s="551"/>
      <c r="B73" s="541"/>
      <c r="C73" s="558"/>
      <c r="D73" s="558"/>
      <c r="E73" s="558"/>
      <c r="F73" s="558"/>
      <c r="G73" s="558"/>
      <c r="H73" s="560"/>
      <c r="I73" s="560"/>
      <c r="J73" s="560"/>
      <c r="K73" s="560"/>
      <c r="L73" s="560"/>
      <c r="M73" s="561"/>
      <c r="N73" s="1147"/>
      <c r="O73" s="1147"/>
      <c r="P73" s="2611"/>
      <c r="Q73" s="557"/>
    </row>
    <row r="74" spans="1:17" s="469" customFormat="1" ht="15.75" thickTop="1">
      <c r="A74" s="551"/>
      <c r="B74" s="544">
        <f>B14</f>
        <v>0</v>
      </c>
      <c r="C74" s="552"/>
      <c r="D74" s="552"/>
      <c r="E74" s="552"/>
      <c r="F74" s="552"/>
      <c r="G74" s="521"/>
      <c r="H74" s="562"/>
      <c r="I74" s="562"/>
      <c r="J74" s="562"/>
      <c r="K74" s="562"/>
      <c r="L74" s="563"/>
      <c r="M74" s="564"/>
      <c r="N74" s="1147"/>
      <c r="O74" s="1147"/>
      <c r="P74" s="2613"/>
      <c r="Q74" s="557"/>
    </row>
    <row r="75" spans="1:17" s="469" customFormat="1" ht="15.75" thickBot="1">
      <c r="A75" s="566"/>
      <c r="B75" s="567"/>
      <c r="C75" s="568"/>
      <c r="D75" s="568"/>
      <c r="E75" s="568"/>
      <c r="F75" s="568"/>
      <c r="G75" s="568"/>
      <c r="H75" s="569"/>
      <c r="I75" s="569"/>
      <c r="J75" s="569"/>
      <c r="K75" s="569"/>
      <c r="L75" s="569"/>
      <c r="M75" s="570"/>
      <c r="N75" s="1147"/>
      <c r="O75" s="1147"/>
      <c r="P75" s="2611"/>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45"/>
      <c r="O76" s="1145"/>
      <c r="P76" s="2614"/>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6"/>
      <c r="O77" s="1146"/>
      <c r="P77" s="2610"/>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45"/>
      <c r="O78" s="1145"/>
      <c r="P78" s="2610"/>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6"/>
      <c r="O79" s="1146"/>
      <c r="P79" s="2610"/>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45"/>
      <c r="O80" s="1145"/>
      <c r="P80" s="2610"/>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6"/>
      <c r="O81" s="1146"/>
      <c r="P81" s="2610"/>
      <c r="Q81" s="502"/>
    </row>
    <row r="82" spans="1:17" ht="15.75" thickTop="1">
      <c r="A82" s="532"/>
      <c r="B82" s="544" t="s">
        <v>2095</v>
      </c>
      <c r="C82" s="537" t="s">
        <v>2599</v>
      </c>
      <c r="D82" s="537" t="s">
        <v>2600</v>
      </c>
      <c r="E82" s="537" t="s">
        <v>2601</v>
      </c>
      <c r="F82" s="537" t="s">
        <v>2602</v>
      </c>
      <c r="G82" s="537" t="s">
        <v>2603</v>
      </c>
      <c r="H82" s="537"/>
      <c r="I82" s="537"/>
      <c r="J82" s="537"/>
      <c r="K82" s="537"/>
      <c r="L82" s="537"/>
      <c r="M82" s="1367"/>
      <c r="N82" s="1146"/>
      <c r="O82" s="1146"/>
      <c r="P82" s="2610"/>
      <c r="Q82" s="502"/>
    </row>
    <row r="83" spans="1:17" ht="15.75" thickBot="1">
      <c r="A83" s="532"/>
      <c r="B83" s="544"/>
      <c r="C83" s="657">
        <v>100</v>
      </c>
      <c r="D83" s="657">
        <f>C83-$K21</f>
        <v>98</v>
      </c>
      <c r="E83" s="657">
        <f t="shared" ref="E83:G83" si="23">D83-$K21</f>
        <v>96</v>
      </c>
      <c r="F83" s="657">
        <f t="shared" si="23"/>
        <v>94</v>
      </c>
      <c r="G83" s="657">
        <f t="shared" si="23"/>
        <v>92</v>
      </c>
      <c r="H83" s="657"/>
      <c r="I83" s="657"/>
      <c r="J83" s="657"/>
      <c r="K83" s="657"/>
      <c r="L83" s="657"/>
      <c r="M83" s="448"/>
      <c r="N83" s="1146"/>
      <c r="O83" s="1146"/>
      <c r="P83" s="2610"/>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45"/>
      <c r="O84" s="1145"/>
      <c r="P84" s="2610"/>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6"/>
      <c r="O85" s="1146"/>
      <c r="P85" s="2610"/>
      <c r="Q85" s="502"/>
    </row>
    <row r="86" spans="1:17" s="115" customFormat="1" ht="15.75" thickTop="1">
      <c r="A86" s="577"/>
      <c r="B86" s="536" t="s">
        <v>2605</v>
      </c>
      <c r="C86" s="2932"/>
      <c r="D86" s="2932"/>
      <c r="E86" s="2932"/>
      <c r="F86" s="552"/>
      <c r="G86" s="552"/>
      <c r="H86" s="552"/>
      <c r="I86" s="552"/>
      <c r="J86" s="552"/>
      <c r="K86" s="552"/>
      <c r="L86" s="578"/>
      <c r="M86" s="579"/>
      <c r="N86" s="1144"/>
      <c r="O86" s="1144"/>
      <c r="P86" s="2610"/>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0"/>
      <c r="Q87" s="502"/>
    </row>
    <row r="88" spans="1:17" s="115" customFormat="1" ht="15.75" thickTop="1">
      <c r="A88" s="577"/>
      <c r="B88" s="536" t="s">
        <v>2606</v>
      </c>
      <c r="C88" s="552"/>
      <c r="D88" s="552"/>
      <c r="E88" s="552"/>
      <c r="F88" s="2615"/>
      <c r="G88" s="552"/>
      <c r="H88" s="552"/>
      <c r="I88" s="552"/>
      <c r="J88" s="552"/>
      <c r="K88" s="552"/>
      <c r="L88" s="552"/>
      <c r="M88" s="579"/>
      <c r="N88" s="1144"/>
      <c r="O88" s="1144"/>
      <c r="P88" s="2610"/>
      <c r="Q88" s="502"/>
    </row>
    <row r="89" spans="1:17" s="115" customFormat="1" ht="15.75" thickBot="1">
      <c r="A89" s="577"/>
      <c r="B89" s="541"/>
      <c r="C89" s="580">
        <v>100</v>
      </c>
      <c r="D89" s="542">
        <f t="shared" ref="D89:M89" si="25">C89-$K26</f>
        <v>98</v>
      </c>
      <c r="E89" s="542">
        <f t="shared" si="25"/>
        <v>96</v>
      </c>
      <c r="F89" s="542">
        <f t="shared" si="25"/>
        <v>94</v>
      </c>
      <c r="G89" s="542">
        <f t="shared" si="25"/>
        <v>92</v>
      </c>
      <c r="H89" s="542">
        <f t="shared" si="25"/>
        <v>90</v>
      </c>
      <c r="I89" s="542">
        <f t="shared" si="25"/>
        <v>88</v>
      </c>
      <c r="J89" s="542">
        <f t="shared" si="25"/>
        <v>86</v>
      </c>
      <c r="K89" s="542">
        <f t="shared" si="25"/>
        <v>84</v>
      </c>
      <c r="L89" s="542">
        <f t="shared" si="25"/>
        <v>82</v>
      </c>
      <c r="M89" s="542">
        <f t="shared" si="25"/>
        <v>80</v>
      </c>
      <c r="N89" s="1146"/>
      <c r="O89" s="1146"/>
      <c r="P89" s="2610"/>
      <c r="Q89" s="502"/>
    </row>
    <row r="90" spans="1:17" s="469" customFormat="1" ht="15.75" thickTop="1">
      <c r="A90" s="551"/>
      <c r="B90" s="536" t="str">
        <f>B27</f>
        <v>楼层</v>
      </c>
      <c r="C90" s="2932" t="s">
        <v>3207</v>
      </c>
      <c r="D90" s="2932" t="s">
        <v>3208</v>
      </c>
      <c r="E90" s="2932" t="s">
        <v>3209</v>
      </c>
      <c r="F90" s="552"/>
      <c r="G90" s="552"/>
      <c r="H90" s="553"/>
      <c r="I90" s="553"/>
      <c r="J90" s="553"/>
      <c r="K90" s="553"/>
      <c r="L90" s="554"/>
      <c r="M90" s="555"/>
      <c r="N90" s="1147"/>
      <c r="O90" s="1147"/>
      <c r="P90" s="2611"/>
      <c r="Q90" s="557"/>
    </row>
    <row r="91" spans="1:17" s="469" customFormat="1" ht="15.75" thickBot="1">
      <c r="A91" s="551"/>
      <c r="B91" s="541"/>
      <c r="C91" s="558">
        <v>97</v>
      </c>
      <c r="D91" s="558">
        <v>100</v>
      </c>
      <c r="E91" s="558">
        <v>103</v>
      </c>
      <c r="F91" s="558"/>
      <c r="G91" s="558"/>
      <c r="H91" s="560"/>
      <c r="I91" s="560"/>
      <c r="J91" s="560"/>
      <c r="K91" s="560"/>
      <c r="L91" s="560"/>
      <c r="M91" s="561"/>
      <c r="N91" s="1147"/>
      <c r="O91" s="1147"/>
      <c r="P91" s="2611"/>
      <c r="Q91" s="557"/>
    </row>
    <row r="92" spans="1:17" ht="15.75" thickTop="1">
      <c r="A92" s="532"/>
      <c r="B92" s="536">
        <f>B28</f>
        <v>0</v>
      </c>
      <c r="C92" s="552"/>
      <c r="D92" s="552"/>
      <c r="E92" s="552"/>
      <c r="F92" s="552"/>
      <c r="G92" s="581"/>
      <c r="H92" s="581"/>
      <c r="I92" s="581"/>
      <c r="J92" s="581"/>
      <c r="K92" s="582"/>
      <c r="L92" s="583"/>
      <c r="M92" s="584"/>
      <c r="N92" s="1145"/>
      <c r="O92" s="1145"/>
      <c r="P92" s="2610"/>
      <c r="Q92" s="502"/>
    </row>
    <row r="93" spans="1:17" ht="15.75" thickBot="1">
      <c r="A93" s="532"/>
      <c r="B93" s="541"/>
      <c r="C93" s="558"/>
      <c r="D93" s="534"/>
      <c r="E93" s="534"/>
      <c r="F93" s="534"/>
      <c r="G93" s="534"/>
      <c r="H93" s="534"/>
      <c r="I93" s="534"/>
      <c r="J93" s="534"/>
      <c r="K93" s="534"/>
      <c r="L93" s="534"/>
      <c r="M93" s="535"/>
      <c r="N93" s="1146"/>
      <c r="O93" s="1146"/>
      <c r="P93" s="2610"/>
      <c r="Q93" s="502"/>
    </row>
    <row r="94" spans="1:17" ht="15.75" thickTop="1">
      <c r="A94" s="532"/>
      <c r="B94" s="536">
        <f>B29</f>
        <v>0</v>
      </c>
      <c r="C94" s="552"/>
      <c r="D94" s="552"/>
      <c r="E94" s="552"/>
      <c r="F94" s="552"/>
      <c r="G94" s="581"/>
      <c r="H94" s="581"/>
      <c r="I94" s="581"/>
      <c r="J94" s="581"/>
      <c r="K94" s="582"/>
      <c r="L94" s="583"/>
      <c r="M94" s="584"/>
      <c r="N94" s="1145"/>
      <c r="O94" s="1145"/>
      <c r="P94" s="2610"/>
      <c r="Q94" s="502"/>
    </row>
    <row r="95" spans="1:17" ht="15.75" thickBot="1">
      <c r="A95" s="532"/>
      <c r="B95" s="541"/>
      <c r="C95" s="558"/>
      <c r="D95" s="558"/>
      <c r="E95" s="558"/>
      <c r="F95" s="558"/>
      <c r="G95" s="534"/>
      <c r="H95" s="534"/>
      <c r="I95" s="534"/>
      <c r="J95" s="534"/>
      <c r="K95" s="534"/>
      <c r="L95" s="534"/>
      <c r="M95" s="535"/>
      <c r="N95" s="1146"/>
      <c r="O95" s="1146"/>
      <c r="P95" s="2610"/>
      <c r="Q95" s="502"/>
    </row>
    <row r="96" spans="1:17" ht="15.75" thickTop="1">
      <c r="A96" s="532"/>
      <c r="B96" s="536">
        <f>B30</f>
        <v>0</v>
      </c>
      <c r="C96" s="552"/>
      <c r="D96" s="552"/>
      <c r="E96" s="552"/>
      <c r="F96" s="552"/>
      <c r="G96" s="581"/>
      <c r="H96" s="581"/>
      <c r="I96" s="581"/>
      <c r="J96" s="581"/>
      <c r="K96" s="582"/>
      <c r="L96" s="583"/>
      <c r="M96" s="584"/>
      <c r="N96" s="1145"/>
      <c r="O96" s="1145"/>
      <c r="P96" s="2610"/>
      <c r="Q96" s="502"/>
    </row>
    <row r="97" spans="1:17" ht="15.75" thickBot="1">
      <c r="A97" s="532"/>
      <c r="B97" s="541"/>
      <c r="C97" s="568"/>
      <c r="D97" s="568"/>
      <c r="E97" s="568"/>
      <c r="F97" s="568"/>
      <c r="G97" s="534"/>
      <c r="H97" s="534"/>
      <c r="I97" s="534"/>
      <c r="J97" s="534"/>
      <c r="K97" s="534"/>
      <c r="L97" s="534"/>
      <c r="M97" s="535"/>
      <c r="N97" s="1146"/>
      <c r="O97" s="1146"/>
      <c r="P97" s="2610"/>
      <c r="Q97" s="502"/>
    </row>
    <row r="98" spans="1:17" ht="15.75" thickTop="1">
      <c r="A98" s="532"/>
      <c r="B98" s="544">
        <f>B31</f>
        <v>0</v>
      </c>
      <c r="C98" s="585"/>
      <c r="D98" s="585"/>
      <c r="E98" s="585"/>
      <c r="F98" s="585"/>
      <c r="G98" s="585"/>
      <c r="H98" s="585"/>
      <c r="I98" s="585"/>
      <c r="J98" s="585"/>
      <c r="K98" s="586"/>
      <c r="L98" s="587"/>
      <c r="M98" s="588"/>
      <c r="N98" s="1145"/>
      <c r="O98" s="1145"/>
      <c r="P98" s="2610"/>
      <c r="Q98" s="502"/>
    </row>
    <row r="99" spans="1:17" ht="15.75" thickBot="1">
      <c r="A99" s="2616"/>
      <c r="B99" s="567"/>
      <c r="C99" s="589"/>
      <c r="D99" s="589"/>
      <c r="E99" s="589"/>
      <c r="F99" s="589"/>
      <c r="G99" s="589"/>
      <c r="H99" s="589"/>
      <c r="I99" s="589"/>
      <c r="J99" s="589"/>
      <c r="K99" s="589"/>
      <c r="L99" s="589"/>
      <c r="M99" s="590"/>
      <c r="N99" s="1146"/>
      <c r="O99" s="1146"/>
      <c r="P99" s="2610"/>
      <c r="Q99" s="502"/>
    </row>
    <row r="100" spans="1:17">
      <c r="A100" s="525" t="s">
        <v>2558</v>
      </c>
      <c r="B100" s="526" t="s">
        <v>2607</v>
      </c>
      <c r="C100" s="2931" t="s">
        <v>3073</v>
      </c>
      <c r="D100" s="2931" t="s">
        <v>3074</v>
      </c>
      <c r="E100" s="528"/>
      <c r="F100" s="528"/>
      <c r="G100" s="528"/>
      <c r="H100" s="528"/>
      <c r="I100" s="528"/>
      <c r="J100" s="528"/>
      <c r="K100" s="529"/>
      <c r="L100" s="530"/>
      <c r="M100" s="531"/>
      <c r="N100" s="1145"/>
      <c r="O100" s="1145"/>
      <c r="P100" s="2610"/>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6"/>
      <c r="O101" s="1146"/>
      <c r="P101" s="2610"/>
      <c r="Q101" s="502"/>
    </row>
    <row r="102" spans="1:17" ht="29.25" thickTop="1">
      <c r="A102" s="532"/>
      <c r="B102" s="536" t="s">
        <v>2608</v>
      </c>
      <c r="C102" s="576" t="str">
        <f>C103&amp;"(含)"&amp;"-"&amp;D103</f>
        <v>0(含)-10000</v>
      </c>
      <c r="D102" s="576" t="str">
        <f t="shared" ref="D102:L102" si="27">D103&amp;"(含)"&amp;"-"&amp;E103</f>
        <v>10000(含)-20000</v>
      </c>
      <c r="E102" s="576" t="str">
        <f t="shared" si="27"/>
        <v>20000(含)-50000</v>
      </c>
      <c r="F102" s="576" t="str">
        <f t="shared" si="27"/>
        <v>50000(含)-100000</v>
      </c>
      <c r="G102" s="576" t="str">
        <f t="shared" si="27"/>
        <v>100000(含)-200000</v>
      </c>
      <c r="H102" s="576" t="str">
        <f t="shared" si="27"/>
        <v>200000(含)-500000</v>
      </c>
      <c r="I102" s="576" t="str">
        <f t="shared" si="27"/>
        <v>500000(含)-</v>
      </c>
      <c r="J102" s="576" t="str">
        <f t="shared" si="27"/>
        <v>(含)-</v>
      </c>
      <c r="K102" s="576" t="str">
        <f>K103&amp;"(含)"&amp;"-"&amp;L103</f>
        <v>(含)-</v>
      </c>
      <c r="L102" s="576" t="str">
        <f t="shared" si="27"/>
        <v>(含)-</v>
      </c>
      <c r="M102" s="576" t="str">
        <f>M103&amp;"(含)"&amp;"-"&amp;P103</f>
        <v>(含)-</v>
      </c>
      <c r="N102" s="1144"/>
      <c r="O102" s="1144"/>
      <c r="P102" s="2610"/>
      <c r="Q102" s="502"/>
    </row>
    <row r="103" spans="1:17" s="469" customFormat="1">
      <c r="A103" s="591"/>
      <c r="B103" s="592"/>
      <c r="C103" s="593">
        <v>0</v>
      </c>
      <c r="D103" s="593">
        <v>10000</v>
      </c>
      <c r="E103" s="593">
        <v>20000</v>
      </c>
      <c r="F103" s="593">
        <v>50000</v>
      </c>
      <c r="G103" s="593">
        <v>100000</v>
      </c>
      <c r="H103" s="593">
        <v>200000</v>
      </c>
      <c r="I103" s="593">
        <v>500000</v>
      </c>
      <c r="J103" s="594"/>
      <c r="K103" s="594"/>
      <c r="L103" s="595"/>
      <c r="M103" s="596"/>
      <c r="N103" s="1147"/>
      <c r="O103" s="1147"/>
      <c r="P103" s="2611"/>
      <c r="Q103" s="557"/>
    </row>
    <row r="104" spans="1:17" s="469" customFormat="1" ht="15.75" thickBot="1">
      <c r="A104" s="551"/>
      <c r="B104" s="541"/>
      <c r="C104" s="558">
        <v>100</v>
      </c>
      <c r="D104" s="534">
        <v>101</v>
      </c>
      <c r="E104" s="534">
        <v>102</v>
      </c>
      <c r="F104" s="534">
        <v>103</v>
      </c>
      <c r="G104" s="534">
        <v>104</v>
      </c>
      <c r="H104" s="534">
        <v>105</v>
      </c>
      <c r="I104" s="534">
        <v>106</v>
      </c>
      <c r="J104" s="534"/>
      <c r="K104" s="534"/>
      <c r="L104" s="534"/>
      <c r="M104" s="534"/>
      <c r="N104" s="1146"/>
      <c r="O104" s="1146"/>
      <c r="P104" s="2611"/>
      <c r="Q104" s="557"/>
    </row>
    <row r="105" spans="1:17" ht="15" thickTop="1">
      <c r="A105" s="597"/>
      <c r="B105" s="536" t="s">
        <v>2609</v>
      </c>
      <c r="C105" s="552" t="s">
        <v>3061</v>
      </c>
      <c r="D105" s="2932" t="s">
        <v>3075</v>
      </c>
      <c r="E105" s="581"/>
      <c r="F105" s="581"/>
      <c r="G105" s="581"/>
      <c r="H105" s="581"/>
      <c r="I105" s="581"/>
      <c r="J105" s="581"/>
      <c r="K105" s="582"/>
      <c r="L105" s="583"/>
      <c r="M105" s="584"/>
      <c r="N105" s="1145"/>
      <c r="O105" s="1145"/>
      <c r="P105" s="2610"/>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6"/>
      <c r="O106" s="1146"/>
      <c r="P106" s="2610"/>
      <c r="Q106" s="502"/>
    </row>
    <row r="107" spans="1:17" ht="15" thickTop="1">
      <c r="A107" s="597"/>
      <c r="B107" s="536" t="s">
        <v>2610</v>
      </c>
      <c r="C107" s="2933" t="s">
        <v>3077</v>
      </c>
      <c r="D107" s="581"/>
      <c r="E107" s="581"/>
      <c r="F107" s="581"/>
      <c r="G107" s="581"/>
      <c r="H107" s="581"/>
      <c r="I107" s="581"/>
      <c r="J107" s="581"/>
      <c r="K107" s="582"/>
      <c r="L107" s="583"/>
      <c r="M107" s="584"/>
      <c r="N107" s="1145"/>
      <c r="O107" s="1145"/>
      <c r="P107" s="2610"/>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46"/>
      <c r="O108" s="1146"/>
      <c r="P108" s="2610"/>
      <c r="Q108" s="502"/>
    </row>
    <row r="109" spans="1:17" ht="15" thickTop="1">
      <c r="A109" s="597"/>
      <c r="B109" s="536" t="s">
        <v>2611</v>
      </c>
      <c r="C109" s="2932" t="s">
        <v>3081</v>
      </c>
      <c r="D109" s="2932" t="s">
        <v>3082</v>
      </c>
      <c r="E109" s="2932" t="s">
        <v>3083</v>
      </c>
      <c r="F109" s="2933" t="s">
        <v>3084</v>
      </c>
      <c r="G109" s="581"/>
      <c r="H109" s="581"/>
      <c r="I109" s="581"/>
      <c r="J109" s="581"/>
      <c r="K109" s="582"/>
      <c r="L109" s="583"/>
      <c r="M109" s="584"/>
      <c r="N109" s="1145"/>
      <c r="O109" s="1145"/>
      <c r="P109" s="2610"/>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6"/>
      <c r="O110" s="1146"/>
      <c r="P110" s="2610"/>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1"/>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7"/>
      <c r="O113" s="1147"/>
      <c r="P113" s="2611"/>
      <c r="Q113" s="557"/>
    </row>
    <row r="114" spans="1:17" ht="15" thickTop="1">
      <c r="A114" s="597"/>
      <c r="B114" s="536" t="s">
        <v>2612</v>
      </c>
      <c r="C114" s="2932" t="s">
        <v>3078</v>
      </c>
      <c r="D114" s="552"/>
      <c r="E114" s="581"/>
      <c r="F114" s="581"/>
      <c r="G114" s="581"/>
      <c r="H114" s="581"/>
      <c r="I114" s="581"/>
      <c r="J114" s="581"/>
      <c r="K114" s="582"/>
      <c r="L114" s="583"/>
      <c r="M114" s="584"/>
      <c r="N114" s="1145"/>
      <c r="O114" s="1145"/>
      <c r="P114" s="2610"/>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6"/>
      <c r="O115" s="1146"/>
      <c r="P115" s="2610"/>
      <c r="Q115" s="502"/>
    </row>
    <row r="116" spans="1:17" ht="15" thickTop="1">
      <c r="A116" s="597"/>
      <c r="B116" s="536" t="s">
        <v>2613</v>
      </c>
      <c r="C116" s="2932" t="s">
        <v>3079</v>
      </c>
      <c r="D116" s="2932" t="s">
        <v>3080</v>
      </c>
      <c r="E116" s="552"/>
      <c r="F116" s="552"/>
      <c r="G116" s="552"/>
      <c r="H116" s="581"/>
      <c r="I116" s="581"/>
      <c r="J116" s="581"/>
      <c r="K116" s="582"/>
      <c r="L116" s="583"/>
      <c r="M116" s="584"/>
      <c r="N116" s="1145"/>
      <c r="O116" s="1145"/>
      <c r="P116" s="2610"/>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0"/>
      <c r="Q117" s="502"/>
    </row>
    <row r="118" spans="1:17" ht="15" thickTop="1">
      <c r="A118" s="597"/>
      <c r="B118" s="536" t="s">
        <v>2614</v>
      </c>
      <c r="C118" s="2933" t="s">
        <v>3092</v>
      </c>
      <c r="D118" s="2933" t="s">
        <v>3091</v>
      </c>
      <c r="E118" s="581"/>
      <c r="F118" s="581"/>
      <c r="G118" s="581"/>
      <c r="H118" s="581"/>
      <c r="I118" s="581"/>
      <c r="J118" s="581"/>
      <c r="K118" s="582"/>
      <c r="L118" s="583"/>
      <c r="M118" s="584"/>
      <c r="N118" s="1145"/>
      <c r="O118" s="1145"/>
      <c r="P118" s="2610"/>
      <c r="Q118" s="502"/>
    </row>
    <row r="119" spans="1:17" ht="15.75" thickBot="1">
      <c r="A119" s="532"/>
      <c r="B119" s="541"/>
      <c r="C119" s="542">
        <v>100</v>
      </c>
      <c r="D119" s="542">
        <f t="shared" ref="D119:M119" si="32">C119-$K40</f>
        <v>98</v>
      </c>
      <c r="E119" s="542">
        <f t="shared" si="32"/>
        <v>96</v>
      </c>
      <c r="F119" s="542">
        <f t="shared" si="32"/>
        <v>94</v>
      </c>
      <c r="G119" s="542">
        <f t="shared" si="32"/>
        <v>92</v>
      </c>
      <c r="H119" s="542">
        <f t="shared" si="32"/>
        <v>90</v>
      </c>
      <c r="I119" s="542">
        <f t="shared" si="32"/>
        <v>88</v>
      </c>
      <c r="J119" s="542">
        <f t="shared" si="32"/>
        <v>86</v>
      </c>
      <c r="K119" s="542">
        <f t="shared" si="32"/>
        <v>84</v>
      </c>
      <c r="L119" s="542">
        <f t="shared" si="32"/>
        <v>82</v>
      </c>
      <c r="M119" s="542">
        <f t="shared" si="32"/>
        <v>80</v>
      </c>
      <c r="N119" s="1146"/>
      <c r="O119" s="1146"/>
      <c r="P119" s="2610"/>
      <c r="Q119" s="502"/>
    </row>
    <row r="120" spans="1:17" s="469" customFormat="1" ht="28.5" thickTop="1">
      <c r="A120" s="591"/>
      <c r="B120" s="536" t="s">
        <v>2569</v>
      </c>
      <c r="C120" s="552">
        <v>0</v>
      </c>
      <c r="D120" s="552">
        <v>100</v>
      </c>
      <c r="E120" s="552">
        <v>150</v>
      </c>
      <c r="F120" s="552">
        <v>200</v>
      </c>
      <c r="G120" s="552">
        <v>300</v>
      </c>
      <c r="H120" s="552"/>
      <c r="I120" s="552"/>
      <c r="J120" s="552"/>
      <c r="K120" s="552"/>
      <c r="L120" s="578"/>
      <c r="M120" s="579"/>
      <c r="N120" s="1147"/>
      <c r="O120" s="1147"/>
      <c r="P120" s="2611"/>
      <c r="Q120" s="557"/>
    </row>
    <row r="121" spans="1:17" s="469" customFormat="1" ht="15.75" thickBot="1">
      <c r="A121" s="551"/>
      <c r="B121" s="533"/>
      <c r="C121" s="558">
        <v>100</v>
      </c>
      <c r="D121" s="534">
        <v>99</v>
      </c>
      <c r="E121" s="534">
        <v>98</v>
      </c>
      <c r="F121" s="534">
        <v>97</v>
      </c>
      <c r="G121" s="534">
        <v>96</v>
      </c>
      <c r="H121" s="534"/>
      <c r="I121" s="534"/>
      <c r="J121" s="534"/>
      <c r="K121" s="534"/>
      <c r="L121" s="534"/>
      <c r="M121" s="534"/>
      <c r="N121" s="1147"/>
      <c r="O121" s="1147"/>
      <c r="P121" s="2611"/>
      <c r="Q121" s="557"/>
    </row>
    <row r="122" spans="1:17" ht="15" thickTop="1">
      <c r="A122" s="597"/>
      <c r="B122" s="536" t="s">
        <v>2615</v>
      </c>
      <c r="C122" s="2932" t="s">
        <v>3081</v>
      </c>
      <c r="D122" s="2932" t="s">
        <v>3082</v>
      </c>
      <c r="E122" s="2932" t="s">
        <v>3083</v>
      </c>
      <c r="F122" s="2933" t="s">
        <v>3084</v>
      </c>
      <c r="G122" s="581"/>
      <c r="H122" s="581"/>
      <c r="I122" s="581"/>
      <c r="J122" s="581"/>
      <c r="K122" s="582"/>
      <c r="L122" s="583"/>
      <c r="M122" s="584"/>
      <c r="N122" s="1145"/>
      <c r="O122" s="1145"/>
      <c r="P122" s="2610"/>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6"/>
      <c r="O123" s="1146"/>
      <c r="P123" s="2610"/>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45"/>
      <c r="O124" s="1145"/>
      <c r="P124" s="2611"/>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0"/>
      <c r="Q125" s="502"/>
    </row>
    <row r="126" spans="1:17" s="469" customFormat="1" ht="15" thickTop="1">
      <c r="A126" s="591"/>
      <c r="B126" s="536">
        <f>B44</f>
        <v>0</v>
      </c>
      <c r="C126" s="552"/>
      <c r="D126" s="552"/>
      <c r="E126" s="552"/>
      <c r="F126" s="552"/>
      <c r="G126" s="552"/>
      <c r="H126" s="553"/>
      <c r="I126" s="553"/>
      <c r="J126" s="553"/>
      <c r="K126" s="553"/>
      <c r="L126" s="554"/>
      <c r="M126" s="555"/>
      <c r="N126" s="1147"/>
      <c r="O126" s="1147"/>
      <c r="P126" s="2611"/>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1"/>
      <c r="Q127" s="557"/>
    </row>
    <row r="128" spans="1:17" ht="15" thickTop="1">
      <c r="A128" s="597"/>
      <c r="B128" s="536">
        <f>B45</f>
        <v>0</v>
      </c>
      <c r="C128" s="552"/>
      <c r="D128" s="552"/>
      <c r="E128" s="552"/>
      <c r="F128" s="552"/>
      <c r="G128" s="581"/>
      <c r="H128" s="581"/>
      <c r="I128" s="581"/>
      <c r="J128" s="581"/>
      <c r="K128" s="582"/>
      <c r="L128" s="583"/>
      <c r="M128" s="584"/>
      <c r="N128" s="1145"/>
      <c r="O128" s="1145"/>
      <c r="P128" s="2610"/>
      <c r="Q128" s="502"/>
    </row>
    <row r="129" spans="1:17" ht="15.75" thickBot="1">
      <c r="A129" s="532"/>
      <c r="B129" s="541"/>
      <c r="C129" s="558"/>
      <c r="D129" s="558"/>
      <c r="E129" s="558"/>
      <c r="F129" s="558"/>
      <c r="G129" s="534"/>
      <c r="H129" s="534"/>
      <c r="I129" s="534"/>
      <c r="J129" s="534"/>
      <c r="K129" s="534"/>
      <c r="L129" s="534"/>
      <c r="M129" s="535"/>
      <c r="N129" s="1146"/>
      <c r="O129" s="1146"/>
      <c r="P129" s="2610"/>
      <c r="Q129" s="502"/>
    </row>
    <row r="130" spans="1:17" ht="15" thickTop="1">
      <c r="A130" s="597"/>
      <c r="B130" s="544">
        <f>B46</f>
        <v>0</v>
      </c>
      <c r="C130" s="552"/>
      <c r="D130" s="552"/>
      <c r="E130" s="552"/>
      <c r="F130" s="552"/>
      <c r="G130" s="585"/>
      <c r="H130" s="585"/>
      <c r="I130" s="585"/>
      <c r="J130" s="585"/>
      <c r="K130" s="521"/>
      <c r="L130" s="522"/>
      <c r="M130" s="588"/>
      <c r="N130" s="1145"/>
      <c r="O130" s="1145"/>
      <c r="P130" s="2610"/>
      <c r="Q130" s="502"/>
    </row>
    <row r="131" spans="1:17" ht="15.75" thickBot="1">
      <c r="A131" s="2616"/>
      <c r="B131" s="567"/>
      <c r="C131" s="568"/>
      <c r="D131" s="568"/>
      <c r="E131" s="568"/>
      <c r="F131" s="568"/>
      <c r="G131" s="589"/>
      <c r="H131" s="589"/>
      <c r="I131" s="589"/>
      <c r="J131" s="589"/>
      <c r="K131" s="589"/>
      <c r="L131" s="589"/>
      <c r="M131" s="590"/>
      <c r="N131" s="1146"/>
      <c r="O131" s="1146"/>
      <c r="P131" s="2610"/>
      <c r="Q131" s="502"/>
    </row>
    <row r="136" spans="1:17" ht="15" thickBot="1">
      <c r="B136" s="2617" t="s">
        <v>2617</v>
      </c>
    </row>
    <row r="137" spans="1:17" ht="15">
      <c r="B137" s="2618" t="s">
        <v>2618</v>
      </c>
      <c r="C137" s="2619"/>
      <c r="D137" s="2619"/>
      <c r="E137" s="2619"/>
      <c r="F137" s="2619"/>
      <c r="G137" s="2620"/>
      <c r="H137" s="2621"/>
      <c r="I137" s="2622" t="s">
        <v>2619</v>
      </c>
      <c r="J137" s="2619"/>
      <c r="K137" s="2623"/>
    </row>
    <row r="138" spans="1:17" ht="15">
      <c r="B138" s="2624"/>
      <c r="C138" s="144" t="s">
        <v>2620</v>
      </c>
      <c r="D138" s="144" t="s">
        <v>2621</v>
      </c>
      <c r="E138" s="2625" t="s">
        <v>2622</v>
      </c>
      <c r="F138" s="2626" t="s">
        <v>2623</v>
      </c>
      <c r="G138" s="144" t="s">
        <v>2621</v>
      </c>
      <c r="H138" s="145" t="s">
        <v>2622</v>
      </c>
      <c r="I138" s="2627"/>
      <c r="J138" s="144" t="s">
        <v>2624</v>
      </c>
      <c r="K138" s="145" t="s">
        <v>2625</v>
      </c>
    </row>
    <row r="139" spans="1:17" ht="15">
      <c r="B139" s="1077">
        <v>6</v>
      </c>
      <c r="C139" s="1078">
        <v>96</v>
      </c>
      <c r="D139" s="2628" t="s">
        <v>2626</v>
      </c>
      <c r="E139" s="1079">
        <v>100</v>
      </c>
      <c r="F139" s="1080">
        <v>102.5</v>
      </c>
      <c r="G139" s="2628" t="s">
        <v>2626</v>
      </c>
      <c r="H139" s="1081">
        <v>105</v>
      </c>
      <c r="I139" s="2629" t="s">
        <v>2627</v>
      </c>
      <c r="J139" s="1078">
        <v>20</v>
      </c>
      <c r="K139" s="1082">
        <f>C145/(J139-2)</f>
        <v>4.0555555555555553E-3</v>
      </c>
    </row>
    <row r="140" spans="1:17" ht="15">
      <c r="B140" s="1083">
        <v>5</v>
      </c>
      <c r="C140" s="1084">
        <v>100</v>
      </c>
      <c r="D140" s="1084"/>
      <c r="E140" s="1085"/>
      <c r="F140" s="1086">
        <v>102</v>
      </c>
      <c r="G140" s="1084"/>
      <c r="H140" s="1087"/>
      <c r="I140" s="2630" t="s">
        <v>2628</v>
      </c>
      <c r="J140" s="313">
        <f>ROUNDUP((J139-1)/2,0)</f>
        <v>10</v>
      </c>
      <c r="K140" s="1088">
        <v>100</v>
      </c>
    </row>
    <row r="141" spans="1:17" ht="15">
      <c r="B141" s="1083">
        <v>4</v>
      </c>
      <c r="C141" s="1084">
        <v>102</v>
      </c>
      <c r="D141" s="1084"/>
      <c r="E141" s="1085"/>
      <c r="F141" s="1086">
        <v>101.5</v>
      </c>
      <c r="G141" s="1084"/>
      <c r="H141" s="1087"/>
      <c r="I141" s="2630" t="s">
        <v>2629</v>
      </c>
      <c r="J141" s="313">
        <v>1</v>
      </c>
      <c r="K141" s="1089">
        <f>ROUND(100+(J141-J140)*K139*100,1)</f>
        <v>96.4</v>
      </c>
    </row>
    <row r="142" spans="1:17" ht="15">
      <c r="B142" s="1083">
        <v>3</v>
      </c>
      <c r="C142" s="1084">
        <v>103</v>
      </c>
      <c r="D142" s="1084"/>
      <c r="E142" s="1085"/>
      <c r="F142" s="1086">
        <v>101</v>
      </c>
      <c r="G142" s="1084"/>
      <c r="H142" s="1087"/>
      <c r="I142" s="2630" t="s">
        <v>2630</v>
      </c>
      <c r="J142" s="313">
        <f>J139</f>
        <v>20</v>
      </c>
      <c r="K142" s="1090">
        <v>95</v>
      </c>
    </row>
    <row r="143" spans="1:17" ht="15">
      <c r="B143" s="1083">
        <v>2</v>
      </c>
      <c r="C143" s="1084">
        <v>100</v>
      </c>
      <c r="D143" s="1084"/>
      <c r="E143" s="1085"/>
      <c r="F143" s="1086">
        <v>100.5</v>
      </c>
      <c r="G143" s="1084"/>
      <c r="H143" s="1087"/>
      <c r="I143" s="2630" t="s">
        <v>2631</v>
      </c>
      <c r="J143" s="1084">
        <v>15</v>
      </c>
      <c r="K143" s="1089">
        <f>ROUND(100+(J143-J140)*K139*100,1)</f>
        <v>102</v>
      </c>
    </row>
    <row r="144" spans="1:17" ht="15">
      <c r="B144" s="1083">
        <v>1</v>
      </c>
      <c r="C144" s="1084">
        <v>98</v>
      </c>
      <c r="D144" s="2631" t="s">
        <v>2632</v>
      </c>
      <c r="E144" s="1085">
        <v>102</v>
      </c>
      <c r="F144" s="1091">
        <v>100</v>
      </c>
      <c r="G144" s="2631" t="s">
        <v>2632</v>
      </c>
      <c r="H144" s="1087">
        <v>105</v>
      </c>
      <c r="I144" s="2630" t="s">
        <v>2631</v>
      </c>
      <c r="J144" s="1084">
        <v>18</v>
      </c>
      <c r="K144" s="1089">
        <f>ROUND(100+(J144-J140)*K139*100,1)</f>
        <v>103.2</v>
      </c>
    </row>
    <row r="145" spans="2:11" ht="15.75" thickBot="1">
      <c r="B145" s="2632" t="s">
        <v>2633</v>
      </c>
      <c r="C145" s="1092">
        <f>ROUND(MAX(C139:C144)/MIN(C139:C144)-1,3)</f>
        <v>7.2999999999999995E-2</v>
      </c>
      <c r="D145" s="1093"/>
      <c r="E145" s="1093"/>
      <c r="F145" s="2633" t="s">
        <v>2634</v>
      </c>
      <c r="G145" s="2634"/>
      <c r="H145" s="2635"/>
      <c r="I145" s="2636" t="s">
        <v>2631</v>
      </c>
      <c r="J145" s="1094">
        <v>8</v>
      </c>
      <c r="K145" s="1095">
        <f>ROUND(100+(J145-J140)*K139*100,1)</f>
        <v>99.2</v>
      </c>
    </row>
    <row r="147" spans="2:11">
      <c r="B147" s="2617" t="s">
        <v>2635</v>
      </c>
    </row>
    <row r="148" spans="2:11">
      <c r="B148" s="2617"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J37" zoomScale="90" zoomScaleNormal="90" zoomScaleSheetLayoutView="90" workbookViewId="0">
      <selection activeCell="L46" sqref="L4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3201</v>
      </c>
      <c r="D1" s="1806" t="s">
        <v>70</v>
      </c>
      <c r="E1" s="1807" t="s">
        <v>1388</v>
      </c>
      <c r="F1" s="1268">
        <f ca="1">J53</f>
        <v>41.28</v>
      </c>
      <c r="G1" s="182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1592</v>
      </c>
      <c r="B2" s="1830">
        <f ca="1">ROUND(D2/10000,0)</f>
        <v>57</v>
      </c>
      <c r="C2" s="1831" t="s">
        <v>1593</v>
      </c>
      <c r="D2" s="1924">
        <f ca="1">C40+J29+L46</f>
        <v>566943</v>
      </c>
      <c r="E2" s="1832" t="s">
        <v>1594</v>
      </c>
      <c r="F2" s="1833"/>
      <c r="G2" s="1834"/>
      <c r="H2" s="1826"/>
      <c r="I2" s="1826"/>
      <c r="J2" s="1826"/>
      <c r="K2" s="1827"/>
      <c r="L2" s="1826"/>
      <c r="M2" s="1826"/>
    </row>
    <row r="3" spans="1:37" ht="18" customHeight="1" thickBot="1">
      <c r="A3" s="1835" t="s">
        <v>1595</v>
      </c>
      <c r="B3" s="1836">
        <f ca="1">IF(ISERROR(D2/F43),0,ROUND(D2/F43,0))</f>
        <v>9516</v>
      </c>
      <c r="C3" s="1831" t="s">
        <v>1596</v>
      </c>
      <c r="D3" s="1831"/>
      <c r="E3" s="1832"/>
      <c r="F3" s="1833"/>
      <c r="G3" s="1834"/>
      <c r="H3" s="741" t="s">
        <v>1590</v>
      </c>
      <c r="I3" s="1826"/>
      <c r="J3" s="1826"/>
      <c r="K3" s="1827"/>
      <c r="L3" s="1826"/>
      <c r="M3" s="1826"/>
    </row>
    <row r="4" spans="1:37" ht="18" customHeight="1">
      <c r="A4" s="338" t="s">
        <v>1597</v>
      </c>
      <c r="B4" s="339" t="s">
        <v>1598</v>
      </c>
      <c r="C4" s="339" t="s">
        <v>1599</v>
      </c>
      <c r="D4" s="339" t="s">
        <v>1600</v>
      </c>
      <c r="E4" s="340" t="s">
        <v>1601</v>
      </c>
      <c r="F4" s="341"/>
      <c r="G4" s="1837"/>
      <c r="H4" s="338" t="s">
        <v>1597</v>
      </c>
      <c r="I4" s="339" t="s">
        <v>1598</v>
      </c>
      <c r="J4" s="339" t="s">
        <v>1599</v>
      </c>
      <c r="K4" s="339" t="s">
        <v>1600</v>
      </c>
      <c r="L4" s="340" t="s">
        <v>1601</v>
      </c>
      <c r="M4" s="341"/>
    </row>
    <row r="5" spans="1:37" ht="18" customHeight="1">
      <c r="A5" s="342">
        <v>1</v>
      </c>
      <c r="B5" s="343" t="s">
        <v>1602</v>
      </c>
      <c r="C5" s="1277">
        <f ca="1">C6+C10+C12</f>
        <v>33098</v>
      </c>
      <c r="D5" s="1808" t="s">
        <v>1603</v>
      </c>
      <c r="E5" s="1278"/>
      <c r="F5" s="1279"/>
      <c r="G5" s="1837"/>
      <c r="H5" s="342">
        <v>1</v>
      </c>
      <c r="I5" s="343" t="s">
        <v>1602</v>
      </c>
      <c r="J5" s="1277">
        <f ca="1">J6+J10+J12</f>
        <v>0</v>
      </c>
      <c r="K5" s="1808" t="s">
        <v>1603</v>
      </c>
      <c r="L5" s="1278"/>
      <c r="M5" s="1279"/>
    </row>
    <row r="6" spans="1:37" ht="18" customHeight="1">
      <c r="A6" s="1276" t="s">
        <v>1035</v>
      </c>
      <c r="B6" s="3199" t="s">
        <v>1404</v>
      </c>
      <c r="C6" s="1281">
        <f ca="1">ROUND(F6*F8*F7*(1-F9),0)</f>
        <v>33055</v>
      </c>
      <c r="D6" s="162" t="s">
        <v>3024</v>
      </c>
      <c r="E6" s="345" t="s">
        <v>1406</v>
      </c>
      <c r="F6" s="346">
        <f ca="1">INDIRECT("'数据-取费表'!u"&amp;$G$1)</f>
        <v>1.6</v>
      </c>
      <c r="G6" s="1837"/>
      <c r="H6" s="1276" t="s">
        <v>1035</v>
      </c>
      <c r="I6" s="3199" t="s">
        <v>1404</v>
      </c>
      <c r="J6" s="344">
        <f ca="1">ROUND(M6*M8*M7*(1-M9),0)</f>
        <v>0</v>
      </c>
      <c r="K6" s="1820" t="s">
        <v>3027</v>
      </c>
      <c r="L6" s="345" t="s">
        <v>1406</v>
      </c>
      <c r="M6" s="346">
        <f ca="1">INDIRECT("'数据-取费表'!z"&amp;$G$1)</f>
        <v>0</v>
      </c>
    </row>
    <row r="7" spans="1:37" ht="18" customHeight="1">
      <c r="A7" s="1280"/>
      <c r="B7" s="3200"/>
      <c r="C7" s="1282"/>
      <c r="D7" s="350"/>
      <c r="E7" s="1283" t="s">
        <v>1407</v>
      </c>
      <c r="F7" s="346">
        <f ca="1">IF(INDIRECT("'数据-取费表'!ah"&amp;$G$1)="",INDIRECT("'数据-取费表'!k"&amp;$G$1),INDIRECT("'数据-取费表'!ah"&amp;$G$1))</f>
        <v>59.58</v>
      </c>
      <c r="G7" s="1837"/>
      <c r="H7" s="347"/>
      <c r="I7" s="3200"/>
      <c r="J7" s="349"/>
      <c r="K7" s="350"/>
      <c r="L7" s="345" t="s">
        <v>1407</v>
      </c>
      <c r="M7" s="346">
        <f ca="1">F7</f>
        <v>59.58</v>
      </c>
    </row>
    <row r="8" spans="1:37" ht="18" customHeight="1">
      <c r="A8" s="347"/>
      <c r="B8" s="3200"/>
      <c r="C8" s="349"/>
      <c r="D8" s="350"/>
      <c r="E8" s="345" t="s">
        <v>1408</v>
      </c>
      <c r="F8" s="346">
        <f ca="1">INDIRECT("'数据-取费表'!ai"&amp;$G$1)</f>
        <v>365</v>
      </c>
      <c r="G8" s="1837"/>
      <c r="H8" s="347"/>
      <c r="I8" s="3200"/>
      <c r="J8" s="349"/>
      <c r="K8" s="350"/>
      <c r="L8" s="345" t="s">
        <v>1408</v>
      </c>
      <c r="M8" s="346">
        <f ca="1">INDIRECT("'数据-取费表'!ai"&amp;$G$1)</f>
        <v>365</v>
      </c>
    </row>
    <row r="9" spans="1:37" ht="18" customHeight="1">
      <c r="A9" s="347"/>
      <c r="B9" s="3201"/>
      <c r="C9" s="349"/>
      <c r="D9" s="350"/>
      <c r="E9" s="345" t="s">
        <v>1409</v>
      </c>
      <c r="F9" s="355">
        <f ca="1">INDIRECT("'数据-取费表'!w"&amp;$G$1)</f>
        <v>0.05</v>
      </c>
      <c r="G9" s="1837"/>
      <c r="H9" s="347"/>
      <c r="I9" s="3201"/>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ROUND(IF(F10="押一",F6*F8*F7/12*F11,IF(F10="押二",F6*F8*F7/12*2*F11,IF(F10="押三",F6*F8*F7/12*3*F11,C11*F11))),0)</f>
        <v>43</v>
      </c>
      <c r="D10" s="1810" t="s">
        <v>3025</v>
      </c>
      <c r="E10" s="356" t="s">
        <v>1412</v>
      </c>
      <c r="F10" s="1351" t="s">
        <v>3060</v>
      </c>
      <c r="G10" s="1837"/>
      <c r="H10" s="1276" t="s">
        <v>1039</v>
      </c>
      <c r="I10" s="1809" t="s">
        <v>1410</v>
      </c>
      <c r="J10" s="344">
        <f ca="1">ROUND(IF(M10="押一",M6*M8*M7/12*M11,IF(M10="押二",M6*M8*M7/12*2*M11,IF(M10="押三",M6*M8*M7/12*3*M11,J11*M11))),0)</f>
        <v>0</v>
      </c>
      <c r="K10" s="1821" t="s">
        <v>3026</v>
      </c>
      <c r="L10" s="356" t="s">
        <v>1412</v>
      </c>
      <c r="M10" s="1351"/>
    </row>
    <row r="11" spans="1:37" ht="18" customHeight="1">
      <c r="A11" s="351"/>
      <c r="B11" s="1811" t="s">
        <v>1604</v>
      </c>
      <c r="C11" s="1171"/>
      <c r="D11" s="350"/>
      <c r="E11" s="356" t="s">
        <v>1414</v>
      </c>
      <c r="F11" s="357">
        <f ca="1">'数据-取费表'!B39</f>
        <v>1.4999999999999999E-2</v>
      </c>
      <c r="G11" s="1837"/>
      <c r="H11" s="1284"/>
      <c r="I11" s="1811" t="s">
        <v>1605</v>
      </c>
      <c r="J11" s="1171"/>
      <c r="K11" s="745"/>
      <c r="L11" s="356" t="s">
        <v>1414</v>
      </c>
      <c r="M11" s="1049">
        <f ca="1">'数据-取费表'!B39</f>
        <v>1.4999999999999999E-2</v>
      </c>
    </row>
    <row r="12" spans="1:37" ht="18" hidden="1"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c r="A13" s="1314">
        <v>2</v>
      </c>
      <c r="B13" s="1315" t="s">
        <v>1416</v>
      </c>
      <c r="C13" s="353">
        <f ca="1">ROUND(C29*F13,0)</f>
        <v>260289</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ROUND(INDIRECT("'数据-取费表'!l"&amp;$G$1)*F43+'数据-取费表'!L14*INDIRECT("'数据-取费表'!S"&amp;$G$1),0)</f>
        <v>181840</v>
      </c>
      <c r="D14" s="1786" t="s">
        <v>1420</v>
      </c>
      <c r="E14" s="1780"/>
      <c r="F14" s="362"/>
      <c r="G14" s="1837"/>
      <c r="H14" s="1194" t="s">
        <v>1035</v>
      </c>
      <c r="I14" s="345" t="s">
        <v>1421</v>
      </c>
      <c r="J14" s="24">
        <f ca="1">C29</f>
        <v>279881</v>
      </c>
      <c r="K14" s="15"/>
      <c r="L14" s="972"/>
      <c r="M14" s="973"/>
    </row>
    <row r="15" spans="1:37" s="1844" customFormat="1" ht="18" customHeight="1" thickBot="1">
      <c r="A15" s="1194" t="s">
        <v>1036</v>
      </c>
      <c r="B15" s="345" t="s">
        <v>1422</v>
      </c>
      <c r="C15" s="24">
        <f ca="1">ROUND(C14*F15,0)</f>
        <v>5455</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ROUND(INDIRECT("'数据-取费表'!l"&amp;$G$1)*F43*F16,0)</f>
        <v>0</v>
      </c>
      <c r="D16" s="345" t="s">
        <v>1423</v>
      </c>
      <c r="E16" s="345" t="s">
        <v>1424</v>
      </c>
      <c r="F16" s="365">
        <f ca="1">IF(INDIRECT("'数据-取费表'!c"&amp;$G$1)="住宅",'数据-取费表'!B34,0)</f>
        <v>0</v>
      </c>
      <c r="G16" s="1837"/>
      <c r="H16" s="1314" t="s">
        <v>1030</v>
      </c>
      <c r="I16" s="1315" t="s">
        <v>1426</v>
      </c>
      <c r="J16" s="353">
        <f ca="1">ROUND(J17+J22+J23+J24,0)</f>
        <v>6574</v>
      </c>
      <c r="K16" s="1322" t="s">
        <v>1427</v>
      </c>
      <c r="L16" s="1323"/>
      <c r="M16" s="1279"/>
    </row>
    <row r="17" spans="1:37" s="1844" customFormat="1" ht="18" customHeight="1">
      <c r="A17" s="1194" t="s">
        <v>1391</v>
      </c>
      <c r="B17" s="345" t="s">
        <v>1428</v>
      </c>
      <c r="C17" s="24">
        <f ca="1">ROUND(F17*(F43+INDIRECT("'数据-取费表'!S"&amp;$G$1)),0)</f>
        <v>12226</v>
      </c>
      <c r="D17" s="345" t="s">
        <v>1429</v>
      </c>
      <c r="E17" s="345" t="s">
        <v>1430</v>
      </c>
      <c r="F17" s="26">
        <f>'数据-取费表'!B35</f>
        <v>200</v>
      </c>
      <c r="G17" s="1840"/>
      <c r="H17" s="1194" t="s">
        <v>1035</v>
      </c>
      <c r="I17" s="345" t="s">
        <v>1431</v>
      </c>
      <c r="J17" s="24">
        <f ca="1">ROUND(IF(项目基本情况!B11="自然人",J5*M17,J18+J19+J20),0)</f>
        <v>2376</v>
      </c>
      <c r="K17" s="1786" t="s">
        <v>1432</v>
      </c>
      <c r="L17" s="1784"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2728</v>
      </c>
      <c r="D18" s="345" t="s">
        <v>1423</v>
      </c>
      <c r="E18" s="345" t="s">
        <v>1424</v>
      </c>
      <c r="F18" s="365">
        <f>'数据-取费表'!B36</f>
        <v>1.4999999999999999E-2</v>
      </c>
      <c r="G18" s="1840"/>
      <c r="H18" s="1194" t="s">
        <v>1034</v>
      </c>
      <c r="I18" s="345" t="s">
        <v>1435</v>
      </c>
      <c r="J18" s="24">
        <f ca="1">ROUND(J5*M18/(1+'数据-取费表'!C42),0)</f>
        <v>0</v>
      </c>
      <c r="K18" s="1784"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202249</v>
      </c>
      <c r="D19" s="138" t="s">
        <v>1438</v>
      </c>
      <c r="E19" s="1804"/>
      <c r="F19" s="26"/>
      <c r="G19" s="1837"/>
      <c r="H19" s="1194" t="s">
        <v>1036</v>
      </c>
      <c r="I19" s="345" t="s">
        <v>1439</v>
      </c>
      <c r="J19" s="24">
        <f ca="1">IF(K19="按租金收入计税",ROUND(J5*M19,0),ROUND(C29*M19*0.7,0))</f>
        <v>2351</v>
      </c>
      <c r="K19" s="1814" t="s">
        <v>1440</v>
      </c>
      <c r="L19" s="345" t="s">
        <v>1424</v>
      </c>
      <c r="M19" s="365">
        <f>IF(K19="按租金收入计税",'数据-取费表'!B51,'数据-取费表'!B50)</f>
        <v>1.2E-2</v>
      </c>
    </row>
    <row r="20" spans="1:37" s="1844" customFormat="1" ht="18" customHeight="1">
      <c r="A20" s="1194" t="s">
        <v>1039</v>
      </c>
      <c r="B20" s="345" t="s">
        <v>1441</v>
      </c>
      <c r="C20" s="24">
        <f ca="1">ROUND(C19*F20,0)</f>
        <v>3034</v>
      </c>
      <c r="D20" s="367" t="s">
        <v>1442</v>
      </c>
      <c r="E20" s="345" t="s">
        <v>1424</v>
      </c>
      <c r="F20" s="365">
        <f>'数据-取费表'!B37</f>
        <v>1.4999999999999999E-2</v>
      </c>
      <c r="G20" s="1840"/>
      <c r="H20" s="1194" t="s">
        <v>1390</v>
      </c>
      <c r="I20" s="162" t="s">
        <v>1443</v>
      </c>
      <c r="J20" s="25">
        <f ca="1">ROUND(M20*M21,0)</f>
        <v>25</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v>
      </c>
      <c r="D21" s="367" t="s">
        <v>1447</v>
      </c>
      <c r="E21" s="345" t="s">
        <v>1448</v>
      </c>
      <c r="F21" s="365">
        <f>'数据-取费表'!B38</f>
        <v>2.5000000000000001E-2</v>
      </c>
      <c r="G21" s="1840"/>
      <c r="H21" s="370"/>
      <c r="I21" s="354"/>
      <c r="J21" s="29"/>
      <c r="K21" s="371"/>
      <c r="L21" s="345" t="s">
        <v>1449</v>
      </c>
      <c r="M21" s="346">
        <f ca="1">INDIRECT("'数据-取费表'!r"&amp;$G$1)</f>
        <v>4.9799999999999995</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1804"/>
      <c r="F22" s="26"/>
      <c r="G22" s="1837"/>
      <c r="H22" s="1194" t="s">
        <v>1039</v>
      </c>
      <c r="I22" s="345" t="s">
        <v>1451</v>
      </c>
      <c r="J22" s="24">
        <f ca="1">ROUND(J14*M22,0)</f>
        <v>4198</v>
      </c>
      <c r="K22" s="1784"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9751</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ROUND(J13*M23,0)</f>
        <v>0</v>
      </c>
      <c r="K23" s="1784" t="s">
        <v>1456</v>
      </c>
      <c r="L23" s="345" t="s">
        <v>1457</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1458</v>
      </c>
      <c r="B24" s="345" t="s">
        <v>1459</v>
      </c>
      <c r="C24" s="24">
        <f ca="1">ROUND(IF('数据-取费表'!B22&lt;=1,F21*F24*F23/2,F21*(POWER((1+F24),F23/2)-1)),4)</f>
        <v>1.1999999999999999E-3</v>
      </c>
      <c r="D24" s="373" t="str">
        <f>IF(F23&lt;=1,"销售费用×利率×(建设周期÷2)","销售费用×((1+利率)^(建设周期÷2)-1)")</f>
        <v>销售费用×((1+利率)^(建设周期÷2)-1)</v>
      </c>
      <c r="E24" s="345" t="s">
        <v>1460</v>
      </c>
      <c r="F24" s="375">
        <f ca="1">'数据-取费表'!B40</f>
        <v>4.7500000000000001E-2</v>
      </c>
      <c r="G24" s="1840"/>
      <c r="H24" s="1324" t="s">
        <v>1394</v>
      </c>
      <c r="I24" s="1325" t="s">
        <v>1441</v>
      </c>
      <c r="J24" s="1326">
        <f ca="1">ROUND(J5*M24,0)</f>
        <v>0</v>
      </c>
      <c r="K24" s="1327" t="s">
        <v>1461</v>
      </c>
      <c r="L24" s="1325" t="s">
        <v>1457</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4" t="s">
        <v>1462</v>
      </c>
      <c r="B25" s="345" t="s">
        <v>1463</v>
      </c>
      <c r="C25" s="24"/>
      <c r="D25" s="138" t="s">
        <v>1464</v>
      </c>
      <c r="E25" s="1804"/>
      <c r="F25" s="26"/>
      <c r="G25" s="1837"/>
      <c r="H25" s="1314" t="s">
        <v>1031</v>
      </c>
      <c r="I25" s="1329" t="s">
        <v>1465</v>
      </c>
      <c r="J25" s="353">
        <f ca="1">J5-J16</f>
        <v>-6574</v>
      </c>
      <c r="K25" s="1330" t="s">
        <v>1466</v>
      </c>
      <c r="L25" s="1331"/>
      <c r="M25" s="1332"/>
    </row>
    <row r="26" spans="1:37" ht="18" customHeight="1">
      <c r="A26" s="1194" t="s">
        <v>1034</v>
      </c>
      <c r="B26" s="345" t="s">
        <v>1467</v>
      </c>
      <c r="C26" s="24">
        <f ca="1">ROUND((C19+C20)*F26,0)</f>
        <v>41057</v>
      </c>
      <c r="D26" s="367" t="s">
        <v>1468</v>
      </c>
      <c r="E26" s="356" t="s">
        <v>1469</v>
      </c>
      <c r="F26" s="355">
        <f ca="1">INDIRECT("'数据-取费表'!q"&amp;$G$1)</f>
        <v>0.2</v>
      </c>
      <c r="G26" s="1837"/>
      <c r="H26" s="342" t="s">
        <v>1032</v>
      </c>
      <c r="I26" s="343" t="s">
        <v>1470</v>
      </c>
      <c r="J26" s="344">
        <f ca="1">IF(J5&lt;&gt;0,ROUND(J25*(1-((1+M28)/(1+M26))^M27)/(M26-M28),0),0)</f>
        <v>0</v>
      </c>
      <c r="K26" s="368" t="s">
        <v>1471</v>
      </c>
      <c r="L26" s="345" t="s">
        <v>1472</v>
      </c>
      <c r="M26" s="355">
        <f ca="1">INDIRECT("'数据-取费表'!I"&amp;$G$1)</f>
        <v>5.5E-2</v>
      </c>
    </row>
    <row r="27" spans="1:37" ht="18" customHeight="1">
      <c r="A27" s="1194" t="s">
        <v>1036</v>
      </c>
      <c r="B27" s="345" t="s">
        <v>1473</v>
      </c>
      <c r="C27" s="24">
        <f ca="1">ROUND(F21*F26,4)</f>
        <v>5.0000000000000001E-3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279881</v>
      </c>
      <c r="D29" s="1327"/>
      <c r="E29" s="1325"/>
      <c r="F29" s="1328"/>
      <c r="G29" s="1840"/>
      <c r="H29" s="378" t="s">
        <v>1033</v>
      </c>
      <c r="I29" s="379" t="s">
        <v>1481</v>
      </c>
      <c r="J29" s="380">
        <f ca="1">ROUND(J26/(1+F40)^F41,0)</f>
        <v>0</v>
      </c>
      <c r="K29" s="381" t="s">
        <v>1482</v>
      </c>
      <c r="L29" s="382"/>
      <c r="M29" s="383">
        <f ca="1">INDIRECT("'数据-取费表'!k"&amp;$G$1)</f>
        <v>59.58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10697</v>
      </c>
      <c r="D30" s="1322" t="s">
        <v>1427</v>
      </c>
      <c r="E30" s="1323"/>
      <c r="F30" s="1279"/>
      <c r="G30" s="1837"/>
      <c r="H30" s="742"/>
      <c r="I30" s="743"/>
      <c r="J30" s="744"/>
      <c r="K30" s="745"/>
      <c r="L30" s="746"/>
      <c r="M30" s="747"/>
    </row>
    <row r="31" spans="1:37" ht="18" customHeight="1">
      <c r="A31" s="1194" t="s">
        <v>1035</v>
      </c>
      <c r="B31" s="345" t="s">
        <v>1431</v>
      </c>
      <c r="C31" s="24">
        <f ca="1">ROUND(IF(项目基本情况!B11="自然人",C5*F31,C32+C33+C34),0)</f>
        <v>5778</v>
      </c>
      <c r="D31" s="1786" t="s">
        <v>1432</v>
      </c>
      <c r="E31" s="1784"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IF(项目基本情况!B11="自然人","——",ROUND(C5*F32/(1+'数据-取费表'!C42),0))</f>
        <v>1781</v>
      </c>
      <c r="D32" s="1784"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IF(项目基本情况!B11="自然人","——",IF(D33="按租金收入计税",ROUND(C5*F33,0),IF(D33="按房产原值计税",ROUND(C29*F33*0.7,0),INDIRECT("'数据-取费表'!Aj"&amp;$G$1))))</f>
        <v>3972</v>
      </c>
      <c r="D33" s="2952" t="s">
        <v>3204</v>
      </c>
      <c r="E33" s="345" t="s">
        <v>1424</v>
      </c>
      <c r="F33" s="365">
        <f>IF(D33="按票据","——",IF(D33="按租金收入计税",'数据-取费表'!B51,'数据-取费表'!B50))</f>
        <v>0.12</v>
      </c>
      <c r="G33" s="1837"/>
      <c r="H33" s="1845"/>
      <c r="I33" s="1846"/>
      <c r="J33" s="1847"/>
      <c r="K33" s="1848"/>
      <c r="L33" s="1845"/>
      <c r="M33" s="1845"/>
    </row>
    <row r="34" spans="1:18" ht="18" customHeight="1">
      <c r="A34" s="1276" t="s">
        <v>1390</v>
      </c>
      <c r="B34" s="162" t="s">
        <v>1443</v>
      </c>
      <c r="C34" s="25">
        <f ca="1">IF(项目基本情况!B11="自然人","——",ROUND(F34*F35,))</f>
        <v>25</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4.9799999999999995</v>
      </c>
      <c r="G35" s="1837"/>
      <c r="H35" s="742"/>
      <c r="I35" s="1846"/>
      <c r="J35" s="1847"/>
      <c r="K35" s="1848"/>
      <c r="L35" s="1845"/>
      <c r="M35" s="1845"/>
    </row>
    <row r="36" spans="1:18" ht="18" customHeight="1">
      <c r="A36" s="1337" t="s">
        <v>1039</v>
      </c>
      <c r="B36" s="345" t="s">
        <v>1451</v>
      </c>
      <c r="C36" s="24">
        <f ca="1">ROUND(C29*F36,0)</f>
        <v>4198</v>
      </c>
      <c r="D36" s="1784"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ROUND(C13*F37,0)</f>
        <v>390</v>
      </c>
      <c r="D37" s="1784" t="s">
        <v>1456</v>
      </c>
      <c r="E37" s="345" t="s">
        <v>1457</v>
      </c>
      <c r="F37" s="374">
        <f ca="1">INDIRECT("'数据-取费表'!Al"&amp;$G$1)</f>
        <v>1.5E-3</v>
      </c>
      <c r="G37" s="1837"/>
      <c r="H37" s="1845"/>
      <c r="I37" s="1846"/>
      <c r="J37" s="1847"/>
      <c r="K37" s="748"/>
      <c r="L37" s="1845"/>
      <c r="M37" s="1845"/>
    </row>
    <row r="38" spans="1:18" ht="18" customHeight="1" thickBot="1">
      <c r="A38" s="1324" t="s">
        <v>1394</v>
      </c>
      <c r="B38" s="1325" t="s">
        <v>1441</v>
      </c>
      <c r="C38" s="1326">
        <f ca="1">ROUND(C5*F38,1)</f>
        <v>331</v>
      </c>
      <c r="D38" s="1327" t="s">
        <v>1461</v>
      </c>
      <c r="E38" s="1325" t="s">
        <v>1457</v>
      </c>
      <c r="F38" s="1321">
        <f ca="1">INDIRECT("'数据-取费表'!Am"&amp;$G$1)</f>
        <v>0.01</v>
      </c>
      <c r="G38" s="1837"/>
      <c r="H38" s="1845"/>
      <c r="I38" s="1846"/>
      <c r="J38" s="1847"/>
      <c r="K38" s="1851"/>
      <c r="L38" s="1845"/>
      <c r="M38" s="1845"/>
    </row>
    <row r="39" spans="1:18" ht="24.6" customHeight="1" thickTop="1">
      <c r="A39" s="1314" t="s">
        <v>1031</v>
      </c>
      <c r="B39" s="1329" t="s">
        <v>1485</v>
      </c>
      <c r="C39" s="353">
        <f ca="1">C5-C30</f>
        <v>22401</v>
      </c>
      <c r="D39" s="1330" t="s">
        <v>1486</v>
      </c>
      <c r="E39" s="1331"/>
      <c r="F39" s="1332"/>
      <c r="G39" s="1837"/>
      <c r="H39" s="1845"/>
      <c r="I39" s="1846"/>
      <c r="J39" s="1847"/>
      <c r="K39" s="1851"/>
      <c r="L39" s="1845"/>
      <c r="M39" s="1845"/>
    </row>
    <row r="40" spans="1:18" ht="18" customHeight="1">
      <c r="A40" s="342" t="s">
        <v>1032</v>
      </c>
      <c r="B40" s="343" t="s">
        <v>1487</v>
      </c>
      <c r="C40" s="344">
        <f ca="1">ROUND(C39*(1-((1+F42)/(1+F40))^F41)/(F40-F42),0)</f>
        <v>563084</v>
      </c>
      <c r="D40" s="368" t="s">
        <v>1471</v>
      </c>
      <c r="E40" s="345" t="s">
        <v>1472</v>
      </c>
      <c r="F40" s="355">
        <f ca="1">INDIRECT("'数据-取费表'!I"&amp;$G$1)</f>
        <v>5.5E-2</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41.28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ROUND(C40/F43,0)</f>
        <v>9451</v>
      </c>
      <c r="D43" s="381" t="s">
        <v>1490</v>
      </c>
      <c r="E43" s="382" t="s">
        <v>1491</v>
      </c>
      <c r="F43" s="383">
        <f ca="1">INDIRECT("'数据-取费表'!k"&amp;$G$1)</f>
        <v>59.58</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925">
        <f ca="1">C68-C40</f>
        <v>-1270000</v>
      </c>
      <c r="D45" s="1926" t="s">
        <v>1606</v>
      </c>
      <c r="E45" s="1852"/>
      <c r="F45" s="1852"/>
      <c r="O45" s="1855" t="s">
        <v>1521</v>
      </c>
      <c r="P45" s="1825"/>
      <c r="Q45" s="1825"/>
      <c r="R45" s="1825"/>
    </row>
    <row r="46" spans="1:18" s="1828" customFormat="1" ht="13.5" thickBot="1">
      <c r="A46" s="1856" t="s">
        <v>1522</v>
      </c>
      <c r="C46" s="1857">
        <f ca="1">ROUND(C45/10000,0)</f>
        <v>-127</v>
      </c>
      <c r="D46" s="1858" t="str">
        <f>C2</f>
        <v>万元</v>
      </c>
      <c r="I46" s="1859" t="s">
        <v>1523</v>
      </c>
      <c r="J46" s="1860"/>
      <c r="K46" s="1861"/>
      <c r="L46" s="1862">
        <f ca="1">IF(M47="住宅",0,IF(L48&gt;J51,L60,J60))</f>
        <v>3859</v>
      </c>
      <c r="O46" s="1863" t="s">
        <v>1524</v>
      </c>
      <c r="P46" s="1864" t="s">
        <v>1525</v>
      </c>
      <c r="Q46" s="1865" t="s">
        <v>1526</v>
      </c>
      <c r="R46" s="1865" t="s">
        <v>1527</v>
      </c>
    </row>
    <row r="47" spans="1:18" s="1828" customFormat="1" ht="13.5" thickBot="1">
      <c r="A47" s="1158" t="s">
        <v>1397</v>
      </c>
      <c r="B47" s="1190" t="s">
        <v>1398</v>
      </c>
      <c r="C47" s="1190" t="s">
        <v>1399</v>
      </c>
      <c r="D47" s="1190" t="s">
        <v>1400</v>
      </c>
      <c r="E47" s="1264" t="s">
        <v>1401</v>
      </c>
      <c r="F47" s="1265"/>
      <c r="G47" s="789"/>
      <c r="I47" s="1866" t="s">
        <v>1528</v>
      </c>
      <c r="J47" s="1867" t="s">
        <v>3061</v>
      </c>
      <c r="K47" s="1868" t="s">
        <v>1529</v>
      </c>
      <c r="L47" s="1869">
        <f ca="1">INDIRECT("'数据-取费表'!d"&amp;$G$1)</f>
        <v>50</v>
      </c>
      <c r="M47" s="1824" t="str">
        <f>IF(ISNUMBER(FIND("住宅",C1)),"住宅","非住宅")</f>
        <v>非住宅</v>
      </c>
      <c r="O47" s="1870" t="s">
        <v>1040</v>
      </c>
      <c r="P47" s="1871" t="s">
        <v>1530</v>
      </c>
      <c r="Q47" s="1872">
        <f ca="1">C40+J29</f>
        <v>563084</v>
      </c>
      <c r="R47" s="1872" t="s">
        <v>1531</v>
      </c>
    </row>
    <row r="48" spans="1:18" s="1828" customFormat="1" ht="28.5" thickBot="1">
      <c r="A48" s="1345" t="s">
        <v>1135</v>
      </c>
      <c r="B48" s="343" t="s">
        <v>1402</v>
      </c>
      <c r="C48" s="1803">
        <f ca="1">C49+C53+C55</f>
        <v>0</v>
      </c>
      <c r="D48" s="1347"/>
      <c r="E48" s="1348"/>
      <c r="F48" s="1174"/>
      <c r="G48" s="789"/>
      <c r="H48" s="790"/>
      <c r="I48" s="1873" t="s">
        <v>1532</v>
      </c>
      <c r="J48" s="1874" t="s">
        <v>3062</v>
      </c>
      <c r="K48" s="1875" t="s">
        <v>1533</v>
      </c>
      <c r="L48" s="1876">
        <f ca="1">INDIRECT("'数据-取费表'!f"&amp;$G$1)</f>
        <v>41.28</v>
      </c>
      <c r="O48" s="1870" t="s">
        <v>1041</v>
      </c>
      <c r="P48" s="1871" t="s">
        <v>1534</v>
      </c>
      <c r="Q48" s="1872">
        <f ca="1">J60</f>
        <v>3859</v>
      </c>
      <c r="R48" s="1872" t="s">
        <v>1535</v>
      </c>
    </row>
    <row r="49" spans="1:18" s="1828" customFormat="1" ht="13.5" thickBot="1">
      <c r="A49" s="1187" t="s">
        <v>1136</v>
      </c>
      <c r="B49" s="1815" t="s">
        <v>1492</v>
      </c>
      <c r="C49" s="1349">
        <f ca="1">ROUND(F49*F51*F50*(1-F52),0)</f>
        <v>0</v>
      </c>
      <c r="D49" s="1261" t="s">
        <v>1405</v>
      </c>
      <c r="E49" s="1816" t="s">
        <v>1493</v>
      </c>
      <c r="F49" s="1266"/>
      <c r="G49" s="1877"/>
      <c r="H49" s="790"/>
      <c r="I49" s="1873" t="s">
        <v>1536</v>
      </c>
      <c r="J49" s="1878">
        <v>2013</v>
      </c>
      <c r="K49" s="1875" t="s">
        <v>1537</v>
      </c>
      <c r="L49" s="1879"/>
      <c r="O49" s="1880" t="s">
        <v>1042</v>
      </c>
      <c r="P49" s="1871" t="s">
        <v>1538</v>
      </c>
      <c r="Q49" s="1872">
        <f ca="1">C29</f>
        <v>279881</v>
      </c>
      <c r="R49" s="1872" t="s">
        <v>1531</v>
      </c>
    </row>
    <row r="50" spans="1:18" s="1828" customFormat="1" ht="13.5" thickBot="1">
      <c r="A50" s="1188"/>
      <c r="B50" s="1191"/>
      <c r="C50" s="1192"/>
      <c r="D50" s="1165"/>
      <c r="E50" s="1262" t="s">
        <v>1407</v>
      </c>
      <c r="F50" s="1263">
        <f ca="1">F7</f>
        <v>59.58</v>
      </c>
      <c r="H50" s="790"/>
      <c r="I50" s="1873" t="s">
        <v>1539</v>
      </c>
      <c r="J50" s="1881">
        <f>SUMPRODUCT((I63:I65=J47)*(J62:L62=J48)*(J63:L65))</f>
        <v>60</v>
      </c>
      <c r="K50" s="1875" t="s">
        <v>1540</v>
      </c>
      <c r="L50" s="1879"/>
      <c r="M50" s="1882"/>
      <c r="O50" s="1880" t="s">
        <v>1043</v>
      </c>
      <c r="P50" s="1871" t="s">
        <v>1541</v>
      </c>
      <c r="Q50" s="1883">
        <f ca="1">J58</f>
        <v>0.4</v>
      </c>
      <c r="R50" s="1872"/>
    </row>
    <row r="51" spans="1:18" s="1828" customFormat="1" ht="13.5" thickBot="1">
      <c r="A51" s="1189"/>
      <c r="B51" s="1191"/>
      <c r="C51" s="1192"/>
      <c r="D51" s="1165"/>
      <c r="E51" s="1193" t="s">
        <v>1408</v>
      </c>
      <c r="F51" s="346">
        <f ca="1">F8</f>
        <v>365</v>
      </c>
      <c r="I51" s="1884" t="s">
        <v>1542</v>
      </c>
      <c r="J51" s="1885">
        <f>IF(J49="",J50,J49+J50-YEAR('数据-取费表'!B2))</f>
        <v>56</v>
      </c>
      <c r="K51" s="1886" t="s">
        <v>1543</v>
      </c>
      <c r="L51" s="1887">
        <f ca="1">ROUND(-PV(INDIRECT("'数据-取费表'!h"&amp;$G$1),L48,(C39-C13*C76),0),0)</f>
        <v>4791</v>
      </c>
      <c r="M51" s="1888"/>
      <c r="O51" s="1880" t="s">
        <v>1044</v>
      </c>
      <c r="P51" s="1871" t="s">
        <v>1544</v>
      </c>
      <c r="Q51" s="1883">
        <f>J52</f>
        <v>8.5000000000000006E-2</v>
      </c>
      <c r="R51" s="1872"/>
    </row>
    <row r="52" spans="1:18" s="1828" customFormat="1" ht="13.5" thickBot="1">
      <c r="A52" s="1189"/>
      <c r="B52" s="1191"/>
      <c r="C52" s="1192"/>
      <c r="D52" s="1165"/>
      <c r="E52" s="1193" t="s">
        <v>1409</v>
      </c>
      <c r="F52" s="1260"/>
      <c r="I52" s="1889" t="s">
        <v>1545</v>
      </c>
      <c r="J52" s="1890">
        <v>8.5000000000000006E-2</v>
      </c>
      <c r="K52" s="1889" t="s">
        <v>1546</v>
      </c>
      <c r="L52" s="1890">
        <v>0.05</v>
      </c>
      <c r="O52" s="1880" t="s">
        <v>1045</v>
      </c>
      <c r="P52" s="1871" t="s">
        <v>1547</v>
      </c>
      <c r="Q52" s="1872">
        <f ca="1">J53</f>
        <v>41.28</v>
      </c>
      <c r="R52" s="1872" t="s">
        <v>1548</v>
      </c>
    </row>
    <row r="53" spans="1:18" s="1828" customFormat="1" ht="30.75" customHeight="1" thickBot="1">
      <c r="A53" s="1346" t="s">
        <v>1137</v>
      </c>
      <c r="B53" s="367" t="s">
        <v>1410</v>
      </c>
      <c r="C53" s="359">
        <f ca="1">ROUND(IF(F53="押一",F49*F51*F50/12*F11,IF(F53="押二",F49*F51*F50/12*2*F11,IF(F53="押三",F49*F51*F50/12*3*F11,C54*F11))),0)</f>
        <v>0</v>
      </c>
      <c r="D53" s="1810" t="s">
        <v>1411</v>
      </c>
      <c r="E53" s="356" t="s">
        <v>1412</v>
      </c>
      <c r="F53" s="1351"/>
      <c r="I53" s="1891" t="s">
        <v>1549</v>
      </c>
      <c r="J53" s="1892">
        <f ca="1">IF(M47="住宅",J51,IF(D1="——",MIN(J51,L48),IF(D1="在建（套用方法）",MIN(J51,L48-'数据-取费表'!B24),IF(D1="土地（套用方法）",MIN(J51,L48-'数据-取费表'!B20)))))</f>
        <v>41.28</v>
      </c>
      <c r="K53" s="3202" t="s">
        <v>1550</v>
      </c>
      <c r="L53" s="3203"/>
      <c r="O53" s="1870" t="s">
        <v>1046</v>
      </c>
      <c r="P53" s="1871" t="s">
        <v>1551</v>
      </c>
      <c r="Q53" s="1872">
        <f ca="1">Q47+Q48</f>
        <v>566943</v>
      </c>
      <c r="R53" s="1872" t="s">
        <v>1047</v>
      </c>
    </row>
    <row r="54" spans="1:18" s="1828" customFormat="1" ht="13.5" thickBot="1">
      <c r="A54" s="1187"/>
      <c r="B54" s="1927" t="s">
        <v>1605</v>
      </c>
      <c r="C54" s="1171"/>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1818"/>
      <c r="F55" s="1893"/>
      <c r="I55" s="1896" t="s">
        <v>1553</v>
      </c>
      <c r="J55" s="1897">
        <f ca="1">ROUND(IF(J47="钢混",J57/J50,1-(1-2%)*(J50-J57)/J50),3)</f>
        <v>0.245</v>
      </c>
      <c r="K55" s="1898" t="s">
        <v>1554</v>
      </c>
      <c r="L55" s="1899"/>
      <c r="O55" s="1863" t="s">
        <v>1524</v>
      </c>
      <c r="P55" s="1864" t="s">
        <v>1525</v>
      </c>
      <c r="Q55" s="1865" t="s">
        <v>1526</v>
      </c>
      <c r="R55" s="1865" t="s">
        <v>1527</v>
      </c>
    </row>
    <row r="56" spans="1:18" s="1828" customFormat="1" ht="36" customHeight="1" thickTop="1" thickBot="1">
      <c r="A56" s="1169">
        <v>2</v>
      </c>
      <c r="B56" s="1170" t="s">
        <v>1416</v>
      </c>
      <c r="C56" s="274">
        <f ca="1">C13</f>
        <v>260289</v>
      </c>
      <c r="D56" s="1900"/>
      <c r="E56" s="1901"/>
      <c r="F56" s="1893"/>
      <c r="I56" s="1902" t="s">
        <v>1556</v>
      </c>
      <c r="J56" s="1903" t="s">
        <v>3045</v>
      </c>
      <c r="K56" s="1873" t="s">
        <v>1557</v>
      </c>
      <c r="L56" s="1876" t="str">
        <f ca="1">IF(L48&lt;J51,"——",L48-J51)</f>
        <v>——</v>
      </c>
      <c r="O56" s="1870" t="s">
        <v>1040</v>
      </c>
      <c r="P56" s="1871" t="s">
        <v>1530</v>
      </c>
      <c r="Q56" s="1872">
        <f ca="1">C40+J29</f>
        <v>563084</v>
      </c>
      <c r="R56" s="1872" t="s">
        <v>1531</v>
      </c>
    </row>
    <row r="57" spans="1:18" s="1828" customFormat="1" ht="24.75" thickBot="1">
      <c r="A57" s="1904"/>
      <c r="B57" s="1162" t="s">
        <v>1480</v>
      </c>
      <c r="C57" s="280">
        <f ca="1">C29</f>
        <v>279881</v>
      </c>
      <c r="D57" s="1905"/>
      <c r="E57" s="1906"/>
      <c r="F57" s="1907"/>
      <c r="I57" s="1908" t="s">
        <v>1558</v>
      </c>
      <c r="J57" s="1909">
        <f ca="1">IF(OR(M47="住宅",J51&lt;L48,J56="是"),"——",J51-L48)</f>
        <v>14.719999999999999</v>
      </c>
      <c r="K57" s="1873" t="s">
        <v>1607</v>
      </c>
      <c r="L57" s="1876" t="str">
        <f ca="1">IF(L48&lt;J51,"——",IF(L55="比较法",L49,IF(L55="基准地价",L50,L51)))</f>
        <v>——</v>
      </c>
      <c r="O57" s="1870" t="s">
        <v>1041</v>
      </c>
      <c r="P57" s="1871" t="s">
        <v>1608</v>
      </c>
      <c r="Q57" s="1872">
        <f ca="1">L60</f>
        <v>0</v>
      </c>
      <c r="R57" s="1872" t="s">
        <v>1609</v>
      </c>
    </row>
    <row r="58" spans="1:18" s="1828" customFormat="1" ht="24.75" thickBot="1">
      <c r="A58" s="358" t="s">
        <v>1030</v>
      </c>
      <c r="B58" s="1170" t="s">
        <v>1426</v>
      </c>
      <c r="C58" s="359">
        <f ca="1">ROUND(C59+C64+C65+C66,0)</f>
        <v>28123</v>
      </c>
      <c r="D58" s="1172" t="s">
        <v>1427</v>
      </c>
      <c r="E58" s="1173"/>
      <c r="F58" s="1174"/>
      <c r="I58" s="1908" t="s">
        <v>1562</v>
      </c>
      <c r="J58" s="1910">
        <f ca="1">IF(J55&lt;0.4,0.4,J55)</f>
        <v>0.4</v>
      </c>
      <c r="K58" s="1886" t="s">
        <v>1610</v>
      </c>
      <c r="L58" s="1876">
        <f ca="1">ROUND(POWER(1+L52,L47-L48)*(POWER(1+L52,L48)-1)/(POWER(1+L52,L47)-1),4)</f>
        <v>0.94930000000000003</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ROUND(IF(项目基本情况!B11="自然人",C48*F59,C60+C61+C62),0)</f>
        <v>23535</v>
      </c>
      <c r="D59" s="1175" t="s">
        <v>1432</v>
      </c>
      <c r="E59" s="1176" t="s">
        <v>1433</v>
      </c>
      <c r="F59" s="366" t="str">
        <f ca="1">IF(项目基本情况!B11="企业","",IF(INDIRECT("'数据-取费表'!c"&amp;$G$1)="住宅",5%,IF(F49*F50*F51/12/(1+'数据-取费表'!C42)&gt;20000,12%,7%)))</f>
        <v/>
      </c>
      <c r="I59" s="1908" t="s">
        <v>1565</v>
      </c>
      <c r="J59" s="1909">
        <f ca="1">IF(OR(M47="住宅",J51&lt;L48,J56="是"),"——",ROUND(C29*J58,0))</f>
        <v>111952</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1.0242</v>
      </c>
      <c r="M59" s="1825">
        <f ca="1">ROUND(POWER(1+L52,L47-(J51+'数据-取费表'!B24))*(POWER(1+L52,(J51+'数据-取费表'!B24))-1)/(POWER(1+L52,L47)-1),4)</f>
        <v>1.0242</v>
      </c>
      <c r="N59" s="1825">
        <f ca="1">ROUND(POWER(1+L52,L47-(J51+'数据-取费表'!B20))*(POWER(1+L52,(J51+'数据-取费表'!B20))-1)/(POWER(1+L52,L47)-1),4)</f>
        <v>1.0308999999999999</v>
      </c>
      <c r="O59" s="1880" t="s">
        <v>1043</v>
      </c>
      <c r="P59" s="1871" t="s">
        <v>1566</v>
      </c>
      <c r="Q59" s="1883">
        <f>L52</f>
        <v>0.05</v>
      </c>
      <c r="R59" s="1872"/>
    </row>
    <row r="60" spans="1:18" s="1828" customFormat="1" ht="16.5" thickBot="1">
      <c r="A60" s="1194" t="s">
        <v>1034</v>
      </c>
      <c r="B60" s="1162" t="s">
        <v>1435</v>
      </c>
      <c r="C60" s="24">
        <f ca="1">IF(项目基本情况!B11="自然人","——",ROUND(C48*F60/(1+'数据-取费表'!C42),0))</f>
        <v>0</v>
      </c>
      <c r="D60" s="1176" t="s">
        <v>1436</v>
      </c>
      <c r="E60" s="1162" t="s">
        <v>1424</v>
      </c>
      <c r="F60" s="375">
        <f t="shared" ref="F60:F66" si="0">F32</f>
        <v>5.6500000000000002E-2</v>
      </c>
      <c r="I60" s="1911" t="s">
        <v>1567</v>
      </c>
      <c r="J60" s="1912">
        <f ca="1">IF(OR(M47="住宅",J51&lt;L48,J56="是"),"0",ROUND(J59/(1+J52)^J53,0))</f>
        <v>3859</v>
      </c>
      <c r="K60" s="1913" t="s">
        <v>1568</v>
      </c>
      <c r="L60" s="1912">
        <f ca="1">IF(OR(M47="住宅",L48&lt;J51),0,ROUND(L57*(L58/L59-1),0))</f>
        <v>0</v>
      </c>
      <c r="O60" s="1880" t="s">
        <v>1044</v>
      </c>
      <c r="P60" s="1871" t="s">
        <v>1569</v>
      </c>
      <c r="Q60" s="1872">
        <f ca="1">L58</f>
        <v>0.94930000000000003</v>
      </c>
      <c r="R60" s="1872" t="s">
        <v>1570</v>
      </c>
    </row>
    <row r="61" spans="1:18" s="1828" customFormat="1" ht="13.5" thickBot="1">
      <c r="A61" s="1194" t="s">
        <v>1494</v>
      </c>
      <c r="B61" s="1162" t="s">
        <v>1495</v>
      </c>
      <c r="C61" s="24">
        <f ca="1">IF(项目基本情况!B11="自然人","——",IF(D61="按租金收入计税",ROUND(C48*F61,0),IF(D61="按房产原值计税",ROUND(C57*F61*0.7,0),INDIRECT("'数据-取费表'!Aj"&amp;$G$1))))</f>
        <v>23510</v>
      </c>
      <c r="D61" s="1814" t="s">
        <v>1440</v>
      </c>
      <c r="E61" s="1162" t="s">
        <v>1496</v>
      </c>
      <c r="F61" s="365">
        <f t="shared" si="0"/>
        <v>0.12</v>
      </c>
      <c r="I61" s="1914"/>
      <c r="J61" s="1914"/>
      <c r="K61" s="1914"/>
      <c r="L61" s="1914"/>
      <c r="O61" s="1880" t="s">
        <v>1045</v>
      </c>
      <c r="P61" s="1871" t="str">
        <f>K59</f>
        <v>建筑物剩余耐用年限下的土地年期修正系数Kn</v>
      </c>
      <c r="Q61" s="1872">
        <f ca="1">L59</f>
        <v>1.0242</v>
      </c>
      <c r="R61" s="1872" t="s">
        <v>1571</v>
      </c>
    </row>
    <row r="62" spans="1:18" s="1828" customFormat="1" ht="13.5" thickBot="1">
      <c r="A62" s="1194" t="s">
        <v>1497</v>
      </c>
      <c r="B62" s="1161" t="s">
        <v>1498</v>
      </c>
      <c r="C62" s="25">
        <f ca="1">IF(项目基本情况!B11="自然人","——",ROUND(F62*F63,0))</f>
        <v>25</v>
      </c>
      <c r="D62" s="1177" t="s">
        <v>1499</v>
      </c>
      <c r="E62" s="1162" t="s">
        <v>1500</v>
      </c>
      <c r="F62" s="369">
        <f t="shared" si="0"/>
        <v>5</v>
      </c>
      <c r="I62" s="1915" t="s">
        <v>1572</v>
      </c>
      <c r="J62" s="1916" t="s">
        <v>1573</v>
      </c>
      <c r="K62" s="1916" t="s">
        <v>1574</v>
      </c>
      <c r="L62" s="1916" t="s">
        <v>1575</v>
      </c>
      <c r="M62" s="1917" t="s">
        <v>1576</v>
      </c>
      <c r="O62" s="1870" t="s">
        <v>1046</v>
      </c>
      <c r="P62" s="1871" t="s">
        <v>1577</v>
      </c>
      <c r="Q62" s="1872">
        <f ca="1">Q56+Q57</f>
        <v>563084</v>
      </c>
      <c r="R62" s="1872" t="s">
        <v>1047</v>
      </c>
    </row>
    <row r="63" spans="1:18" s="1828" customFormat="1" ht="13.5" thickBot="1">
      <c r="A63" s="370"/>
      <c r="B63" s="1168"/>
      <c r="C63" s="29"/>
      <c r="D63" s="1178"/>
      <c r="E63" s="1162" t="s">
        <v>1501</v>
      </c>
      <c r="F63" s="346">
        <f t="shared" ca="1" si="0"/>
        <v>4.9799999999999995</v>
      </c>
      <c r="I63" s="1915" t="s">
        <v>1578</v>
      </c>
      <c r="J63" s="1916">
        <v>70</v>
      </c>
      <c r="K63" s="1916">
        <v>50</v>
      </c>
      <c r="L63" s="1916">
        <v>80</v>
      </c>
      <c r="M63" s="1918">
        <v>0.02</v>
      </c>
      <c r="O63" s="1855" t="s">
        <v>1579</v>
      </c>
      <c r="P63" s="1825"/>
      <c r="Q63" s="1825"/>
      <c r="R63" s="1825"/>
    </row>
    <row r="64" spans="1:18" s="1828" customFormat="1" ht="13.5" thickBot="1">
      <c r="A64" s="1194" t="s">
        <v>1502</v>
      </c>
      <c r="B64" s="1162" t="s">
        <v>1503</v>
      </c>
      <c r="C64" s="24">
        <f ca="1">ROUND(C57*F64,0)</f>
        <v>4198</v>
      </c>
      <c r="D64" s="1176" t="s">
        <v>1504</v>
      </c>
      <c r="E64" s="1162" t="s">
        <v>1496</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ROUND(C56*F65,0)</f>
        <v>390</v>
      </c>
      <c r="D65" s="1176" t="s">
        <v>1456</v>
      </c>
      <c r="E65" s="1162" t="s">
        <v>1457</v>
      </c>
      <c r="F65" s="374">
        <f t="shared" ca="1" si="0"/>
        <v>1.5E-3</v>
      </c>
      <c r="I65" s="1915" t="s">
        <v>1581</v>
      </c>
      <c r="J65" s="1916">
        <v>40</v>
      </c>
      <c r="K65" s="1916">
        <v>30</v>
      </c>
      <c r="L65" s="1916">
        <v>50</v>
      </c>
      <c r="M65" s="1918">
        <v>0.02</v>
      </c>
      <c r="O65" s="1870" t="s">
        <v>1040</v>
      </c>
      <c r="P65" s="1871" t="s">
        <v>1582</v>
      </c>
      <c r="Q65" s="1872">
        <f ca="1">C40+J29</f>
        <v>563084</v>
      </c>
      <c r="R65" s="1872" t="s">
        <v>1531</v>
      </c>
    </row>
    <row r="66" spans="1:18" s="1828" customFormat="1" ht="16.5" thickBot="1">
      <c r="A66" s="1194" t="s">
        <v>1506</v>
      </c>
      <c r="B66" s="1162" t="s">
        <v>1441</v>
      </c>
      <c r="C66" s="24">
        <f ca="1">ROUND(C48*F66,0)</f>
        <v>0</v>
      </c>
      <c r="D66" s="1176" t="s">
        <v>1507</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-28123</v>
      </c>
      <c r="D67" s="1175" t="s">
        <v>1466</v>
      </c>
      <c r="E67" s="1180"/>
      <c r="F67" s="1181"/>
      <c r="O67" s="1880" t="s">
        <v>1042</v>
      </c>
      <c r="P67" s="1871" t="s">
        <v>1564</v>
      </c>
      <c r="Q67" s="1919">
        <f ca="1">L51</f>
        <v>4791</v>
      </c>
      <c r="R67" s="1872" t="s">
        <v>1584</v>
      </c>
    </row>
    <row r="68" spans="1:18" s="1828" customFormat="1" ht="16.5" thickBot="1">
      <c r="A68" s="1159" t="s">
        <v>1032</v>
      </c>
      <c r="B68" s="1160" t="s">
        <v>1487</v>
      </c>
      <c r="C68" s="344">
        <f ca="1">ROUND(C67*(1-((1+F70)/(1+F68))^F69)/(F68-F70),0)</f>
        <v>-706916</v>
      </c>
      <c r="D68" s="1177" t="s">
        <v>1471</v>
      </c>
      <c r="E68" s="1162" t="s">
        <v>1472</v>
      </c>
      <c r="F68" s="355">
        <f ca="1">F40</f>
        <v>5.5E-2</v>
      </c>
      <c r="O68" s="1880" t="s">
        <v>1043</v>
      </c>
      <c r="P68" s="1920" t="s">
        <v>1585</v>
      </c>
      <c r="Q68" s="1872">
        <f ca="1">ROUND(Q69-Q70*Q71,0)</f>
        <v>276</v>
      </c>
      <c r="R68" s="1872" t="s">
        <v>1051</v>
      </c>
    </row>
    <row r="69" spans="1:18" s="1828" customFormat="1" ht="13.5" thickBot="1">
      <c r="A69" s="1163"/>
      <c r="B69" s="1164"/>
      <c r="C69" s="349"/>
      <c r="D69" s="1182" t="s">
        <v>1475</v>
      </c>
      <c r="E69" s="1162" t="s">
        <v>1476</v>
      </c>
      <c r="F69" s="377">
        <f ca="1">F41</f>
        <v>41.28</v>
      </c>
      <c r="O69" s="1880" t="s">
        <v>1048</v>
      </c>
      <c r="P69" s="1920" t="s">
        <v>1586</v>
      </c>
      <c r="Q69" s="1872">
        <f ca="1">C39</f>
        <v>22401</v>
      </c>
      <c r="R69" s="1872" t="s">
        <v>1531</v>
      </c>
    </row>
    <row r="70" spans="1:18" s="1828" customFormat="1" ht="13.5" thickBot="1">
      <c r="A70" s="1166"/>
      <c r="B70" s="1167"/>
      <c r="C70" s="353"/>
      <c r="D70" s="1178"/>
      <c r="E70" s="1162" t="s">
        <v>1479</v>
      </c>
      <c r="F70" s="1260">
        <f ca="1">F42</f>
        <v>0.03</v>
      </c>
      <c r="O70" s="1880" t="s">
        <v>1049</v>
      </c>
      <c r="P70" s="1920" t="s">
        <v>1587</v>
      </c>
      <c r="Q70" s="1872">
        <f ca="1">C13</f>
        <v>260289</v>
      </c>
      <c r="R70" s="1872" t="s">
        <v>1531</v>
      </c>
    </row>
    <row r="71" spans="1:18" s="1828" customFormat="1" ht="13.5" thickBot="1">
      <c r="A71" s="1183" t="s">
        <v>1033</v>
      </c>
      <c r="B71" s="1184" t="s">
        <v>1489</v>
      </c>
      <c r="C71" s="380">
        <f ca="1">ROUND(C68/F71,0)</f>
        <v>-11865</v>
      </c>
      <c r="D71" s="1185" t="s">
        <v>1490</v>
      </c>
      <c r="E71" s="1186" t="s">
        <v>1491</v>
      </c>
      <c r="F71" s="383">
        <f ca="1">F43</f>
        <v>59.58</v>
      </c>
      <c r="O71" s="1880" t="s">
        <v>1050</v>
      </c>
      <c r="P71" s="1920" t="s">
        <v>1588</v>
      </c>
      <c r="Q71" s="1883">
        <f ca="1">C76</f>
        <v>8.5000000000000006E-2</v>
      </c>
      <c r="R71" s="1872"/>
    </row>
    <row r="72" spans="1:18" s="1828" customFormat="1" ht="13.5" thickBot="1">
      <c r="B72" s="793"/>
      <c r="C72" s="793"/>
      <c r="O72" s="1880" t="s">
        <v>1044</v>
      </c>
      <c r="P72" s="1871" t="s">
        <v>1566</v>
      </c>
      <c r="Q72" s="1883">
        <f>L52</f>
        <v>0.05</v>
      </c>
      <c r="R72" s="1872"/>
    </row>
    <row r="73" spans="1:18" ht="16.5" thickBot="1">
      <c r="A73" s="1828"/>
      <c r="B73" s="793"/>
      <c r="C73" s="793"/>
      <c r="D73" s="1828"/>
      <c r="E73" s="1828"/>
      <c r="F73" s="1828"/>
      <c r="O73" s="1880" t="s">
        <v>1045</v>
      </c>
      <c r="P73" s="1871" t="s">
        <v>1569</v>
      </c>
      <c r="Q73" s="1872">
        <f ca="1">L58</f>
        <v>0.94930000000000003</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1.0242</v>
      </c>
      <c r="R74" s="1872" t="s">
        <v>1571</v>
      </c>
    </row>
    <row r="75" spans="1:18" ht="13.5" thickBot="1">
      <c r="A75" s="1828"/>
      <c r="B75" s="384" t="s">
        <v>1508</v>
      </c>
      <c r="C75" s="385">
        <f ca="1">ROUND(C13*C76,0)</f>
        <v>22125</v>
      </c>
      <c r="D75" s="1828"/>
      <c r="E75" s="1828"/>
      <c r="F75" s="1828"/>
      <c r="K75" s="1854"/>
      <c r="L75" s="1828"/>
      <c r="O75" s="1870" t="s">
        <v>1046</v>
      </c>
      <c r="P75" s="1871" t="s">
        <v>1551</v>
      </c>
      <c r="Q75" s="1872">
        <f ca="1">Q65+Q66</f>
        <v>563084</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1.2000000000000011E-2</v>
      </c>
    </row>
    <row r="80" spans="1:18">
      <c r="B80" s="384" t="s">
        <v>1513</v>
      </c>
      <c r="C80" s="316">
        <f ca="1">ROUND(C75/C39,3)</f>
        <v>0.98799999999999999</v>
      </c>
    </row>
    <row r="81" spans="2:3">
      <c r="B81" s="312" t="s">
        <v>1514</v>
      </c>
      <c r="C81" s="280"/>
    </row>
    <row r="82" spans="2:3">
      <c r="B82" s="315" t="s">
        <v>1515</v>
      </c>
      <c r="C82" s="317">
        <f ca="1">1-C83</f>
        <v>0.53800000000000003</v>
      </c>
    </row>
    <row r="83" spans="2:3">
      <c r="B83" s="315" t="s">
        <v>1516</v>
      </c>
      <c r="C83" s="316">
        <f ca="1">ROUND(C13/C40,3)</f>
        <v>0.46200000000000002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4" t="s">
        <v>2521</v>
      </c>
      <c r="B1" s="2545"/>
      <c r="C1" s="2545"/>
      <c r="D1" s="2545"/>
      <c r="E1" s="2546"/>
    </row>
    <row r="2" spans="1:6" ht="15.75">
      <c r="A2" s="2547" t="s">
        <v>2322</v>
      </c>
      <c r="B2" s="2548">
        <f ca="1">SUMIF(B6:B13,"&lt;&gt;#ref!",B6:B13)</f>
        <v>5101</v>
      </c>
      <c r="C2" s="2549" t="s">
        <v>2514</v>
      </c>
      <c r="D2" s="2550" t="s">
        <v>2515</v>
      </c>
      <c r="E2" s="2551">
        <f>SUM(E6:E13)</f>
        <v>28703.599999999999</v>
      </c>
    </row>
    <row r="3" spans="1:6" ht="15.75">
      <c r="A3" s="2547" t="s">
        <v>1396</v>
      </c>
      <c r="B3" s="2548">
        <f ca="1">ROUND(B2*10000/E2,0)</f>
        <v>1777</v>
      </c>
      <c r="C3" s="2549" t="s">
        <v>2522</v>
      </c>
      <c r="D3" s="2552"/>
      <c r="E3" s="2553"/>
    </row>
    <row r="4" spans="1:6" ht="15.75">
      <c r="A4" s="2554"/>
      <c r="B4" s="2552"/>
      <c r="C4" s="2552"/>
      <c r="D4" s="2552"/>
      <c r="E4" s="2553"/>
    </row>
    <row r="5" spans="1:6" ht="15">
      <c r="A5" s="2555" t="s">
        <v>2516</v>
      </c>
      <c r="B5" s="3204" t="s">
        <v>2517</v>
      </c>
      <c r="C5" s="3204"/>
      <c r="D5" s="2556"/>
      <c r="E5" s="2557" t="s">
        <v>2518</v>
      </c>
      <c r="F5" s="2558" t="s">
        <v>2519</v>
      </c>
    </row>
    <row r="6" spans="1:6">
      <c r="A6" s="2559" t="str">
        <f>'数据-取费表'!AN6</f>
        <v>收益法-公寓</v>
      </c>
      <c r="B6" s="2558">
        <f ca="1">IF(F6="是",'数据-取费表'!AO6,0)</f>
        <v>50</v>
      </c>
      <c r="C6" s="2549" t="s">
        <v>2514</v>
      </c>
      <c r="D6" s="2552"/>
      <c r="E6" s="2560">
        <f>IF(OR(A6=0,F6="否"),0,'数据-取费表'!K6+'数据-取费表'!S6)</f>
        <v>26355.01</v>
      </c>
      <c r="F6" s="2561" t="s">
        <v>2520</v>
      </c>
    </row>
    <row r="7" spans="1:6">
      <c r="A7" s="2559" t="str">
        <f>'数据-取费表'!AN7</f>
        <v>收益法-商业</v>
      </c>
      <c r="B7" s="2558">
        <f ca="1">IF(F7="是",'数据-取费表'!AO7,0)</f>
        <v>4994</v>
      </c>
      <c r="C7" s="2549" t="s">
        <v>2514</v>
      </c>
      <c r="D7" s="2552"/>
      <c r="E7" s="2560">
        <f>IF(OR(A7=0,F7="否"),0,'数据-取费表'!K7+'数据-取费表'!S7)</f>
        <v>2287.46</v>
      </c>
      <c r="F7" s="2561" t="s">
        <v>2520</v>
      </c>
    </row>
    <row r="8" spans="1:6">
      <c r="A8" s="2559" t="str">
        <f>'数据-取费表'!AN8</f>
        <v>收益法 (元)</v>
      </c>
      <c r="B8" s="2558">
        <f ca="1">IF(F8="是",'数据-取费表'!AO8,0)</f>
        <v>57</v>
      </c>
      <c r="C8" s="2549" t="s">
        <v>2514</v>
      </c>
      <c r="D8" s="2552"/>
      <c r="E8" s="2560">
        <f>IF(OR(A8=0,F8="否"),0,'数据-取费表'!K8+'数据-取费表'!S8)</f>
        <v>61.129999999999995</v>
      </c>
      <c r="F8" s="2561" t="s">
        <v>2520</v>
      </c>
    </row>
    <row r="9" spans="1:6">
      <c r="A9" s="2559">
        <f>'数据-取费表'!AN9</f>
        <v>0</v>
      </c>
      <c r="B9" s="2558" t="e">
        <f ca="1">IF(F9="是",'数据-取费表'!AO9,0)</f>
        <v>#REF!</v>
      </c>
      <c r="C9" s="2549" t="s">
        <v>2514</v>
      </c>
      <c r="D9" s="2552"/>
      <c r="E9" s="2560">
        <f>IF(OR(A9=0,F9="否"),0,'数据-取费表'!K9+'数据-取费表'!S9)</f>
        <v>0</v>
      </c>
      <c r="F9" s="2561" t="s">
        <v>2520</v>
      </c>
    </row>
    <row r="10" spans="1:6">
      <c r="A10" s="2559">
        <f>'数据-取费表'!AN10</f>
        <v>0</v>
      </c>
      <c r="B10" s="2558" t="e">
        <f ca="1">IF(F10="是",'数据-取费表'!AO10,0)</f>
        <v>#REF!</v>
      </c>
      <c r="C10" s="2549" t="s">
        <v>2514</v>
      </c>
      <c r="D10" s="2552"/>
      <c r="E10" s="2560">
        <f>IF(OR(A10=0,F10="否"),0,'数据-取费表'!K10+'数据-取费表'!S10)</f>
        <v>0</v>
      </c>
      <c r="F10" s="2561" t="s">
        <v>2520</v>
      </c>
    </row>
    <row r="11" spans="1:6">
      <c r="A11" s="2559">
        <f>'数据-取费表'!AN11</f>
        <v>0</v>
      </c>
      <c r="B11" s="2558" t="e">
        <f ca="1">IF(F11="是",'数据-取费表'!AO11,0)</f>
        <v>#REF!</v>
      </c>
      <c r="C11" s="2549" t="s">
        <v>2514</v>
      </c>
      <c r="D11" s="2552"/>
      <c r="E11" s="2560">
        <f>IF(OR(A11=0,F11="否"),0,'数据-取费表'!K11+'数据-取费表'!S11)</f>
        <v>0</v>
      </c>
      <c r="F11" s="2561" t="s">
        <v>2520</v>
      </c>
    </row>
    <row r="12" spans="1:6">
      <c r="A12" s="2559">
        <f>'数据-取费表'!AN12</f>
        <v>0</v>
      </c>
      <c r="B12" s="2558" t="e">
        <f ca="1">IF(F12="是",'数据-取费表'!AO12,0)</f>
        <v>#REF!</v>
      </c>
      <c r="C12" s="2549" t="s">
        <v>2514</v>
      </c>
      <c r="D12" s="2552"/>
      <c r="E12" s="2560">
        <f>IF(OR(A12=0,F12="否"),0,'数据-取费表'!K12+'数据-取费表'!S12)</f>
        <v>0</v>
      </c>
      <c r="F12" s="2561" t="s">
        <v>2520</v>
      </c>
    </row>
    <row r="13" spans="1:6" ht="15" thickBot="1">
      <c r="A13" s="2562">
        <f>'数据-取费表'!AN13</f>
        <v>0</v>
      </c>
      <c r="B13" s="2558" t="e">
        <f ca="1">IF(F13="是",'数据-取费表'!AO13,0)</f>
        <v>#REF!</v>
      </c>
      <c r="C13" s="2563" t="s">
        <v>2514</v>
      </c>
      <c r="D13" s="2564"/>
      <c r="E13" s="2560">
        <f>IF(OR(A13=0,F13="否"),0,'数据-取费表'!K13+'数据-取费表'!S13)</f>
        <v>0</v>
      </c>
      <c r="F13" s="256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210" t="s">
        <v>1077</v>
      </c>
      <c r="B2" s="3211" t="s">
        <v>1078</v>
      </c>
      <c r="C2" s="3211"/>
      <c r="D2" s="1286" t="s">
        <v>1079</v>
      </c>
      <c r="E2" s="1286" t="s">
        <v>1080</v>
      </c>
      <c r="F2" s="1286" t="s">
        <v>1081</v>
      </c>
      <c r="G2" s="1286" t="s">
        <v>1082</v>
      </c>
      <c r="H2" s="1286" t="s">
        <v>1083</v>
      </c>
      <c r="I2" s="1287" t="s">
        <v>1084</v>
      </c>
    </row>
    <row r="3" spans="1:9">
      <c r="A3" s="3210"/>
      <c r="B3" s="3211" t="s">
        <v>1085</v>
      </c>
      <c r="C3" s="3211"/>
      <c r="D3" s="1288"/>
      <c r="E3" s="1286"/>
      <c r="F3" s="1289"/>
      <c r="G3" s="1289"/>
      <c r="H3" s="1290"/>
      <c r="I3" s="1291">
        <f>ROUND(D3*E3*F3*G3*H3/10000,0)</f>
        <v>0</v>
      </c>
    </row>
    <row r="4" spans="1:9">
      <c r="A4" s="3210"/>
      <c r="B4" s="3211" t="s">
        <v>1086</v>
      </c>
      <c r="C4" s="3211"/>
      <c r="D4" s="1288"/>
      <c r="E4" s="1286"/>
      <c r="F4" s="1289"/>
      <c r="G4" s="1289"/>
      <c r="H4" s="1290"/>
      <c r="I4" s="1291">
        <f t="shared" ref="I4:I9" si="0">ROUND(D4*E4*F4*G4*H4/10000,0)</f>
        <v>0</v>
      </c>
    </row>
    <row r="5" spans="1:9">
      <c r="A5" s="3210"/>
      <c r="B5" s="3211" t="s">
        <v>1087</v>
      </c>
      <c r="C5" s="3211"/>
      <c r="D5" s="1288"/>
      <c r="E5" s="1286"/>
      <c r="F5" s="1289"/>
      <c r="G5" s="1289"/>
      <c r="H5" s="1290"/>
      <c r="I5" s="1291">
        <f t="shared" si="0"/>
        <v>0</v>
      </c>
    </row>
    <row r="6" spans="1:9">
      <c r="A6" s="3210"/>
      <c r="B6" s="3211" t="s">
        <v>1088</v>
      </c>
      <c r="C6" s="3211"/>
      <c r="D6" s="1288"/>
      <c r="E6" s="1286"/>
      <c r="F6" s="1289"/>
      <c r="G6" s="1289"/>
      <c r="H6" s="1290"/>
      <c r="I6" s="1291">
        <f t="shared" si="0"/>
        <v>0</v>
      </c>
    </row>
    <row r="7" spans="1:9">
      <c r="A7" s="3210"/>
      <c r="B7" s="3211" t="s">
        <v>1089</v>
      </c>
      <c r="C7" s="3211"/>
      <c r="D7" s="1288"/>
      <c r="E7" s="1286"/>
      <c r="F7" s="1289"/>
      <c r="G7" s="1289"/>
      <c r="H7" s="1290"/>
      <c r="I7" s="1291">
        <f t="shared" si="0"/>
        <v>0</v>
      </c>
    </row>
    <row r="8" spans="1:9">
      <c r="A8" s="3210"/>
      <c r="B8" s="3211" t="s">
        <v>1090</v>
      </c>
      <c r="C8" s="3211"/>
      <c r="D8" s="1288"/>
      <c r="E8" s="1286"/>
      <c r="F8" s="1289"/>
      <c r="G8" s="1289"/>
      <c r="H8" s="1290"/>
      <c r="I8" s="1291">
        <f t="shared" si="0"/>
        <v>0</v>
      </c>
    </row>
    <row r="9" spans="1:9">
      <c r="A9" s="3210"/>
      <c r="B9" s="3211" t="s">
        <v>1091</v>
      </c>
      <c r="C9" s="3211"/>
      <c r="D9" s="1288"/>
      <c r="E9" s="1286"/>
      <c r="F9" s="1289"/>
      <c r="G9" s="1289"/>
      <c r="H9" s="1290"/>
      <c r="I9" s="1291">
        <f t="shared" si="0"/>
        <v>0</v>
      </c>
    </row>
    <row r="10" spans="1:9">
      <c r="A10" s="3210"/>
      <c r="B10" s="3212" t="s">
        <v>1092</v>
      </c>
      <c r="C10" s="3212"/>
      <c r="D10" s="1292"/>
      <c r="E10" s="1292" t="e">
        <f>ROUND(D1*10000/D10/H9,0)</f>
        <v>#DIV/0!</v>
      </c>
      <c r="F10" s="1293"/>
      <c r="G10" s="1293"/>
      <c r="H10" s="1294"/>
      <c r="I10" s="1295">
        <f>SUM(I3:I9)</f>
        <v>0</v>
      </c>
    </row>
    <row r="11" spans="1:9" ht="14.25">
      <c r="A11" s="3210" t="s">
        <v>1093</v>
      </c>
      <c r="B11" s="3211" t="s">
        <v>1094</v>
      </c>
      <c r="C11" s="3211"/>
      <c r="D11" s="1288" t="s">
        <v>1095</v>
      </c>
      <c r="E11" s="1288" t="s">
        <v>1096</v>
      </c>
      <c r="F11" s="1289" t="s">
        <v>1097</v>
      </c>
      <c r="G11" s="1289" t="s">
        <v>1083</v>
      </c>
      <c r="H11" s="1296" t="s">
        <v>1098</v>
      </c>
      <c r="I11" s="1287" t="s">
        <v>1084</v>
      </c>
    </row>
    <row r="12" spans="1:9">
      <c r="A12" s="3210"/>
      <c r="B12" s="3211" t="s">
        <v>1099</v>
      </c>
      <c r="C12" s="3211"/>
      <c r="D12" s="1288"/>
      <c r="E12" s="1288"/>
      <c r="F12" s="1289"/>
      <c r="G12" s="1290"/>
      <c r="H12" s="1297"/>
      <c r="I12" s="1287">
        <f>ROUND(D12*E12*F12*G12/10000,0)</f>
        <v>0</v>
      </c>
    </row>
    <row r="13" spans="1:9">
      <c r="A13" s="3210"/>
      <c r="B13" s="3211" t="s">
        <v>1100</v>
      </c>
      <c r="C13" s="3211"/>
      <c r="D13" s="1288"/>
      <c r="E13" s="1288"/>
      <c r="F13" s="1289"/>
      <c r="G13" s="1290"/>
      <c r="H13" s="1297"/>
      <c r="I13" s="1287">
        <f>ROUND(D13*E13*F13*G13/10000,0)</f>
        <v>0</v>
      </c>
    </row>
    <row r="14" spans="1:9">
      <c r="A14" s="3210"/>
      <c r="B14" s="3211" t="s">
        <v>1101</v>
      </c>
      <c r="C14" s="3211"/>
      <c r="D14" s="1288"/>
      <c r="E14" s="1288"/>
      <c r="F14" s="1289"/>
      <c r="G14" s="1290"/>
      <c r="H14" s="1297"/>
      <c r="I14" s="1287">
        <f>ROUND(D14*E14*F14*G14/10000,0)</f>
        <v>0</v>
      </c>
    </row>
    <row r="15" spans="1:9">
      <c r="A15" s="3210"/>
      <c r="B15" s="3212" t="s">
        <v>1092</v>
      </c>
      <c r="C15" s="3212"/>
      <c r="D15" s="1292"/>
      <c r="E15" s="1292">
        <f>SUM(E12:E14)</f>
        <v>0</v>
      </c>
      <c r="F15" s="1293"/>
      <c r="G15" s="1290"/>
      <c r="H15" s="1297"/>
      <c r="I15" s="1298">
        <f>SUM(I12:I14)</f>
        <v>0</v>
      </c>
    </row>
    <row r="16" spans="1:9" ht="24">
      <c r="A16" s="3210" t="s">
        <v>1102</v>
      </c>
      <c r="B16" s="3211" t="s">
        <v>1103</v>
      </c>
      <c r="C16" s="3211"/>
      <c r="D16" s="1288" t="s">
        <v>1079</v>
      </c>
      <c r="E16" s="1299" t="s">
        <v>1104</v>
      </c>
      <c r="F16" s="1289" t="s">
        <v>1105</v>
      </c>
      <c r="G16" s="1290" t="s">
        <v>1083</v>
      </c>
      <c r="H16" s="1296" t="s">
        <v>1098</v>
      </c>
      <c r="I16" s="1287" t="s">
        <v>1084</v>
      </c>
    </row>
    <row r="17" spans="1:9" ht="14.25">
      <c r="A17" s="3210"/>
      <c r="B17" s="3211" t="s">
        <v>1106</v>
      </c>
      <c r="C17" s="3211"/>
      <c r="D17" s="1288"/>
      <c r="E17" s="1288"/>
      <c r="F17" s="1289"/>
      <c r="G17" s="1290"/>
      <c r="H17" s="1300"/>
      <c r="I17" s="1301">
        <f>ROUND(D17*E17*F17*G17/10000,0)</f>
        <v>0</v>
      </c>
    </row>
    <row r="18" spans="1:9" ht="14.25">
      <c r="A18" s="3210"/>
      <c r="B18" s="3211" t="s">
        <v>1107</v>
      </c>
      <c r="C18" s="3211"/>
      <c r="D18" s="1288"/>
      <c r="E18" s="1288"/>
      <c r="F18" s="1289"/>
      <c r="G18" s="1290"/>
      <c r="H18" s="1300"/>
      <c r="I18" s="1301">
        <f>ROUND(D18*E18*F18*G18/10000,0)</f>
        <v>0</v>
      </c>
    </row>
    <row r="19" spans="1:9" ht="14.25">
      <c r="A19" s="3210"/>
      <c r="B19" s="3211" t="s">
        <v>1108</v>
      </c>
      <c r="C19" s="3211"/>
      <c r="D19" s="1288"/>
      <c r="E19" s="1288"/>
      <c r="F19" s="1289"/>
      <c r="G19" s="1290"/>
      <c r="H19" s="1300"/>
      <c r="I19" s="1301">
        <f>ROUND(D19*E19*F19*G19/10000,0)</f>
        <v>0</v>
      </c>
    </row>
    <row r="20" spans="1:9">
      <c r="A20" s="3210"/>
      <c r="B20" s="3212" t="s">
        <v>1092</v>
      </c>
      <c r="C20" s="3212"/>
      <c r="D20" s="1292">
        <f>SUM(D17:D19)</f>
        <v>0</v>
      </c>
      <c r="E20" s="1292"/>
      <c r="F20" s="1293"/>
      <c r="G20" s="1290"/>
      <c r="H20" s="1297"/>
      <c r="I20" s="1298">
        <f>SUM(I17:I19)</f>
        <v>0</v>
      </c>
    </row>
    <row r="21" spans="1:9">
      <c r="A21" s="3210" t="s">
        <v>1109</v>
      </c>
      <c r="B21" s="3214"/>
      <c r="C21" s="3214"/>
      <c r="D21" s="3214"/>
      <c r="E21" s="3214"/>
      <c r="F21" s="3214"/>
      <c r="G21" s="3214"/>
      <c r="H21" s="1751">
        <v>0.1</v>
      </c>
      <c r="I21" s="1295">
        <f>ROUND(I10*H21,0)</f>
        <v>0</v>
      </c>
    </row>
    <row r="22" spans="1:9" ht="14.25">
      <c r="A22" s="3215" t="s">
        <v>1110</v>
      </c>
      <c r="B22" s="3216"/>
      <c r="C22" s="3217"/>
      <c r="D22" s="1302" t="s">
        <v>1111</v>
      </c>
      <c r="E22" s="1302" t="s">
        <v>1112</v>
      </c>
      <c r="F22" s="1303" t="s">
        <v>1113</v>
      </c>
      <c r="G22" s="1303" t="s">
        <v>1114</v>
      </c>
      <c r="H22" s="1296" t="s">
        <v>1115</v>
      </c>
      <c r="I22" s="1287" t="s">
        <v>1116</v>
      </c>
    </row>
    <row r="23" spans="1:9" ht="14.25" thickBot="1">
      <c r="A23" s="3218"/>
      <c r="B23" s="3219"/>
      <c r="C23" s="3220"/>
      <c r="D23" s="1304"/>
      <c r="E23" s="1304"/>
      <c r="F23" s="1304"/>
      <c r="G23" s="1305"/>
      <c r="H23" s="1306"/>
      <c r="I23" s="1307">
        <f>ROUND(E23*D23*F23*(1-G23)/10000,0)</f>
        <v>0</v>
      </c>
    </row>
    <row r="26" spans="1:9">
      <c r="A26" s="1308" t="s">
        <v>1117</v>
      </c>
      <c r="B26" s="1308"/>
      <c r="C26" s="1308"/>
      <c r="D26" s="1308"/>
      <c r="E26" s="3221">
        <f>C27-C30-C31-C32</f>
        <v>0</v>
      </c>
      <c r="F26" s="3221"/>
      <c r="G26" s="3221"/>
      <c r="H26" s="1723" t="s">
        <v>1341</v>
      </c>
    </row>
    <row r="27" spans="1:9">
      <c r="A27" s="1309">
        <v>1</v>
      </c>
      <c r="B27" s="1310" t="s">
        <v>1118</v>
      </c>
      <c r="C27" s="1310">
        <f>C28+C29</f>
        <v>0</v>
      </c>
      <c r="D27" s="1310"/>
      <c r="E27" s="3222"/>
      <c r="F27" s="3222"/>
      <c r="G27" s="3222"/>
    </row>
    <row r="28" spans="1:9">
      <c r="A28" s="1311" t="s">
        <v>1119</v>
      </c>
      <c r="B28" s="1310" t="s">
        <v>1120</v>
      </c>
      <c r="C28" s="1310"/>
      <c r="D28" s="1310"/>
      <c r="E28" s="3222"/>
      <c r="F28" s="3222"/>
      <c r="G28" s="3222"/>
    </row>
    <row r="29" spans="1:9">
      <c r="A29" s="1311" t="s">
        <v>1121</v>
      </c>
      <c r="B29" s="1310" t="s">
        <v>1122</v>
      </c>
      <c r="C29" s="1310"/>
      <c r="D29" s="1310"/>
      <c r="E29" s="1310" t="s">
        <v>1123</v>
      </c>
      <c r="F29" s="1310"/>
      <c r="G29" s="1310"/>
    </row>
    <row r="30" spans="1:9">
      <c r="A30" s="1309">
        <v>2</v>
      </c>
      <c r="B30" s="1310" t="s">
        <v>1124</v>
      </c>
      <c r="C30" s="1310">
        <f>C27*D30</f>
        <v>0</v>
      </c>
      <c r="D30" s="1312">
        <v>0.2</v>
      </c>
      <c r="E30" s="1310" t="s">
        <v>1125</v>
      </c>
      <c r="F30" s="1310"/>
      <c r="G30" s="1310"/>
    </row>
    <row r="31" spans="1:9">
      <c r="A31" s="1309">
        <v>3</v>
      </c>
      <c r="B31" s="1310" t="s">
        <v>1126</v>
      </c>
      <c r="C31" s="1310">
        <f>C25*D31</f>
        <v>0</v>
      </c>
      <c r="D31" s="1312">
        <v>0.15</v>
      </c>
      <c r="E31" s="1310" t="s">
        <v>1127</v>
      </c>
      <c r="F31" s="1310"/>
      <c r="G31" s="1310"/>
    </row>
    <row r="32" spans="1:9">
      <c r="A32" s="1309">
        <v>4</v>
      </c>
      <c r="B32" s="1310" t="s">
        <v>1128</v>
      </c>
      <c r="C32" s="1310">
        <f>C27*D32</f>
        <v>0</v>
      </c>
      <c r="D32" s="1312">
        <v>0.05</v>
      </c>
      <c r="E32" s="3213"/>
      <c r="F32" s="3213"/>
      <c r="G32" s="3213"/>
    </row>
    <row r="33" spans="1:7" hidden="1">
      <c r="A33" s="3223" t="s">
        <v>1129</v>
      </c>
      <c r="B33" s="3224"/>
      <c r="C33" s="3224"/>
      <c r="D33" s="3225"/>
      <c r="E33" s="3221"/>
      <c r="F33" s="3221"/>
      <c r="G33" s="3221"/>
    </row>
    <row r="34" spans="1:7" hidden="1">
      <c r="A34" s="1313">
        <v>1</v>
      </c>
      <c r="B34" s="1310" t="s">
        <v>1130</v>
      </c>
      <c r="C34" s="1310"/>
      <c r="D34" s="1310"/>
      <c r="E34" s="3222"/>
      <c r="F34" s="3222"/>
      <c r="G34" s="3222"/>
    </row>
    <row r="35" spans="1:7" hidden="1">
      <c r="A35" s="1313">
        <v>2</v>
      </c>
      <c r="B35" s="1310" t="s">
        <v>1131</v>
      </c>
      <c r="C35" s="1310"/>
      <c r="D35" s="1310"/>
      <c r="E35" s="3222"/>
      <c r="F35" s="3222"/>
      <c r="G35" s="3222"/>
    </row>
    <row r="36" spans="1:7" hidden="1">
      <c r="A36" s="1313">
        <v>3</v>
      </c>
      <c r="B36" s="1310" t="s">
        <v>1132</v>
      </c>
      <c r="C36" s="1310"/>
      <c r="D36" s="1310"/>
      <c r="E36" s="3222"/>
      <c r="F36" s="3222"/>
      <c r="G36" s="3222"/>
    </row>
    <row r="37" spans="1:7" hidden="1">
      <c r="A37" s="1313">
        <v>4</v>
      </c>
      <c r="B37" s="1310" t="s">
        <v>1133</v>
      </c>
      <c r="C37" s="1310"/>
      <c r="D37" s="1310"/>
      <c r="E37" s="3222"/>
      <c r="F37" s="3222"/>
      <c r="G37" s="3222"/>
    </row>
    <row r="38" spans="1:7" hidden="1">
      <c r="A38" s="3223" t="s">
        <v>1134</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3201</v>
      </c>
      <c r="D1" s="1806" t="s">
        <v>70</v>
      </c>
      <c r="E1" s="1807" t="s">
        <v>1388</v>
      </c>
      <c r="F1" s="1268">
        <f ca="1">J53</f>
        <v>41.28</v>
      </c>
      <c r="G1" s="182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f ca="1">C40+J29+L46</f>
        <v>50</v>
      </c>
      <c r="C2" s="1831" t="s">
        <v>1518</v>
      </c>
      <c r="D2" s="1831"/>
      <c r="E2" s="1832"/>
      <c r="F2" s="1833"/>
      <c r="G2" s="1834"/>
      <c r="H2" s="1826"/>
      <c r="I2" s="1826"/>
      <c r="J2" s="1826"/>
      <c r="K2" s="1827"/>
      <c r="L2" s="1826"/>
      <c r="M2" s="1826"/>
    </row>
    <row r="3" spans="1:37" ht="18" customHeight="1" thickBot="1">
      <c r="A3" s="1835" t="s">
        <v>1519</v>
      </c>
      <c r="B3" s="1836">
        <f ca="1">IF(ISERROR(B2*10000/F43),0,ROUND(B2*10000/F43,0))</f>
        <v>8392</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f ca="1">C6+C10+C12</f>
        <v>3</v>
      </c>
      <c r="D5" s="1808" t="s">
        <v>1403</v>
      </c>
      <c r="E5" s="1278"/>
      <c r="F5" s="1279"/>
      <c r="G5" s="1837"/>
      <c r="H5" s="342">
        <v>1</v>
      </c>
      <c r="I5" s="343" t="s">
        <v>1402</v>
      </c>
      <c r="J5" s="1277">
        <f ca="1">J6+J10+J12</f>
        <v>0</v>
      </c>
      <c r="K5" s="1808" t="s">
        <v>1403</v>
      </c>
      <c r="L5" s="1278"/>
      <c r="M5" s="1279"/>
    </row>
    <row r="6" spans="1:37" ht="18" customHeight="1">
      <c r="A6" s="1276" t="s">
        <v>1035</v>
      </c>
      <c r="B6" s="3199" t="s">
        <v>1404</v>
      </c>
      <c r="C6" s="1281">
        <f ca="1">ROUND(F6*F8*F7*(1-F9)/10000,0)</f>
        <v>3</v>
      </c>
      <c r="D6" s="162" t="s">
        <v>3029</v>
      </c>
      <c r="E6" s="345" t="s">
        <v>1406</v>
      </c>
      <c r="F6" s="346">
        <f ca="1">INDIRECT("'数据-取费表'!u"&amp;$G$1)</f>
        <v>1.6</v>
      </c>
      <c r="G6" s="1837"/>
      <c r="H6" s="1276" t="s">
        <v>1035</v>
      </c>
      <c r="I6" s="3199" t="s">
        <v>1404</v>
      </c>
      <c r="J6" s="344">
        <f ca="1">ROUND(M6*M8*M7*(1-M9)/10000,0)</f>
        <v>0</v>
      </c>
      <c r="K6" s="162" t="s">
        <v>3028</v>
      </c>
      <c r="L6" s="345" t="s">
        <v>1406</v>
      </c>
      <c r="M6" s="346">
        <f ca="1">INDIRECT("'数据-取费表'!z"&amp;$G$1)</f>
        <v>0</v>
      </c>
    </row>
    <row r="7" spans="1:37" ht="18" customHeight="1">
      <c r="A7" s="1280"/>
      <c r="B7" s="3200"/>
      <c r="C7" s="1282"/>
      <c r="D7" s="350"/>
      <c r="E7" s="1283" t="s">
        <v>1407</v>
      </c>
      <c r="F7" s="346">
        <f ca="1">IF(INDIRECT("'数据-取费表'!ah"&amp;$G$1)="",INDIRECT("'数据-取费表'!k"&amp;$G$1),INDIRECT("'数据-取费表'!ah"&amp;$G$1))</f>
        <v>59.58</v>
      </c>
      <c r="G7" s="1837"/>
      <c r="H7" s="347"/>
      <c r="I7" s="3200"/>
      <c r="J7" s="349"/>
      <c r="K7" s="350"/>
      <c r="L7" s="345" t="s">
        <v>1407</v>
      </c>
      <c r="M7" s="346">
        <f ca="1">F7</f>
        <v>59.58</v>
      </c>
    </row>
    <row r="8" spans="1:37" ht="18" customHeight="1">
      <c r="A8" s="347"/>
      <c r="B8" s="3200"/>
      <c r="C8" s="349"/>
      <c r="D8" s="350"/>
      <c r="E8" s="345" t="s">
        <v>1408</v>
      </c>
      <c r="F8" s="346">
        <f ca="1">INDIRECT("'数据-取费表'!ai"&amp;$G$1)</f>
        <v>365</v>
      </c>
      <c r="G8" s="1837"/>
      <c r="H8" s="347"/>
      <c r="I8" s="3200"/>
      <c r="J8" s="349"/>
      <c r="K8" s="350"/>
      <c r="L8" s="345" t="s">
        <v>1408</v>
      </c>
      <c r="M8" s="346">
        <f ca="1">INDIRECT("'数据-取费表'!ai"&amp;$G$1)</f>
        <v>365</v>
      </c>
    </row>
    <row r="9" spans="1:37" ht="18" customHeight="1">
      <c r="A9" s="347"/>
      <c r="B9" s="3201"/>
      <c r="C9" s="349"/>
      <c r="D9" s="350"/>
      <c r="E9" s="345" t="s">
        <v>1409</v>
      </c>
      <c r="F9" s="355">
        <f ca="1">INDIRECT("'数据-取费表'!w"&amp;$G$1)</f>
        <v>0.05</v>
      </c>
      <c r="G9" s="1837"/>
      <c r="H9" s="347"/>
      <c r="I9" s="3201"/>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ROUND(IF(F10="押一",F6*F8*F7/12*F11,IF(F10="押二",F6*F8*F7/12*2*F11,IF(F10="押三",F6*F8*F7/12*3*F11,C11*F11)))/10000,0)</f>
        <v>0</v>
      </c>
      <c r="D10" s="1810" t="s">
        <v>3030</v>
      </c>
      <c r="E10" s="356" t="s">
        <v>1412</v>
      </c>
      <c r="F10" s="1351" t="s">
        <v>3060</v>
      </c>
      <c r="G10" s="1837"/>
      <c r="H10" s="1276" t="s">
        <v>1039</v>
      </c>
      <c r="I10" s="1809" t="s">
        <v>1410</v>
      </c>
      <c r="J10" s="344">
        <f ca="1">ROUND(IF(M10="押一",M6*M8*M7/12*M11,IF(M10="押二",M6*M8*M7/12*2*M11,IF(M10="押三",M6*M8*M7/12*3*M11,J11*M11)))/10000,0)</f>
        <v>0</v>
      </c>
      <c r="K10" s="1810" t="s">
        <v>3031</v>
      </c>
      <c r="L10" s="356" t="s">
        <v>1412</v>
      </c>
      <c r="M10" s="1351" t="s">
        <v>1413</v>
      </c>
    </row>
    <row r="11" spans="1:37" ht="18" customHeight="1">
      <c r="A11" s="351"/>
      <c r="B11" s="1811" t="s">
        <v>1389</v>
      </c>
      <c r="C11" s="1171"/>
      <c r="D11" s="1812"/>
      <c r="E11" s="356" t="s">
        <v>1414</v>
      </c>
      <c r="F11" s="357">
        <f ca="1">'数据-取费表'!B39</f>
        <v>1.4999999999999999E-2</v>
      </c>
      <c r="G11" s="1837"/>
      <c r="H11" s="1284"/>
      <c r="I11" s="1811" t="s">
        <v>1389</v>
      </c>
      <c r="J11" s="1171"/>
      <c r="K11" s="745"/>
      <c r="L11" s="356" t="s">
        <v>1414</v>
      </c>
      <c r="M11" s="1049">
        <f ca="1">'数据-取费表'!B39</f>
        <v>1.4999999999999999E-2</v>
      </c>
    </row>
    <row r="12" spans="1:37" ht="18"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thickTop="1">
      <c r="A13" s="1314">
        <v>2</v>
      </c>
      <c r="B13" s="1315" t="s">
        <v>1416</v>
      </c>
      <c r="C13" s="353">
        <f ca="1">ROUND(C29*F13,0)</f>
        <v>25</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INDIRECT("'数据-取费表'!m"&amp;$G$1)+INDIRECT("'数据-取费表'!t"&amp;$G$1)</f>
        <v>18</v>
      </c>
      <c r="D14" s="1786" t="s">
        <v>1420</v>
      </c>
      <c r="E14" s="1780"/>
      <c r="F14" s="362"/>
      <c r="G14" s="1837"/>
      <c r="H14" s="1194" t="s">
        <v>1035</v>
      </c>
      <c r="I14" s="345" t="s">
        <v>1421</v>
      </c>
      <c r="J14" s="24">
        <f ca="1">C29</f>
        <v>27</v>
      </c>
      <c r="K14" s="15"/>
      <c r="L14" s="972"/>
      <c r="M14" s="973"/>
    </row>
    <row r="15" spans="1:37" s="1844" customFormat="1" ht="18" customHeight="1" thickBot="1">
      <c r="A15" s="1194" t="s">
        <v>1036</v>
      </c>
      <c r="B15" s="345" t="s">
        <v>1422</v>
      </c>
      <c r="C15" s="24">
        <f ca="1">ROUND(C14*F15,0)</f>
        <v>1</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ROUND(INDIRECT("'数据-取费表'!m"&amp;$G$1)*F16,0)</f>
        <v>0</v>
      </c>
      <c r="D16" s="345" t="s">
        <v>1423</v>
      </c>
      <c r="E16" s="345" t="s">
        <v>1424</v>
      </c>
      <c r="F16" s="365">
        <f ca="1">IF(INDIRECT("'数据-取费表'!c"&amp;$G$1)="住宅",'数据-取费表'!B34,0)</f>
        <v>0</v>
      </c>
      <c r="G16" s="1837"/>
      <c r="H16" s="1314" t="s">
        <v>1030</v>
      </c>
      <c r="I16" s="1315" t="s">
        <v>1426</v>
      </c>
      <c r="J16" s="353">
        <f ca="1">ROUND(J17+J22+J23+J24,0)</f>
        <v>1</v>
      </c>
      <c r="K16" s="1322" t="s">
        <v>1427</v>
      </c>
      <c r="L16" s="1323"/>
      <c r="M16" s="1279"/>
    </row>
    <row r="17" spans="1:37" s="1844" customFormat="1" ht="18" customHeight="1">
      <c r="A17" s="1194" t="s">
        <v>1391</v>
      </c>
      <c r="B17" s="345" t="s">
        <v>1428</v>
      </c>
      <c r="C17" s="24">
        <f ca="1">ROUND(F17*(F43+INDIRECT("'数据-取费表'!S"&amp;$G$1))/10000,0)</f>
        <v>1</v>
      </c>
      <c r="D17" s="345" t="s">
        <v>1429</v>
      </c>
      <c r="E17" s="345" t="s">
        <v>1430</v>
      </c>
      <c r="F17" s="26">
        <f>'数据-取费表'!B35</f>
        <v>200</v>
      </c>
      <c r="G17" s="1840"/>
      <c r="H17" s="1194" t="s">
        <v>1035</v>
      </c>
      <c r="I17" s="345" t="s">
        <v>1431</v>
      </c>
      <c r="J17" s="24">
        <f ca="1">ROUND(IF(项目基本情况!B11="自然人",J5*M17,J18+J19+J20),1)</f>
        <v>0.2</v>
      </c>
      <c r="K17" s="1786" t="s">
        <v>1432</v>
      </c>
      <c r="L17" s="1784"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0</v>
      </c>
      <c r="D18" s="345" t="s">
        <v>1423</v>
      </c>
      <c r="E18" s="345" t="s">
        <v>1424</v>
      </c>
      <c r="F18" s="365">
        <f>'数据-取费表'!B36</f>
        <v>1.4999999999999999E-2</v>
      </c>
      <c r="G18" s="1840"/>
      <c r="H18" s="1194" t="s">
        <v>1034</v>
      </c>
      <c r="I18" s="345" t="s">
        <v>1435</v>
      </c>
      <c r="J18" s="24">
        <f ca="1">ROUND(J5*M18/(1+'数据-取费表'!C42),2)</f>
        <v>0</v>
      </c>
      <c r="K18" s="1784"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20</v>
      </c>
      <c r="D19" s="138" t="s">
        <v>1438</v>
      </c>
      <c r="E19" s="1804"/>
      <c r="F19" s="26"/>
      <c r="G19" s="1837"/>
      <c r="H19" s="1194" t="s">
        <v>1036</v>
      </c>
      <c r="I19" s="345" t="s">
        <v>1439</v>
      </c>
      <c r="J19" s="24">
        <f ca="1">IF(K19="按租金收入计税",ROUND(J5*M19,2),ROUND(C29*M19*0.7,2))</f>
        <v>0.23</v>
      </c>
      <c r="K19" s="1814" t="s">
        <v>1440</v>
      </c>
      <c r="L19" s="345" t="s">
        <v>1424</v>
      </c>
      <c r="M19" s="365">
        <f>IF(K19="按租金收入计税",'数据-取费表'!B51,'数据-取费表'!B50)</f>
        <v>1.2E-2</v>
      </c>
    </row>
    <row r="20" spans="1:37" s="1844" customFormat="1" ht="18" customHeight="1">
      <c r="A20" s="1194" t="s">
        <v>1039</v>
      </c>
      <c r="B20" s="345" t="s">
        <v>1441</v>
      </c>
      <c r="C20" s="24">
        <f ca="1">ROUND(C19*F20,0)</f>
        <v>0</v>
      </c>
      <c r="D20" s="367" t="s">
        <v>1442</v>
      </c>
      <c r="E20" s="345" t="s">
        <v>1424</v>
      </c>
      <c r="F20" s="365">
        <f>'数据-取费表'!B37</f>
        <v>1.4999999999999999E-2</v>
      </c>
      <c r="G20" s="1840"/>
      <c r="H20" s="1194" t="s">
        <v>1390</v>
      </c>
      <c r="I20" s="162" t="s">
        <v>1443</v>
      </c>
      <c r="J20" s="25">
        <f ca="1">ROUND(M20*M21/10000,2)</f>
        <v>0</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18</v>
      </c>
      <c r="D21" s="367" t="s">
        <v>1447</v>
      </c>
      <c r="E21" s="345" t="s">
        <v>1448</v>
      </c>
      <c r="F21" s="365">
        <f>'数据-取费表'!B38</f>
        <v>2.5000000000000001E-2</v>
      </c>
      <c r="G21" s="1840"/>
      <c r="H21" s="370"/>
      <c r="I21" s="354"/>
      <c r="J21" s="29"/>
      <c r="K21" s="371"/>
      <c r="L21" s="345" t="s">
        <v>1449</v>
      </c>
      <c r="M21" s="346">
        <f ca="1">INDIRECT("'数据-取费表'!r"&amp;$G$1)</f>
        <v>4.9799999999999995</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1804"/>
      <c r="F22" s="26"/>
      <c r="G22" s="1837"/>
      <c r="H22" s="1194" t="s">
        <v>1039</v>
      </c>
      <c r="I22" s="345" t="s">
        <v>1451</v>
      </c>
      <c r="J22" s="24">
        <f ca="1">ROUND(J14*M22,1)</f>
        <v>0.4</v>
      </c>
      <c r="K22" s="1784"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1</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ROUND(J13*M23,1)</f>
        <v>0</v>
      </c>
      <c r="K23" s="1784" t="s">
        <v>1456</v>
      </c>
      <c r="L23" s="345" t="s">
        <v>1457</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1458</v>
      </c>
      <c r="B24" s="345" t="s">
        <v>1459</v>
      </c>
      <c r="C24" s="24">
        <f ca="1">ROUND(IF('数据-取费表'!B22&lt;=1,F21*F24*F23/2,F21*(POWER((1+F24),F23/2)-1)),4)</f>
        <v>1.1999999999999999E-3</v>
      </c>
      <c r="D24" s="373" t="str">
        <f>IF(F23&lt;=1,"销售费用×利率×(建设周期÷2)","销售费用×((1+利率)^(建设周期÷2)-1)")</f>
        <v>销售费用×((1+利率)^(建设周期÷2)-1)</v>
      </c>
      <c r="E24" s="345" t="s">
        <v>1460</v>
      </c>
      <c r="F24" s="375">
        <f ca="1">'数据-取费表'!B40</f>
        <v>4.7500000000000001E-2</v>
      </c>
      <c r="G24" s="1840"/>
      <c r="H24" s="1324" t="s">
        <v>1394</v>
      </c>
      <c r="I24" s="1325" t="s">
        <v>1441</v>
      </c>
      <c r="J24" s="1326">
        <f ca="1">ROUND(J5*M24,1)</f>
        <v>0</v>
      </c>
      <c r="K24" s="1327" t="s">
        <v>1461</v>
      </c>
      <c r="L24" s="1325" t="s">
        <v>1457</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4" t="s">
        <v>1462</v>
      </c>
      <c r="B25" s="345" t="s">
        <v>1463</v>
      </c>
      <c r="C25" s="24"/>
      <c r="D25" s="138" t="s">
        <v>1464</v>
      </c>
      <c r="E25" s="1804"/>
      <c r="F25" s="26"/>
      <c r="G25" s="1837"/>
      <c r="H25" s="1314" t="s">
        <v>1031</v>
      </c>
      <c r="I25" s="1329" t="s">
        <v>1465</v>
      </c>
      <c r="J25" s="353">
        <f ca="1">J5-J16</f>
        <v>-1</v>
      </c>
      <c r="K25" s="1330" t="s">
        <v>1466</v>
      </c>
      <c r="L25" s="1331"/>
      <c r="M25" s="1332"/>
    </row>
    <row r="26" spans="1:37">
      <c r="A26" s="1194" t="s">
        <v>1034</v>
      </c>
      <c r="B26" s="345" t="s">
        <v>1467</v>
      </c>
      <c r="C26" s="24">
        <f ca="1">ROUND((C19+C20)*F26,0)</f>
        <v>4</v>
      </c>
      <c r="D26" s="367" t="s">
        <v>1468</v>
      </c>
      <c r="E26" s="356" t="s">
        <v>1469</v>
      </c>
      <c r="F26" s="355">
        <f ca="1">INDIRECT("'数据-取费表'!q"&amp;$G$1)</f>
        <v>0.2</v>
      </c>
      <c r="G26" s="1837"/>
      <c r="H26" s="342" t="s">
        <v>1032</v>
      </c>
      <c r="I26" s="343" t="s">
        <v>1470</v>
      </c>
      <c r="J26" s="344">
        <f ca="1">IF(J5&lt;&gt;0,ROUND(J25*(1-((1+M28)/(1+M26))^M27)/(M26-M28),0),0)</f>
        <v>0</v>
      </c>
      <c r="K26" s="368" t="s">
        <v>1471</v>
      </c>
      <c r="L26" s="345" t="s">
        <v>1472</v>
      </c>
      <c r="M26" s="355">
        <f ca="1">INDIRECT("'数据-取费表'!I"&amp;$G$1)</f>
        <v>5.5E-2</v>
      </c>
    </row>
    <row r="27" spans="1:37" ht="18" customHeight="1">
      <c r="A27" s="1194" t="s">
        <v>1036</v>
      </c>
      <c r="B27" s="345" t="s">
        <v>1473</v>
      </c>
      <c r="C27" s="24">
        <f ca="1">ROUND(F21*F26,4)</f>
        <v>5.0000000000000001E-3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27</v>
      </c>
      <c r="D29" s="1327"/>
      <c r="E29" s="1325"/>
      <c r="F29" s="1328"/>
      <c r="G29" s="1840"/>
      <c r="H29" s="378" t="s">
        <v>1033</v>
      </c>
      <c r="I29" s="379" t="s">
        <v>1481</v>
      </c>
      <c r="J29" s="380">
        <f ca="1">ROUND(J26/(1+F40)^F41,0)</f>
        <v>0</v>
      </c>
      <c r="K29" s="381" t="s">
        <v>1482</v>
      </c>
      <c r="L29" s="382"/>
      <c r="M29" s="383">
        <f ca="1">INDIRECT("'数据-取费表'!k"&amp;$G$1)</f>
        <v>59.58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1</v>
      </c>
      <c r="D30" s="1322" t="s">
        <v>1427</v>
      </c>
      <c r="E30" s="1323"/>
      <c r="F30" s="1279"/>
      <c r="G30" s="1837"/>
      <c r="H30" s="742"/>
      <c r="I30" s="743"/>
      <c r="J30" s="744"/>
      <c r="K30" s="745"/>
      <c r="L30" s="746"/>
      <c r="M30" s="747"/>
    </row>
    <row r="31" spans="1:37" ht="18" customHeight="1">
      <c r="A31" s="1194" t="s">
        <v>1035</v>
      </c>
      <c r="B31" s="345" t="s">
        <v>1431</v>
      </c>
      <c r="C31" s="24">
        <f ca="1">ROUND(IF(项目基本情况!B11="自然人",C5*F31,C32+C33+C34),1)</f>
        <v>0.4</v>
      </c>
      <c r="D31" s="1786" t="s">
        <v>1432</v>
      </c>
      <c r="E31" s="1784"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IF(项目基本情况!B11="自然人","——",ROUND(C5*F32/(1+'数据-取费表'!C42),2))</f>
        <v>0.16</v>
      </c>
      <c r="D32" s="1784"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IF(项目基本情况!B11="自然人","——",IF(D33="按租金收入计税",ROUND(C5*F33,2),IF(D33="按房产原值计税",ROUND(C29*F33*0.7,2),INDIRECT("'数据-取费表'!Aj"&amp;$G$1))))</f>
        <v>0.23</v>
      </c>
      <c r="D33" s="1814" t="s">
        <v>1440</v>
      </c>
      <c r="E33" s="345" t="s">
        <v>1424</v>
      </c>
      <c r="F33" s="365">
        <f>IF(D33="按票据","——",IF(D33="按租金收入计税",'数据-取费表'!B51,'数据-取费表'!B50))</f>
        <v>1.2E-2</v>
      </c>
      <c r="G33" s="1837"/>
      <c r="H33" s="1845"/>
      <c r="I33" s="1846"/>
      <c r="J33" s="1847"/>
      <c r="K33" s="1848"/>
      <c r="L33" s="1845"/>
      <c r="M33" s="1845"/>
    </row>
    <row r="34" spans="1:18" ht="18" customHeight="1">
      <c r="A34" s="1276" t="s">
        <v>1390</v>
      </c>
      <c r="B34" s="162" t="s">
        <v>1443</v>
      </c>
      <c r="C34" s="25">
        <f ca="1">IF(项目基本情况!B11="自然人","——",ROUND(F34*F35/10000,2))</f>
        <v>0</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4.9799999999999995</v>
      </c>
      <c r="G35" s="1837"/>
      <c r="H35" s="742"/>
      <c r="I35" s="1846"/>
      <c r="J35" s="1847"/>
      <c r="K35" s="1848"/>
      <c r="L35" s="1845"/>
      <c r="M35" s="1845"/>
    </row>
    <row r="36" spans="1:18" ht="18" customHeight="1">
      <c r="A36" s="1337" t="s">
        <v>1039</v>
      </c>
      <c r="B36" s="345" t="s">
        <v>1451</v>
      </c>
      <c r="C36" s="24">
        <f ca="1">ROUND(C29*F36,1)</f>
        <v>0.4</v>
      </c>
      <c r="D36" s="1784"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ROUND(C13*F37,1)</f>
        <v>0</v>
      </c>
      <c r="D37" s="1784" t="s">
        <v>1456</v>
      </c>
      <c r="E37" s="345" t="s">
        <v>1457</v>
      </c>
      <c r="F37" s="374">
        <f ca="1">INDIRECT("'数据-取费表'!Al"&amp;$G$1)</f>
        <v>1.5E-3</v>
      </c>
      <c r="G37" s="1837"/>
      <c r="H37" s="1845"/>
      <c r="I37" s="1846"/>
      <c r="J37" s="1847"/>
      <c r="K37" s="748"/>
      <c r="L37" s="1845"/>
      <c r="M37" s="1845"/>
    </row>
    <row r="38" spans="1:18" ht="18" customHeight="1" thickBot="1">
      <c r="A38" s="1324" t="s">
        <v>1394</v>
      </c>
      <c r="B38" s="1325" t="s">
        <v>1441</v>
      </c>
      <c r="C38" s="1326">
        <f ca="1">ROUND(C5*F38,1)</f>
        <v>0</v>
      </c>
      <c r="D38" s="1327" t="s">
        <v>1461</v>
      </c>
      <c r="E38" s="1325" t="s">
        <v>1457</v>
      </c>
      <c r="F38" s="1321">
        <f ca="1">INDIRECT("'数据-取费表'!Am"&amp;$G$1)</f>
        <v>0.01</v>
      </c>
      <c r="G38" s="1837"/>
      <c r="H38" s="1845"/>
      <c r="I38" s="1846"/>
      <c r="J38" s="1847"/>
      <c r="K38" s="1851"/>
      <c r="L38" s="1845"/>
      <c r="M38" s="1845"/>
    </row>
    <row r="39" spans="1:18" ht="24.6" customHeight="1" thickTop="1">
      <c r="A39" s="1314" t="s">
        <v>1031</v>
      </c>
      <c r="B39" s="1329" t="s">
        <v>1485</v>
      </c>
      <c r="C39" s="353">
        <f ca="1">C5-C30</f>
        <v>2</v>
      </c>
      <c r="D39" s="1330" t="s">
        <v>1486</v>
      </c>
      <c r="E39" s="1331"/>
      <c r="F39" s="1332"/>
      <c r="G39" s="1837"/>
      <c r="H39" s="1845"/>
      <c r="I39" s="1846"/>
      <c r="J39" s="1847"/>
      <c r="K39" s="1851"/>
      <c r="L39" s="1845"/>
      <c r="M39" s="1845"/>
    </row>
    <row r="40" spans="1:18" ht="18" customHeight="1">
      <c r="A40" s="342" t="s">
        <v>1032</v>
      </c>
      <c r="B40" s="343" t="s">
        <v>1487</v>
      </c>
      <c r="C40" s="344">
        <f ca="1">ROUND(C39*(1-((1+F42)/(1+F40))^F41)/(F40-F42),0)</f>
        <v>50</v>
      </c>
      <c r="D40" s="368" t="s">
        <v>1471</v>
      </c>
      <c r="E40" s="345" t="s">
        <v>1472</v>
      </c>
      <c r="F40" s="355">
        <f ca="1">INDIRECT("'数据-取费表'!I"&amp;$G$1)</f>
        <v>5.5E-2</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41.28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ROUND(C40*10000/F43,0)</f>
        <v>8392</v>
      </c>
      <c r="D43" s="381" t="s">
        <v>1490</v>
      </c>
      <c r="E43" s="382" t="s">
        <v>1491</v>
      </c>
      <c r="F43" s="383">
        <f ca="1">INDIRECT("'数据-取费表'!k"&amp;$G$1)</f>
        <v>59.58</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3"/>
      <c r="O45" s="1855" t="s">
        <v>1521</v>
      </c>
      <c r="P45" s="1825"/>
      <c r="Q45" s="1825"/>
      <c r="R45" s="1825"/>
    </row>
    <row r="46" spans="1:18" s="1828" customFormat="1" ht="13.5" thickBot="1">
      <c r="A46" s="1856" t="s">
        <v>1522</v>
      </c>
      <c r="C46" s="1857">
        <f ca="1">C68-C40</f>
        <v>-66</v>
      </c>
      <c r="D46" s="1858" t="str">
        <f>C2</f>
        <v>万元</v>
      </c>
      <c r="E46" s="1852"/>
      <c r="F46" s="1852"/>
      <c r="I46" s="1859" t="s">
        <v>1523</v>
      </c>
      <c r="J46" s="1860"/>
      <c r="K46" s="1861"/>
      <c r="L46" s="1862">
        <f ca="1">IF(M47="住宅",0,IF(L48&gt;J51,L60,J60))</f>
        <v>0</v>
      </c>
      <c r="O46" s="1863" t="s">
        <v>1524</v>
      </c>
      <c r="P46" s="1864" t="s">
        <v>1525</v>
      </c>
      <c r="Q46" s="1865" t="s">
        <v>1526</v>
      </c>
      <c r="R46" s="1865" t="s">
        <v>1527</v>
      </c>
    </row>
    <row r="47" spans="1:18" s="1828" customFormat="1" ht="13.5" thickBot="1">
      <c r="A47" s="1158" t="s">
        <v>1397</v>
      </c>
      <c r="B47" s="1190" t="s">
        <v>1398</v>
      </c>
      <c r="C47" s="1352" t="s">
        <v>1399</v>
      </c>
      <c r="D47" s="1190" t="s">
        <v>1400</v>
      </c>
      <c r="E47" s="1264" t="s">
        <v>1401</v>
      </c>
      <c r="F47" s="1265"/>
      <c r="G47" s="789"/>
      <c r="I47" s="1866" t="s">
        <v>1528</v>
      </c>
      <c r="J47" s="1867" t="s">
        <v>3061</v>
      </c>
      <c r="K47" s="1868" t="s">
        <v>1529</v>
      </c>
      <c r="L47" s="1869">
        <f ca="1">INDIRECT("'数据-取费表'!d"&amp;$G$1)</f>
        <v>50</v>
      </c>
      <c r="M47" s="1824" t="str">
        <f>IF(ISNUMBER(FIND("住宅",C1)),"住宅","非住宅")</f>
        <v>非住宅</v>
      </c>
      <c r="O47" s="1870" t="s">
        <v>1040</v>
      </c>
      <c r="P47" s="1871" t="s">
        <v>1530</v>
      </c>
      <c r="Q47" s="1872">
        <f ca="1">C40+J29</f>
        <v>50</v>
      </c>
      <c r="R47" s="1872" t="s">
        <v>1531</v>
      </c>
    </row>
    <row r="48" spans="1:18" s="1828" customFormat="1" ht="28.5" thickBot="1">
      <c r="A48" s="1345" t="s">
        <v>1135</v>
      </c>
      <c r="B48" s="343" t="s">
        <v>1402</v>
      </c>
      <c r="C48" s="1803">
        <f ca="1">C49+C53+C55</f>
        <v>0</v>
      </c>
      <c r="D48" s="1347"/>
      <c r="E48" s="1348"/>
      <c r="F48" s="1174"/>
      <c r="G48" s="789"/>
      <c r="H48" s="790"/>
      <c r="I48" s="1873" t="s">
        <v>1532</v>
      </c>
      <c r="J48" s="1874" t="s">
        <v>3062</v>
      </c>
      <c r="K48" s="1875" t="s">
        <v>1533</v>
      </c>
      <c r="L48" s="1876">
        <f ca="1">INDIRECT("'数据-取费表'!f"&amp;$G$1)</f>
        <v>41.28</v>
      </c>
      <c r="O48" s="1870" t="s">
        <v>1041</v>
      </c>
      <c r="P48" s="1871" t="s">
        <v>1534</v>
      </c>
      <c r="Q48" s="1872">
        <f ca="1">J60</f>
        <v>0</v>
      </c>
      <c r="R48" s="1872" t="s">
        <v>1535</v>
      </c>
    </row>
    <row r="49" spans="1:18" s="1828" customFormat="1" ht="13.5" thickBot="1">
      <c r="A49" s="1187" t="s">
        <v>1136</v>
      </c>
      <c r="B49" s="1815" t="s">
        <v>1492</v>
      </c>
      <c r="C49" s="1349">
        <f ca="1">ROUND(F49*F51*F50*(1-F52)/10000,0)</f>
        <v>0</v>
      </c>
      <c r="D49" s="1261" t="s">
        <v>3032</v>
      </c>
      <c r="E49" s="1816" t="s">
        <v>1493</v>
      </c>
      <c r="F49" s="1266"/>
      <c r="G49" s="1877"/>
      <c r="H49" s="790"/>
      <c r="I49" s="1873" t="s">
        <v>1536</v>
      </c>
      <c r="J49" s="1878">
        <v>2017</v>
      </c>
      <c r="K49" s="1875" t="s">
        <v>1537</v>
      </c>
      <c r="L49" s="1879"/>
      <c r="O49" s="1880" t="s">
        <v>1042</v>
      </c>
      <c r="P49" s="1871" t="s">
        <v>1538</v>
      </c>
      <c r="Q49" s="1872">
        <f ca="1">C29</f>
        <v>27</v>
      </c>
      <c r="R49" s="1872" t="s">
        <v>1531</v>
      </c>
    </row>
    <row r="50" spans="1:18" s="1828" customFormat="1" ht="13.5" thickBot="1">
      <c r="A50" s="1188"/>
      <c r="B50" s="1191"/>
      <c r="C50" s="1353"/>
      <c r="D50" s="1165"/>
      <c r="E50" s="1262" t="s">
        <v>1407</v>
      </c>
      <c r="F50" s="1263">
        <f ca="1">F7</f>
        <v>59.58</v>
      </c>
      <c r="H50" s="790"/>
      <c r="I50" s="1873" t="s">
        <v>1539</v>
      </c>
      <c r="J50" s="1881">
        <f>SUMPRODUCT((I63:I65=J47)*(J62:L62=J48)*(J63:L65))</f>
        <v>60</v>
      </c>
      <c r="K50" s="1875" t="s">
        <v>1540</v>
      </c>
      <c r="L50" s="1879"/>
      <c r="M50" s="1882"/>
      <c r="O50" s="1880" t="s">
        <v>1043</v>
      </c>
      <c r="P50" s="1871" t="s">
        <v>1541</v>
      </c>
      <c r="Q50" s="1883">
        <f ca="1">J58</f>
        <v>0.4</v>
      </c>
      <c r="R50" s="1872"/>
    </row>
    <row r="51" spans="1:18" s="1828" customFormat="1" ht="13.5" thickBot="1">
      <c r="A51" s="1189"/>
      <c r="B51" s="1191"/>
      <c r="C51" s="1192"/>
      <c r="D51" s="1165"/>
      <c r="E51" s="1193" t="s">
        <v>1408</v>
      </c>
      <c r="F51" s="346">
        <f ca="1">F8</f>
        <v>365</v>
      </c>
      <c r="I51" s="1884" t="s">
        <v>1542</v>
      </c>
      <c r="J51" s="1885">
        <f>IF(J49="",J50,J49+J50-YEAR('数据-取费表'!B2))</f>
        <v>60</v>
      </c>
      <c r="K51" s="1886" t="s">
        <v>1543</v>
      </c>
      <c r="L51" s="1887">
        <f ca="1">ROUND(-PV(INDIRECT("'数据-取费表'!h"&amp;$G$1),L48,(C39-C13*C76),0),0)</f>
        <v>-2</v>
      </c>
      <c r="M51" s="1888"/>
      <c r="O51" s="1880" t="s">
        <v>1044</v>
      </c>
      <c r="P51" s="1871" t="s">
        <v>1544</v>
      </c>
      <c r="Q51" s="1883">
        <f>J52</f>
        <v>0.09</v>
      </c>
      <c r="R51" s="1872"/>
    </row>
    <row r="52" spans="1:18" s="1828" customFormat="1" ht="13.5" thickBot="1">
      <c r="A52" s="1189"/>
      <c r="B52" s="1191"/>
      <c r="C52" s="1192"/>
      <c r="D52" s="1165"/>
      <c r="E52" s="1193" t="s">
        <v>1409</v>
      </c>
      <c r="F52" s="1260"/>
      <c r="I52" s="1889" t="s">
        <v>1545</v>
      </c>
      <c r="J52" s="1890">
        <v>0.09</v>
      </c>
      <c r="K52" s="1889" t="s">
        <v>1546</v>
      </c>
      <c r="L52" s="1890">
        <v>4.4999999999999998E-2</v>
      </c>
      <c r="O52" s="1880" t="s">
        <v>1045</v>
      </c>
      <c r="P52" s="1871" t="s">
        <v>1547</v>
      </c>
      <c r="Q52" s="1872">
        <f ca="1">J53</f>
        <v>41.28</v>
      </c>
      <c r="R52" s="1872" t="s">
        <v>1548</v>
      </c>
    </row>
    <row r="53" spans="1:18" s="1828" customFormat="1" ht="24.75" thickBot="1">
      <c r="A53" s="1390" t="s">
        <v>1137</v>
      </c>
      <c r="B53" s="1817" t="s">
        <v>1410</v>
      </c>
      <c r="C53" s="359">
        <f ca="1">ROUND(IF(F53="押一",F49*F51*F50/12*F11,IF(F53="押二",F49*F51*F50/12*2*F11,IF(F53="押三",F49*F51*F50/12*3*F11,C54*F11)))/10000,0)</f>
        <v>0</v>
      </c>
      <c r="D53" s="1810" t="s">
        <v>3030</v>
      </c>
      <c r="E53" s="356" t="s">
        <v>1412</v>
      </c>
      <c r="F53" s="1351"/>
      <c r="I53" s="1891" t="s">
        <v>1549</v>
      </c>
      <c r="J53" s="1892">
        <f ca="1">IF(M47="住宅",J51,IF(D1="——",MIN(J51,L48),IF(D1="在建（套用方法）",MIN(J51,L48-'数据-取费表'!B24),IF(D1="土地（套用方法）",MIN(J51,L48-'数据-取费表'!B20)))))</f>
        <v>41.28</v>
      </c>
      <c r="K53" s="3202" t="s">
        <v>1550</v>
      </c>
      <c r="L53" s="3203"/>
      <c r="O53" s="1870" t="s">
        <v>1046</v>
      </c>
      <c r="P53" s="1871" t="s">
        <v>1551</v>
      </c>
      <c r="Q53" s="1872">
        <f ca="1">Q47+Q48</f>
        <v>50</v>
      </c>
      <c r="R53" s="1872" t="s">
        <v>1047</v>
      </c>
    </row>
    <row r="54" spans="1:18" s="1828" customFormat="1" ht="13.5" thickBot="1">
      <c r="A54" s="1391"/>
      <c r="B54" s="1811" t="s">
        <v>1389</v>
      </c>
      <c r="C54" s="1171"/>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1818"/>
      <c r="F55" s="1893"/>
      <c r="I55" s="1896" t="s">
        <v>1553</v>
      </c>
      <c r="J55" s="1897">
        <f ca="1">ROUND(IF(J47="钢混",J57/J50,1-(1-2%)*(J50-J57)/J50),3)</f>
        <v>0.312</v>
      </c>
      <c r="K55" s="1898" t="s">
        <v>1554</v>
      </c>
      <c r="L55" s="1899" t="s">
        <v>1555</v>
      </c>
      <c r="O55" s="1863" t="s">
        <v>1524</v>
      </c>
      <c r="P55" s="1864" t="s">
        <v>1525</v>
      </c>
      <c r="Q55" s="1865" t="s">
        <v>1526</v>
      </c>
      <c r="R55" s="1865" t="s">
        <v>1527</v>
      </c>
    </row>
    <row r="56" spans="1:18" s="1828" customFormat="1" ht="25.5" thickTop="1" thickBot="1">
      <c r="A56" s="1169">
        <v>2</v>
      </c>
      <c r="B56" s="1170" t="s">
        <v>1416</v>
      </c>
      <c r="C56" s="274">
        <f ca="1">C13</f>
        <v>25</v>
      </c>
      <c r="D56" s="1900"/>
      <c r="E56" s="1901"/>
      <c r="F56" s="1893"/>
      <c r="I56" s="1902" t="s">
        <v>1556</v>
      </c>
      <c r="J56" s="1903" t="s">
        <v>3045</v>
      </c>
      <c r="K56" s="1873" t="s">
        <v>1557</v>
      </c>
      <c r="L56" s="1876" t="str">
        <f ca="1">IF(L48&lt;J51,"——",L48-J53)</f>
        <v>——</v>
      </c>
      <c r="O56" s="1870" t="s">
        <v>1040</v>
      </c>
      <c r="P56" s="1871" t="s">
        <v>1530</v>
      </c>
      <c r="Q56" s="1872">
        <f ca="1">C40+J29</f>
        <v>50</v>
      </c>
      <c r="R56" s="1872" t="s">
        <v>1531</v>
      </c>
    </row>
    <row r="57" spans="1:18" s="1828" customFormat="1" ht="24.75" thickBot="1">
      <c r="A57" s="1904"/>
      <c r="B57" s="1162" t="s">
        <v>1480</v>
      </c>
      <c r="C57" s="280">
        <f ca="1">C29</f>
        <v>27</v>
      </c>
      <c r="D57" s="1905"/>
      <c r="E57" s="1906"/>
      <c r="F57" s="1907"/>
      <c r="I57" s="1908" t="s">
        <v>1558</v>
      </c>
      <c r="J57" s="1909">
        <f ca="1">IF(OR(M47="住宅",J51&lt;L48,J56="是"),"——",J51-L48)</f>
        <v>18.72</v>
      </c>
      <c r="K57" s="1873" t="s">
        <v>1559</v>
      </c>
      <c r="L57" s="1876" t="str">
        <f ca="1">IF(L48&lt;J51,"——",IF(L55="比较法",L49,IF(L55="基准地价",L50,L51)))</f>
        <v>——</v>
      </c>
      <c r="O57" s="1870" t="s">
        <v>1041</v>
      </c>
      <c r="P57" s="1871" t="s">
        <v>1560</v>
      </c>
      <c r="Q57" s="1872">
        <f ca="1">L60</f>
        <v>0</v>
      </c>
      <c r="R57" s="1872" t="s">
        <v>1561</v>
      </c>
    </row>
    <row r="58" spans="1:18" s="1828" customFormat="1" ht="24.75" thickBot="1">
      <c r="A58" s="358" t="s">
        <v>1030</v>
      </c>
      <c r="B58" s="1170" t="s">
        <v>1426</v>
      </c>
      <c r="C58" s="359">
        <f ca="1">ROUND(C59+C64+C65+C66,0)</f>
        <v>1</v>
      </c>
      <c r="D58" s="1172" t="s">
        <v>1427</v>
      </c>
      <c r="E58" s="1173"/>
      <c r="F58" s="1174"/>
      <c r="I58" s="1908" t="s">
        <v>1562</v>
      </c>
      <c r="J58" s="1910">
        <f ca="1">IF(J55&lt;0.4,0.4,J55)</f>
        <v>0.4</v>
      </c>
      <c r="K58" s="1886" t="s">
        <v>1563</v>
      </c>
      <c r="L58" s="1876">
        <f ca="1">ROUND(POWER(1+L52,L47-L48)*(POWER(1+L52,L48)-1)/(POWER(1+L52,L47)-1),4)</f>
        <v>0.94179999999999997</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ROUND(IF(项目基本情况!B11="自然人",C48*F59,C60+C61+C62),1)</f>
        <v>0.2</v>
      </c>
      <c r="D59" s="1175" t="s">
        <v>1432</v>
      </c>
      <c r="E59" s="1176" t="s">
        <v>1433</v>
      </c>
      <c r="F59" s="366" t="str">
        <f ca="1">IF(项目基本情况!B11="企业","",IF(INDIRECT("'数据-取费表'!c"&amp;$G$1)="住宅",5%,IF(F49*F50*F51/12/(1+'数据-取费表'!C42)&gt;20000,12%,7%)))</f>
        <v/>
      </c>
      <c r="I59" s="1908" t="s">
        <v>1565</v>
      </c>
      <c r="J59" s="1909">
        <f ca="1">IF(OR(M47="住宅",J51&lt;L48,J56="是"),"——",ROUND(C29*J58,0))</f>
        <v>11</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1.0443</v>
      </c>
      <c r="M59" s="1824">
        <f ca="1">ROUND(POWER(1+L52,L47-(J51+'数据-取费表'!B24))*(POWER(1+L52,(J51+'数据-取费表'!B24))-1)/(POWER(1+L52,L47)-1),4)</f>
        <v>1.0443</v>
      </c>
      <c r="N59" s="1824">
        <f ca="1">ROUND(POWER(1+L52,L47-(J51+'数据-取费表'!B20))*(POWER(1+L52,(J51+'数据-取费表'!B20))-1)/(POWER(1+L52,L47)-1),4)</f>
        <v>1.0510999999999999</v>
      </c>
      <c r="O59" s="1880" t="s">
        <v>1043</v>
      </c>
      <c r="P59" s="1871" t="s">
        <v>1566</v>
      </c>
      <c r="Q59" s="1883">
        <f>L52</f>
        <v>4.4999999999999998E-2</v>
      </c>
      <c r="R59" s="1872"/>
    </row>
    <row r="60" spans="1:18" s="1828" customFormat="1" ht="16.5" thickBot="1">
      <c r="A60" s="1194" t="s">
        <v>1034</v>
      </c>
      <c r="B60" s="1162" t="s">
        <v>1435</v>
      </c>
      <c r="C60" s="24">
        <f ca="1">IF(项目基本情况!B11="自然人","——",ROUND(C48*F60/(1+'数据-取费表'!C42),2))</f>
        <v>0</v>
      </c>
      <c r="D60" s="1176" t="s">
        <v>1436</v>
      </c>
      <c r="E60" s="1162" t="s">
        <v>1424</v>
      </c>
      <c r="F60" s="375">
        <f t="shared" ref="F60:F66" si="0">F32</f>
        <v>5.6500000000000002E-2</v>
      </c>
      <c r="I60" s="1911" t="s">
        <v>1567</v>
      </c>
      <c r="J60" s="1912">
        <f ca="1">IF(OR(M47="住宅",J51&lt;L48,J56="是"),"0",ROUND(J59/(1+J52)^J53,0))</f>
        <v>0</v>
      </c>
      <c r="K60" s="1913" t="s">
        <v>1568</v>
      </c>
      <c r="L60" s="1912">
        <f ca="1">IF(OR(M47="住宅",L48&lt;J51),0,ROUND(L57*(L58/L59-1),0))</f>
        <v>0</v>
      </c>
      <c r="O60" s="1880" t="s">
        <v>1044</v>
      </c>
      <c r="P60" s="1871" t="s">
        <v>1569</v>
      </c>
      <c r="Q60" s="1872">
        <f ca="1">L58</f>
        <v>0.94179999999999997</v>
      </c>
      <c r="R60" s="1872" t="s">
        <v>1570</v>
      </c>
    </row>
    <row r="61" spans="1:18" s="1828" customFormat="1" ht="13.5" thickBot="1">
      <c r="A61" s="1194" t="s">
        <v>1494</v>
      </c>
      <c r="B61" s="1162" t="s">
        <v>1495</v>
      </c>
      <c r="C61" s="24">
        <f ca="1">IF(项目基本情况!B11="自然人","——",IF(D61="按租金收入计税",ROUND(C48*F61,2),IF(D61="按房产原值计税",ROUND(C57*F61*0.7,2),INDIRECT("'数据-取费表'!Aj"&amp;$G$1))))</f>
        <v>0.23</v>
      </c>
      <c r="D61" s="1814" t="s">
        <v>1440</v>
      </c>
      <c r="E61" s="1162" t="s">
        <v>1496</v>
      </c>
      <c r="F61" s="365">
        <f t="shared" si="0"/>
        <v>1.2E-2</v>
      </c>
      <c r="I61" s="1914"/>
      <c r="J61" s="1914"/>
      <c r="K61" s="1914"/>
      <c r="L61" s="1914"/>
      <c r="O61" s="1880" t="s">
        <v>1045</v>
      </c>
      <c r="P61" s="1871" t="str">
        <f>K59</f>
        <v>建筑物剩余耐用年限下的土地年期修正系数Kn</v>
      </c>
      <c r="Q61" s="1872">
        <f ca="1">L59</f>
        <v>1.0443</v>
      </c>
      <c r="R61" s="1872" t="s">
        <v>1571</v>
      </c>
    </row>
    <row r="62" spans="1:18" s="1828" customFormat="1" ht="13.5" thickBot="1">
      <c r="A62" s="1194" t="s">
        <v>1497</v>
      </c>
      <c r="B62" s="1161" t="s">
        <v>1498</v>
      </c>
      <c r="C62" s="25">
        <f ca="1">IF(项目基本情况!B11="自然人","——",ROUND(F62*F63/10000,2))</f>
        <v>0</v>
      </c>
      <c r="D62" s="1177" t="s">
        <v>1499</v>
      </c>
      <c r="E62" s="1162" t="s">
        <v>1500</v>
      </c>
      <c r="F62" s="369">
        <f t="shared" si="0"/>
        <v>5</v>
      </c>
      <c r="I62" s="1915" t="s">
        <v>1572</v>
      </c>
      <c r="J62" s="1916" t="s">
        <v>1573</v>
      </c>
      <c r="K62" s="1916" t="s">
        <v>1574</v>
      </c>
      <c r="L62" s="1916" t="s">
        <v>1575</v>
      </c>
      <c r="M62" s="1917" t="s">
        <v>1576</v>
      </c>
      <c r="O62" s="1870" t="s">
        <v>1046</v>
      </c>
      <c r="P62" s="1871" t="s">
        <v>1577</v>
      </c>
      <c r="Q62" s="1872">
        <f ca="1">Q56+Q57</f>
        <v>50</v>
      </c>
      <c r="R62" s="1872" t="s">
        <v>1047</v>
      </c>
    </row>
    <row r="63" spans="1:18" s="1828" customFormat="1" ht="13.5" thickBot="1">
      <c r="A63" s="370"/>
      <c r="B63" s="1168"/>
      <c r="C63" s="29"/>
      <c r="D63" s="1178"/>
      <c r="E63" s="1162" t="s">
        <v>1501</v>
      </c>
      <c r="F63" s="346">
        <f t="shared" ca="1" si="0"/>
        <v>4.9799999999999995</v>
      </c>
      <c r="I63" s="1915" t="s">
        <v>1578</v>
      </c>
      <c r="J63" s="1916">
        <v>70</v>
      </c>
      <c r="K63" s="1916">
        <v>50</v>
      </c>
      <c r="L63" s="1916">
        <v>80</v>
      </c>
      <c r="M63" s="1918">
        <v>0.02</v>
      </c>
      <c r="O63" s="1855" t="s">
        <v>1579</v>
      </c>
      <c r="P63" s="1825"/>
      <c r="Q63" s="1825"/>
      <c r="R63" s="1825"/>
    </row>
    <row r="64" spans="1:18" s="1828" customFormat="1" ht="13.5" thickBot="1">
      <c r="A64" s="1194" t="s">
        <v>1502</v>
      </c>
      <c r="B64" s="1162" t="s">
        <v>1503</v>
      </c>
      <c r="C64" s="24">
        <f ca="1">ROUND(C57*F64,1)</f>
        <v>0.4</v>
      </c>
      <c r="D64" s="1176" t="s">
        <v>1504</v>
      </c>
      <c r="E64" s="1162" t="s">
        <v>1496</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ROUND(C56*F65,1)</f>
        <v>0</v>
      </c>
      <c r="D65" s="1176" t="s">
        <v>1456</v>
      </c>
      <c r="E65" s="1162" t="s">
        <v>1457</v>
      </c>
      <c r="F65" s="374">
        <f t="shared" ca="1" si="0"/>
        <v>1.5E-3</v>
      </c>
      <c r="I65" s="1915" t="s">
        <v>1581</v>
      </c>
      <c r="J65" s="1916">
        <v>40</v>
      </c>
      <c r="K65" s="1916">
        <v>30</v>
      </c>
      <c r="L65" s="1916">
        <v>50</v>
      </c>
      <c r="M65" s="1918">
        <v>0.02</v>
      </c>
      <c r="O65" s="1870" t="s">
        <v>1040</v>
      </c>
      <c r="P65" s="1871" t="s">
        <v>1582</v>
      </c>
      <c r="Q65" s="1872">
        <f ca="1">C40+J29</f>
        <v>50</v>
      </c>
      <c r="R65" s="1872" t="s">
        <v>1531</v>
      </c>
    </row>
    <row r="66" spans="1:18" s="1828" customFormat="1" ht="16.5" thickBot="1">
      <c r="A66" s="1194" t="s">
        <v>1506</v>
      </c>
      <c r="B66" s="1162" t="s">
        <v>1441</v>
      </c>
      <c r="C66" s="24">
        <f ca="1">ROUND(C48*F66,1)</f>
        <v>0</v>
      </c>
      <c r="D66" s="1176" t="s">
        <v>1507</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-1</v>
      </c>
      <c r="D67" s="1175" t="s">
        <v>1466</v>
      </c>
      <c r="E67" s="1180"/>
      <c r="F67" s="1181"/>
      <c r="O67" s="1880" t="s">
        <v>1042</v>
      </c>
      <c r="P67" s="1871" t="s">
        <v>1564</v>
      </c>
      <c r="Q67" s="1919">
        <f ca="1">L51</f>
        <v>-2</v>
      </c>
      <c r="R67" s="1872" t="s">
        <v>1584</v>
      </c>
    </row>
    <row r="68" spans="1:18" s="1828" customFormat="1" ht="16.5" thickBot="1">
      <c r="A68" s="1159" t="s">
        <v>1032</v>
      </c>
      <c r="B68" s="1160" t="s">
        <v>1487</v>
      </c>
      <c r="C68" s="344">
        <f ca="1">ROUND(C67*(1-((1+F70)/(1+F68))^F69)/(F68-F70),0)</f>
        <v>-16</v>
      </c>
      <c r="D68" s="1177" t="s">
        <v>1471</v>
      </c>
      <c r="E68" s="1162" t="s">
        <v>1472</v>
      </c>
      <c r="F68" s="355">
        <f ca="1">F40</f>
        <v>5.5E-2</v>
      </c>
      <c r="O68" s="1880" t="s">
        <v>1043</v>
      </c>
      <c r="P68" s="1920" t="s">
        <v>1585</v>
      </c>
      <c r="Q68" s="1872">
        <f ca="1">ROUND(Q69-Q70*Q71,0)</f>
        <v>0</v>
      </c>
      <c r="R68" s="1872" t="s">
        <v>1051</v>
      </c>
    </row>
    <row r="69" spans="1:18" s="1828" customFormat="1" ht="13.5" thickBot="1">
      <c r="A69" s="1163"/>
      <c r="B69" s="1164"/>
      <c r="C69" s="349"/>
      <c r="D69" s="1182" t="s">
        <v>1475</v>
      </c>
      <c r="E69" s="1162" t="s">
        <v>1476</v>
      </c>
      <c r="F69" s="377">
        <f ca="1">F41</f>
        <v>41.28</v>
      </c>
      <c r="O69" s="1880" t="s">
        <v>1048</v>
      </c>
      <c r="P69" s="1920" t="s">
        <v>1586</v>
      </c>
      <c r="Q69" s="1872">
        <f ca="1">C39</f>
        <v>2</v>
      </c>
      <c r="R69" s="1872" t="s">
        <v>1531</v>
      </c>
    </row>
    <row r="70" spans="1:18" s="1828" customFormat="1" ht="13.5" thickBot="1">
      <c r="A70" s="1166"/>
      <c r="B70" s="1167"/>
      <c r="C70" s="353"/>
      <c r="D70" s="1178"/>
      <c r="E70" s="1162" t="s">
        <v>1479</v>
      </c>
      <c r="F70" s="1260"/>
      <c r="O70" s="1880" t="s">
        <v>1049</v>
      </c>
      <c r="P70" s="1920" t="s">
        <v>1587</v>
      </c>
      <c r="Q70" s="1872">
        <f ca="1">C13</f>
        <v>25</v>
      </c>
      <c r="R70" s="1872" t="s">
        <v>1531</v>
      </c>
    </row>
    <row r="71" spans="1:18" s="1828" customFormat="1" ht="13.5" thickBot="1">
      <c r="A71" s="1183" t="s">
        <v>1033</v>
      </c>
      <c r="B71" s="1184" t="s">
        <v>1489</v>
      </c>
      <c r="C71" s="380">
        <f ca="1">ROUND(C68*10000/F71,0)</f>
        <v>-2685</v>
      </c>
      <c r="D71" s="1185" t="s">
        <v>1490</v>
      </c>
      <c r="E71" s="1186" t="s">
        <v>1491</v>
      </c>
      <c r="F71" s="383">
        <f ca="1">F43</f>
        <v>59.58</v>
      </c>
      <c r="O71" s="1880" t="s">
        <v>1050</v>
      </c>
      <c r="P71" s="1920" t="s">
        <v>1588</v>
      </c>
      <c r="Q71" s="1883">
        <f ca="1">C76</f>
        <v>8.5000000000000006E-2</v>
      </c>
      <c r="R71" s="1872"/>
    </row>
    <row r="72" spans="1:18" s="1828" customFormat="1" ht="13.5" thickBot="1">
      <c r="B72" s="793"/>
      <c r="C72" s="793"/>
      <c r="O72" s="1880" t="s">
        <v>1044</v>
      </c>
      <c r="P72" s="1871" t="s">
        <v>1566</v>
      </c>
      <c r="Q72" s="1883">
        <f>L52</f>
        <v>4.4999999999999998E-2</v>
      </c>
      <c r="R72" s="1872"/>
    </row>
    <row r="73" spans="1:18" ht="16.5" thickBot="1">
      <c r="A73" s="1828"/>
      <c r="B73" s="793"/>
      <c r="C73" s="793"/>
      <c r="D73" s="1828"/>
      <c r="E73" s="1828"/>
      <c r="F73" s="1828"/>
      <c r="O73" s="1880" t="s">
        <v>1045</v>
      </c>
      <c r="P73" s="1871" t="s">
        <v>1569</v>
      </c>
      <c r="Q73" s="1872">
        <f ca="1">L58</f>
        <v>0.94179999999999997</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1.0443</v>
      </c>
      <c r="R74" s="1872" t="s">
        <v>1571</v>
      </c>
    </row>
    <row r="75" spans="1:18" ht="13.5" thickBot="1">
      <c r="A75" s="1828"/>
      <c r="B75" s="384" t="s">
        <v>1508</v>
      </c>
      <c r="C75" s="385">
        <f ca="1">ROUND(C13*C76,0)</f>
        <v>2</v>
      </c>
      <c r="D75" s="1828"/>
      <c r="E75" s="1828"/>
      <c r="F75" s="1828"/>
      <c r="K75" s="1854"/>
      <c r="L75" s="1828"/>
      <c r="O75" s="1870" t="s">
        <v>1046</v>
      </c>
      <c r="P75" s="1871" t="s">
        <v>1551</v>
      </c>
      <c r="Q75" s="1872">
        <f ca="1">Q65+Q66</f>
        <v>50</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0</v>
      </c>
    </row>
    <row r="80" spans="1:18">
      <c r="B80" s="384" t="s">
        <v>1513</v>
      </c>
      <c r="C80" s="316">
        <f ca="1">ROUND(C75/C39,3)</f>
        <v>1</v>
      </c>
    </row>
    <row r="81" spans="2:3">
      <c r="B81" s="312" t="s">
        <v>1514</v>
      </c>
      <c r="C81" s="280"/>
    </row>
    <row r="82" spans="2:3">
      <c r="B82" s="315" t="s">
        <v>1515</v>
      </c>
      <c r="C82" s="317">
        <f ca="1">1-C83</f>
        <v>0.5</v>
      </c>
    </row>
    <row r="83" spans="2:3">
      <c r="B83" s="315" t="s">
        <v>1516</v>
      </c>
      <c r="C83" s="316">
        <f ca="1">ROUND(C13/C40,3)</f>
        <v>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codeName="Sheet23">
    <tabColor rgb="FF92D050"/>
  </sheetPr>
  <dimension ref="A1:AS524"/>
  <sheetViews>
    <sheetView workbookViewId="0">
      <pane ySplit="24" topLeftCell="A163" activePane="bottomLeft" state="frozen"/>
      <selection activeCell="C50" sqref="C50"/>
      <selection pane="bottomLeft" activeCell="S22" sqref="R22:S22"/>
    </sheetView>
  </sheetViews>
  <sheetFormatPr defaultRowHeight="12.75"/>
  <cols>
    <col min="1" max="1" width="11.5" style="137" customWidth="1"/>
    <col min="2" max="2" width="9.25" style="27" customWidth="1"/>
    <col min="3" max="3" width="5" style="27" customWidth="1"/>
    <col min="4" max="4" width="9" style="27" hidden="1" customWidth="1"/>
    <col min="5" max="5" width="5" style="27" hidden="1" customWidth="1"/>
    <col min="6" max="6" width="9" style="27" hidden="1" customWidth="1"/>
    <col min="7" max="7" width="5" style="27" hidden="1"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ol min="17" max="17" width="6.75" style="27" customWidth="1"/>
    <col min="18" max="18" width="9" style="699"/>
    <col min="19" max="19" width="9" style="137"/>
    <col min="20" max="45" width="9" style="792"/>
    <col min="46" max="16384" width="9" style="137"/>
  </cols>
  <sheetData>
    <row r="1" spans="1:45" ht="14.25" customHeight="1" thickBot="1">
      <c r="A1" s="153"/>
      <c r="B1" s="1197" t="s">
        <v>3002</v>
      </c>
      <c r="C1" s="3227" t="s">
        <v>3003</v>
      </c>
      <c r="D1" s="3228"/>
      <c r="E1" s="3228"/>
      <c r="F1" s="3228"/>
      <c r="G1" s="3228"/>
      <c r="H1" s="3228"/>
      <c r="I1" s="3228"/>
      <c r="J1" s="3228"/>
      <c r="K1" s="3228"/>
      <c r="L1" s="3228"/>
      <c r="M1" s="3228"/>
      <c r="N1" s="3228"/>
      <c r="O1" s="3228"/>
      <c r="P1" s="3228"/>
      <c r="Q1" s="3228"/>
      <c r="R1" s="3228"/>
      <c r="S1" s="3229"/>
      <c r="T1" s="1197" t="s">
        <v>3004</v>
      </c>
    </row>
    <row r="2" spans="1:45" s="704" customFormat="1" ht="38.25">
      <c r="A2" s="1198"/>
      <c r="B2" s="700" t="s">
        <v>3005</v>
      </c>
      <c r="C2" s="701" t="str">
        <f t="shared" ref="C2:L2" si="0">C3&amp;"(含)"&amp;"-"&amp;D3</f>
        <v>0(含)-50</v>
      </c>
      <c r="D2" s="702" t="str">
        <f t="shared" si="0"/>
        <v>50(含)-100</v>
      </c>
      <c r="E2" s="702" t="str">
        <f t="shared" si="0"/>
        <v>100(含)-150</v>
      </c>
      <c r="F2" s="702" t="str">
        <f t="shared" si="0"/>
        <v>150(含)-250</v>
      </c>
      <c r="G2" s="702" t="str">
        <f t="shared" si="0"/>
        <v>250(含)-350</v>
      </c>
      <c r="H2" s="702" t="str">
        <f t="shared" si="0"/>
        <v>350(含)-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9"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0"/>
      <c r="B3" s="705"/>
      <c r="C3" s="706">
        <v>0</v>
      </c>
      <c r="D3" s="707">
        <v>50</v>
      </c>
      <c r="E3" s="707">
        <v>100</v>
      </c>
      <c r="F3" s="1690">
        <v>150</v>
      </c>
      <c r="G3" s="1690">
        <v>250</v>
      </c>
      <c r="H3" s="1690">
        <v>350</v>
      </c>
      <c r="I3" s="1690"/>
      <c r="J3" s="1690"/>
      <c r="K3" s="1690"/>
      <c r="L3" s="1691"/>
      <c r="M3" s="1692"/>
      <c r="N3" s="1692"/>
      <c r="O3" s="1690"/>
      <c r="P3" s="1690"/>
      <c r="Q3" s="1690"/>
      <c r="R3" s="1690"/>
      <c r="S3" s="169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1"/>
      <c r="B4" s="1202"/>
      <c r="C4" s="1203">
        <v>100</v>
      </c>
      <c r="D4" s="1204">
        <v>98</v>
      </c>
      <c r="E4" s="1204">
        <v>96</v>
      </c>
      <c r="F4" s="1694">
        <v>94</v>
      </c>
      <c r="G4" s="1694">
        <v>92</v>
      </c>
      <c r="H4" s="1694">
        <v>90</v>
      </c>
      <c r="I4" s="1694"/>
      <c r="J4" s="1694"/>
      <c r="K4" s="1694"/>
      <c r="L4" s="1694"/>
      <c r="M4" s="1695"/>
      <c r="N4" s="1695"/>
      <c r="O4" s="1694"/>
      <c r="P4" s="1694"/>
      <c r="Q4" s="1694"/>
      <c r="R4" s="1694"/>
      <c r="S4" s="1696"/>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08"/>
      <c r="B5" s="1755" t="s">
        <v>3006</v>
      </c>
      <c r="C5" s="1209"/>
      <c r="D5" s="1210"/>
      <c r="E5" s="1210"/>
      <c r="F5" s="1697"/>
      <c r="G5" s="1697"/>
      <c r="H5" s="1697"/>
      <c r="I5" s="1697"/>
      <c r="J5" s="1697"/>
      <c r="K5" s="1697"/>
      <c r="L5" s="1698"/>
      <c r="M5" s="1699"/>
      <c r="N5" s="1699"/>
      <c r="O5" s="1697"/>
      <c r="P5" s="1697"/>
      <c r="Q5" s="1697"/>
      <c r="R5" s="1697"/>
      <c r="S5" s="1700"/>
      <c r="T5" s="1212"/>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8"/>
      <c r="B6" s="1109"/>
      <c r="C6" s="1115">
        <v>100</v>
      </c>
      <c r="D6" s="1112">
        <f>C6-$T5</f>
        <v>100</v>
      </c>
      <c r="E6" s="1112">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11"/>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08"/>
      <c r="B7" s="1756" t="s">
        <v>3007</v>
      </c>
      <c r="C7" s="1114"/>
      <c r="D7" s="1108"/>
      <c r="E7" s="1108"/>
      <c r="F7" s="1702"/>
      <c r="G7" s="1702"/>
      <c r="H7" s="1702"/>
      <c r="I7" s="1702"/>
      <c r="J7" s="1702"/>
      <c r="K7" s="1702"/>
      <c r="L7" s="1702"/>
      <c r="M7" s="1703"/>
      <c r="N7" s="1704"/>
      <c r="O7" s="1705"/>
      <c r="P7" s="1706"/>
      <c r="Q7" s="1707"/>
      <c r="R7" s="1708"/>
      <c r="S7" s="170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8"/>
      <c r="B8" s="1109"/>
      <c r="C8" s="1115">
        <v>100</v>
      </c>
      <c r="D8" s="1112">
        <f>C8-$T7</f>
        <v>100</v>
      </c>
      <c r="E8" s="1112">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11"/>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08"/>
      <c r="B9" s="1756" t="s">
        <v>3008</v>
      </c>
      <c r="C9" s="1114"/>
      <c r="D9" s="1108"/>
      <c r="E9" s="1108"/>
      <c r="F9" s="1702"/>
      <c r="G9" s="1702"/>
      <c r="H9" s="1702"/>
      <c r="I9" s="1702"/>
      <c r="J9" s="1702"/>
      <c r="K9" s="1702"/>
      <c r="L9" s="1710"/>
      <c r="M9" s="1703"/>
      <c r="N9" s="1704"/>
      <c r="O9" s="1705"/>
      <c r="P9" s="1706"/>
      <c r="Q9" s="1707"/>
      <c r="R9" s="1708"/>
      <c r="S9" s="170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8"/>
      <c r="B10" s="1202"/>
      <c r="C10" s="1213">
        <v>100</v>
      </c>
      <c r="D10" s="1214">
        <f>C10-$T9</f>
        <v>100</v>
      </c>
      <c r="E10" s="1214">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8"/>
      <c r="B11" s="1755" t="s">
        <v>3009</v>
      </c>
      <c r="C11" s="1209"/>
      <c r="D11" s="1210"/>
      <c r="E11" s="1210"/>
      <c r="F11" s="1210"/>
      <c r="G11" s="1210"/>
      <c r="H11" s="1210"/>
      <c r="I11" s="1210"/>
      <c r="J11" s="1210"/>
      <c r="K11" s="1210"/>
      <c r="L11" s="1210"/>
      <c r="M11" s="1211"/>
      <c r="N11" s="1215"/>
      <c r="O11" s="1216"/>
      <c r="P11" s="1217"/>
      <c r="Q11" s="1218"/>
      <c r="R11" s="1219"/>
      <c r="S11" s="1220"/>
      <c r="T11" s="121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8"/>
      <c r="B13" s="1755" t="s">
        <v>3010</v>
      </c>
      <c r="C13" s="1209"/>
      <c r="D13" s="1210"/>
      <c r="E13" s="1210"/>
      <c r="F13" s="1210"/>
      <c r="G13" s="1210"/>
      <c r="H13" s="1210"/>
      <c r="I13" s="1210"/>
      <c r="J13" s="1210"/>
      <c r="K13" s="1210"/>
      <c r="L13" s="1210"/>
      <c r="M13" s="1211"/>
      <c r="N13" s="1215"/>
      <c r="O13" s="1216"/>
      <c r="P13" s="1217"/>
      <c r="Q13" s="1218"/>
      <c r="R13" s="1219"/>
      <c r="S13" s="1220"/>
      <c r="T13" s="122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8"/>
      <c r="B15" s="1755" t="s">
        <v>3011</v>
      </c>
      <c r="C15" s="1209"/>
      <c r="D15" s="1210"/>
      <c r="E15" s="1210"/>
      <c r="F15" s="1210"/>
      <c r="G15" s="1210"/>
      <c r="H15" s="1210"/>
      <c r="I15" s="1210"/>
      <c r="J15" s="1210"/>
      <c r="K15" s="1210"/>
      <c r="L15" s="1210"/>
      <c r="M15" s="1211"/>
      <c r="N15" s="1215"/>
      <c r="O15" s="1216"/>
      <c r="P15" s="1217"/>
      <c r="Q15" s="1218"/>
      <c r="R15" s="1219"/>
      <c r="S15" s="1220"/>
      <c r="T15" s="122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6" t="s">
        <v>3012</v>
      </c>
      <c r="B17" s="2897" t="s">
        <v>3013</v>
      </c>
      <c r="C17" s="1224">
        <v>1</v>
      </c>
      <c r="D17" s="1225">
        <v>2</v>
      </c>
      <c r="E17" s="1225">
        <v>3</v>
      </c>
      <c r="F17" s="1225">
        <v>4</v>
      </c>
      <c r="G17" s="1225">
        <v>5</v>
      </c>
      <c r="H17" s="1225">
        <v>6</v>
      </c>
      <c r="I17" s="1225">
        <v>7</v>
      </c>
      <c r="J17" s="1225">
        <v>8</v>
      </c>
      <c r="K17" s="1225">
        <v>9</v>
      </c>
      <c r="L17" s="1225">
        <v>10</v>
      </c>
      <c r="M17" s="1225">
        <v>11</v>
      </c>
      <c r="N17" s="1225">
        <v>12</v>
      </c>
      <c r="O17" s="1225">
        <v>13</v>
      </c>
      <c r="P17" s="1225">
        <v>14</v>
      </c>
      <c r="Q17" s="1225">
        <v>15</v>
      </c>
      <c r="R17" s="1225">
        <v>16</v>
      </c>
      <c r="S17" s="1225">
        <v>17</v>
      </c>
      <c r="T17" s="1225">
        <v>18</v>
      </c>
      <c r="U17" s="1225">
        <v>19</v>
      </c>
      <c r="V17" s="1225">
        <v>20</v>
      </c>
      <c r="W17" s="1225">
        <v>21</v>
      </c>
      <c r="X17" s="1225">
        <v>22</v>
      </c>
      <c r="Y17" s="1225">
        <v>23</v>
      </c>
      <c r="Z17" s="1225">
        <v>24</v>
      </c>
      <c r="AA17" s="1225">
        <v>25</v>
      </c>
      <c r="AB17" s="1225">
        <v>26</v>
      </c>
      <c r="AC17" s="1225">
        <v>27</v>
      </c>
      <c r="AD17" s="1225">
        <v>28</v>
      </c>
      <c r="AE17" s="1226"/>
      <c r="AF17" s="1226"/>
      <c r="AG17" s="1226"/>
      <c r="AH17" s="1226"/>
      <c r="AI17" s="1226"/>
      <c r="AJ17" s="1226"/>
      <c r="AK17" s="1226"/>
      <c r="AL17" s="1226"/>
      <c r="AM17" s="1226"/>
      <c r="AN17" s="1226"/>
      <c r="AO17" s="1226"/>
      <c r="AP17" s="1226"/>
      <c r="AQ17" s="1226"/>
      <c r="AR17" s="793"/>
      <c r="AS17" s="793"/>
    </row>
    <row r="18" spans="1:45" s="704" customFormat="1" ht="13.5" thickBot="1">
      <c r="A18" s="1227"/>
      <c r="B18" s="1228"/>
      <c r="C18" s="1229">
        <v>100</v>
      </c>
      <c r="D18" s="1230">
        <v>100.2</v>
      </c>
      <c r="E18" s="1229">
        <v>100.4</v>
      </c>
      <c r="F18" s="1230">
        <v>100.6</v>
      </c>
      <c r="G18" s="1229">
        <v>100.8</v>
      </c>
      <c r="H18" s="1230">
        <v>101</v>
      </c>
      <c r="I18" s="1229">
        <v>101.2</v>
      </c>
      <c r="J18" s="1230">
        <v>101.4</v>
      </c>
      <c r="K18" s="1229">
        <v>101.6</v>
      </c>
      <c r="L18" s="1230">
        <v>101.8</v>
      </c>
      <c r="M18" s="1229">
        <v>102</v>
      </c>
      <c r="N18" s="1230">
        <v>102.2</v>
      </c>
      <c r="O18" s="1229">
        <v>102.4</v>
      </c>
      <c r="P18" s="1230">
        <v>102.6</v>
      </c>
      <c r="Q18" s="1229">
        <v>102.8</v>
      </c>
      <c r="R18" s="1230">
        <v>103</v>
      </c>
      <c r="S18" s="1229">
        <v>103.2</v>
      </c>
      <c r="T18" s="1230">
        <v>103.4</v>
      </c>
      <c r="U18" s="1229">
        <v>103.6</v>
      </c>
      <c r="V18" s="1230">
        <v>103.8</v>
      </c>
      <c r="W18" s="1229">
        <v>104</v>
      </c>
      <c r="X18" s="1230">
        <v>104.2</v>
      </c>
      <c r="Y18" s="1229">
        <v>104.4</v>
      </c>
      <c r="Z18" s="1230">
        <v>104.6</v>
      </c>
      <c r="AA18" s="1229">
        <v>104.8</v>
      </c>
      <c r="AB18" s="1230">
        <v>105</v>
      </c>
      <c r="AC18" s="1229">
        <v>105.2</v>
      </c>
      <c r="AD18" s="1230">
        <v>105.4</v>
      </c>
      <c r="AE18" s="1231"/>
      <c r="AF18" s="1231"/>
      <c r="AG18" s="1231"/>
      <c r="AH18" s="1231"/>
      <c r="AI18" s="1231"/>
      <c r="AJ18" s="1231"/>
      <c r="AK18" s="1231"/>
      <c r="AL18" s="1231"/>
      <c r="AM18" s="1231"/>
      <c r="AN18" s="1231"/>
      <c r="AO18" s="1231"/>
      <c r="AP18" s="1231"/>
      <c r="AQ18" s="1231"/>
      <c r="AR18" s="793"/>
      <c r="AS18" s="793"/>
    </row>
    <row r="19" spans="1:45">
      <c r="A19" s="136"/>
      <c r="B19" s="166"/>
      <c r="C19" s="166"/>
      <c r="D19" s="2898" t="s">
        <v>3014</v>
      </c>
      <c r="E19" s="1778"/>
      <c r="F19" s="1778"/>
      <c r="G19" s="1778"/>
      <c r="H19" s="1265"/>
      <c r="I19" s="166"/>
      <c r="J19" s="166"/>
      <c r="K19" s="166"/>
      <c r="L19" s="166"/>
      <c r="M19" s="166"/>
      <c r="N19" s="166"/>
      <c r="O19" s="166"/>
      <c r="P19" s="166"/>
      <c r="Q19" s="166"/>
      <c r="R19" s="785"/>
      <c r="S19" s="136"/>
    </row>
    <row r="20" spans="1:45" ht="16.5" thickBot="1">
      <c r="A20" s="712" t="s">
        <v>3015</v>
      </c>
      <c r="B20" s="336">
        <f ca="1">IF(D20="——",S22,S22-F20)</f>
        <v>57029</v>
      </c>
      <c r="C20" s="166"/>
      <c r="D20" s="2899" t="s">
        <v>70</v>
      </c>
      <c r="E20" s="1779"/>
      <c r="F20" s="1197" t="e">
        <f ca="1">SUMIF(INDIRECT("'"&amp;H20&amp;"'"&amp;"!A:A"),"承租人权益价值",INDIRECT("'"&amp;H20&amp;"'"&amp;"!c:c"))</f>
        <v>#REF!</v>
      </c>
      <c r="G20" s="1197" t="s">
        <v>3016</v>
      </c>
      <c r="H20" s="2900"/>
      <c r="I20" s="166"/>
      <c r="J20" s="166"/>
      <c r="K20" s="166"/>
      <c r="L20" s="166"/>
      <c r="M20" s="166"/>
      <c r="N20" s="166"/>
      <c r="O20" s="166"/>
      <c r="P20" s="166"/>
      <c r="Q20" s="166"/>
      <c r="R20" s="785"/>
      <c r="S20" s="136"/>
    </row>
    <row r="21" spans="1:45" ht="15.75">
      <c r="A21" s="712" t="s">
        <v>3017</v>
      </c>
      <c r="B21" s="336">
        <f ca="1">R22</f>
        <v>22149</v>
      </c>
      <c r="C21" s="166"/>
      <c r="D21" s="166"/>
      <c r="E21" s="166"/>
      <c r="F21" s="166"/>
      <c r="G21" s="166"/>
      <c r="H21" s="166"/>
      <c r="I21" s="166"/>
      <c r="J21" s="166"/>
      <c r="K21" s="166"/>
      <c r="L21" s="166"/>
      <c r="M21" s="166"/>
      <c r="N21" s="166"/>
      <c r="O21" s="166"/>
      <c r="P21" s="166"/>
      <c r="Q21" s="166"/>
      <c r="R21" s="785"/>
      <c r="S21" s="136"/>
    </row>
    <row r="22" spans="1:45">
      <c r="A22" s="359" t="s">
        <v>3018</v>
      </c>
      <c r="B22" s="24">
        <f>SUM(B24:B10000)</f>
        <v>25747.52</v>
      </c>
      <c r="C22" s="3064" t="s">
        <v>33</v>
      </c>
      <c r="D22" s="3065"/>
      <c r="E22" s="3065"/>
      <c r="F22" s="3065"/>
      <c r="G22" s="3065"/>
      <c r="H22" s="3065"/>
      <c r="I22" s="3065"/>
      <c r="J22" s="3065"/>
      <c r="K22" s="3065"/>
      <c r="L22" s="3065"/>
      <c r="M22" s="3065"/>
      <c r="N22" s="3065"/>
      <c r="O22" s="3065"/>
      <c r="P22" s="3065"/>
      <c r="Q22" s="3226"/>
      <c r="R22" s="713">
        <f ca="1">ROUND(S22*10000/B22,0)</f>
        <v>22149</v>
      </c>
      <c r="S22" s="24">
        <f ca="1">SUM(S24:S10000)</f>
        <v>57029</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13.5">
      <c r="A24" s="2938">
        <v>303</v>
      </c>
      <c r="B24" s="715">
        <f>面积!B3</f>
        <v>59.58</v>
      </c>
      <c r="C24" s="716">
        <v>1</v>
      </c>
      <c r="D24" s="717"/>
      <c r="E24" s="716">
        <v>1</v>
      </c>
      <c r="F24" s="717"/>
      <c r="G24" s="716">
        <v>1</v>
      </c>
      <c r="H24" s="717"/>
      <c r="I24" s="716">
        <v>1</v>
      </c>
      <c r="J24" s="717"/>
      <c r="K24" s="716">
        <v>1</v>
      </c>
      <c r="L24" s="717"/>
      <c r="M24" s="716">
        <v>1</v>
      </c>
      <c r="N24" s="717"/>
      <c r="O24" s="716">
        <v>1</v>
      </c>
      <c r="P24" s="717">
        <v>3</v>
      </c>
      <c r="Q24" s="716">
        <v>1</v>
      </c>
      <c r="R24" s="718">
        <f ca="1">'结果表-公寓'!G20</f>
        <v>22482</v>
      </c>
      <c r="S24" s="716">
        <f t="shared" ref="S24:S54" ca="1" si="11">ROUND(R24*B24/10000,0)</f>
        <v>134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3.5">
      <c r="A25" s="2938">
        <v>308</v>
      </c>
      <c r="B25" s="715">
        <f>面积!B4</f>
        <v>59.58</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3</v>
      </c>
      <c r="Q25" s="24">
        <f>(SUMIF($17:$17,P25,$18:$18)-SUMIF($17:$17,$P$24,$18:$18)+100)/100</f>
        <v>1</v>
      </c>
      <c r="R25" s="713">
        <f ca="1">IF(B25="",0,ROUND($R$24*C25*E25*G25*I25*K25*M25*O25*Q25,0))</f>
        <v>22482</v>
      </c>
      <c r="S25" s="359">
        <f t="shared" ca="1" si="11"/>
        <v>134</v>
      </c>
    </row>
    <row r="26" spans="1:45" ht="13.5">
      <c r="A26" s="2938">
        <v>311</v>
      </c>
      <c r="B26" s="715">
        <f>面积!B5</f>
        <v>236.33</v>
      </c>
      <c r="C26" s="24">
        <f t="shared" ref="C26:C89" si="12">IF(B26="",1,(LOOKUP(B26,$3:$3,$4:$4)-LOOKUP($B$24,$3:$3,$4:$4)+100)/100)</f>
        <v>0.96</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3</v>
      </c>
      <c r="Q26" s="24">
        <f t="shared" ref="Q26:Q89" si="19">(SUMIF($17:$17,P26,$18:$18)-SUMIF($17:$17,$P$24,$18:$18)+100)/100</f>
        <v>1</v>
      </c>
      <c r="R26" s="713">
        <f t="shared" ref="R26:R89" ca="1" si="20">IF(B26="",0,ROUND($R$24*C26*E26*G26*I26*K26*M26*O26*Q26,0))</f>
        <v>21583</v>
      </c>
      <c r="S26" s="359">
        <f t="shared" ca="1" si="11"/>
        <v>510</v>
      </c>
    </row>
    <row r="27" spans="1:45" ht="13.5">
      <c r="A27" s="2938">
        <v>312</v>
      </c>
      <c r="B27" s="715">
        <f>面积!B6</f>
        <v>309.74</v>
      </c>
      <c r="C27" s="24">
        <f t="shared" si="12"/>
        <v>0.94</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3</v>
      </c>
      <c r="Q27" s="24">
        <f t="shared" si="19"/>
        <v>1</v>
      </c>
      <c r="R27" s="713">
        <f t="shared" ca="1" si="20"/>
        <v>21133</v>
      </c>
      <c r="S27" s="359">
        <f t="shared" ca="1" si="11"/>
        <v>655</v>
      </c>
    </row>
    <row r="28" spans="1:45" ht="13.5">
      <c r="A28" s="2938">
        <v>313</v>
      </c>
      <c r="B28" s="715">
        <f>面积!B7</f>
        <v>310.07</v>
      </c>
      <c r="C28" s="24">
        <f t="shared" si="12"/>
        <v>0.94</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3</v>
      </c>
      <c r="Q28" s="24">
        <f t="shared" si="19"/>
        <v>1</v>
      </c>
      <c r="R28" s="713">
        <f t="shared" ca="1" si="20"/>
        <v>21133</v>
      </c>
      <c r="S28" s="359">
        <f t="shared" ca="1" si="11"/>
        <v>655</v>
      </c>
    </row>
    <row r="29" spans="1:45" ht="13.5">
      <c r="A29" s="2938">
        <v>314</v>
      </c>
      <c r="B29" s="715">
        <f>面积!B8</f>
        <v>235.27</v>
      </c>
      <c r="C29" s="24">
        <f t="shared" si="12"/>
        <v>0.96</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3</v>
      </c>
      <c r="Q29" s="24">
        <f t="shared" si="19"/>
        <v>1</v>
      </c>
      <c r="R29" s="713">
        <f t="shared" ca="1" si="20"/>
        <v>21583</v>
      </c>
      <c r="S29" s="359">
        <f t="shared" ca="1" si="11"/>
        <v>508</v>
      </c>
    </row>
    <row r="30" spans="1:45" ht="13.5">
      <c r="A30" s="2938">
        <v>403</v>
      </c>
      <c r="B30" s="715">
        <f>面积!B9</f>
        <v>59.58</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4</v>
      </c>
      <c r="Q30" s="24">
        <f t="shared" si="19"/>
        <v>1.0019999999999998</v>
      </c>
      <c r="R30" s="713">
        <f t="shared" ca="1" si="20"/>
        <v>22527</v>
      </c>
      <c r="S30" s="359">
        <f t="shared" ca="1" si="11"/>
        <v>134</v>
      </c>
    </row>
    <row r="31" spans="1:45" ht="13.5">
      <c r="A31" s="2938">
        <v>408</v>
      </c>
      <c r="B31" s="715">
        <f>面积!B10</f>
        <v>59.58</v>
      </c>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4</v>
      </c>
      <c r="Q31" s="24">
        <f t="shared" si="19"/>
        <v>1.0019999999999998</v>
      </c>
      <c r="R31" s="713">
        <f t="shared" ca="1" si="20"/>
        <v>22527</v>
      </c>
      <c r="S31" s="359">
        <f t="shared" ca="1" si="11"/>
        <v>134</v>
      </c>
    </row>
    <row r="32" spans="1:45" ht="13.5">
      <c r="A32" s="2938">
        <v>411</v>
      </c>
      <c r="B32" s="715">
        <f>面积!B11</f>
        <v>236.33</v>
      </c>
      <c r="C32" s="24">
        <f t="shared" si="12"/>
        <v>0.96</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4</v>
      </c>
      <c r="Q32" s="24">
        <f t="shared" si="19"/>
        <v>1.0019999999999998</v>
      </c>
      <c r="R32" s="713">
        <f t="shared" ca="1" si="20"/>
        <v>21626</v>
      </c>
      <c r="S32" s="359">
        <f t="shared" ca="1" si="11"/>
        <v>511</v>
      </c>
    </row>
    <row r="33" spans="1:19" ht="13.5">
      <c r="A33" s="2938">
        <v>412</v>
      </c>
      <c r="B33" s="715">
        <f>面积!B12</f>
        <v>304.48</v>
      </c>
      <c r="C33" s="24">
        <f t="shared" si="12"/>
        <v>0.94</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4</v>
      </c>
      <c r="Q33" s="24">
        <f t="shared" si="19"/>
        <v>1.0019999999999998</v>
      </c>
      <c r="R33" s="713">
        <f t="shared" ca="1" si="20"/>
        <v>21175</v>
      </c>
      <c r="S33" s="359">
        <f t="shared" ca="1" si="11"/>
        <v>645</v>
      </c>
    </row>
    <row r="34" spans="1:19" ht="13.5">
      <c r="A34" s="2938">
        <v>413</v>
      </c>
      <c r="B34" s="715">
        <f>面积!B13</f>
        <v>304.81</v>
      </c>
      <c r="C34" s="24">
        <f t="shared" si="12"/>
        <v>0.94</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4</v>
      </c>
      <c r="Q34" s="24">
        <f t="shared" si="19"/>
        <v>1.0019999999999998</v>
      </c>
      <c r="R34" s="713">
        <f t="shared" ca="1" si="20"/>
        <v>21175</v>
      </c>
      <c r="S34" s="359">
        <f t="shared" ca="1" si="11"/>
        <v>645</v>
      </c>
    </row>
    <row r="35" spans="1:19" ht="13.5">
      <c r="A35" s="2938">
        <v>414</v>
      </c>
      <c r="B35" s="715">
        <f>面积!B14</f>
        <v>235.27</v>
      </c>
      <c r="C35" s="24">
        <f t="shared" si="12"/>
        <v>0.96</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4</v>
      </c>
      <c r="Q35" s="24">
        <f t="shared" si="19"/>
        <v>1.0019999999999998</v>
      </c>
      <c r="R35" s="713">
        <f t="shared" ca="1" si="20"/>
        <v>21626</v>
      </c>
      <c r="S35" s="359">
        <f t="shared" ca="1" si="11"/>
        <v>509</v>
      </c>
    </row>
    <row r="36" spans="1:19" ht="13.5">
      <c r="A36" s="2938">
        <v>501</v>
      </c>
      <c r="B36" s="715">
        <f>面积!B15</f>
        <v>95.09</v>
      </c>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5</v>
      </c>
      <c r="Q36" s="24">
        <f t="shared" si="19"/>
        <v>1.004</v>
      </c>
      <c r="R36" s="713">
        <f t="shared" ca="1" si="20"/>
        <v>22572</v>
      </c>
      <c r="S36" s="359">
        <f t="shared" ca="1" si="11"/>
        <v>215</v>
      </c>
    </row>
    <row r="37" spans="1:19" ht="13.5">
      <c r="A37" s="2938">
        <v>502</v>
      </c>
      <c r="B37" s="715">
        <f>面积!B16</f>
        <v>141.44999999999999</v>
      </c>
      <c r="C37" s="24">
        <f t="shared" si="12"/>
        <v>0.98</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5</v>
      </c>
      <c r="Q37" s="24">
        <f t="shared" si="19"/>
        <v>1.004</v>
      </c>
      <c r="R37" s="713">
        <f t="shared" ca="1" si="20"/>
        <v>22120</v>
      </c>
      <c r="S37" s="359">
        <f t="shared" ca="1" si="11"/>
        <v>313</v>
      </c>
    </row>
    <row r="38" spans="1:19" ht="13.5">
      <c r="A38" s="2938">
        <v>503</v>
      </c>
      <c r="B38" s="715">
        <f>面积!B17</f>
        <v>59.37</v>
      </c>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5</v>
      </c>
      <c r="Q38" s="24">
        <f t="shared" si="19"/>
        <v>1.004</v>
      </c>
      <c r="R38" s="713">
        <f t="shared" ca="1" si="20"/>
        <v>22572</v>
      </c>
      <c r="S38" s="359">
        <f t="shared" ca="1" si="11"/>
        <v>134</v>
      </c>
    </row>
    <row r="39" spans="1:19" ht="13.5">
      <c r="A39" s="2938">
        <v>504</v>
      </c>
      <c r="B39" s="715">
        <f>面积!B18</f>
        <v>115.54</v>
      </c>
      <c r="C39" s="24">
        <f t="shared" si="12"/>
        <v>0.98</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5</v>
      </c>
      <c r="Q39" s="24">
        <f t="shared" si="19"/>
        <v>1.004</v>
      </c>
      <c r="R39" s="713">
        <f t="shared" ca="1" si="20"/>
        <v>22120</v>
      </c>
      <c r="S39" s="359">
        <f t="shared" ca="1" si="11"/>
        <v>256</v>
      </c>
    </row>
    <row r="40" spans="1:19" ht="13.5">
      <c r="A40" s="2938">
        <v>505</v>
      </c>
      <c r="B40" s="715">
        <f>面积!B19</f>
        <v>134.91</v>
      </c>
      <c r="C40" s="24">
        <f t="shared" si="12"/>
        <v>0.98</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5</v>
      </c>
      <c r="Q40" s="24">
        <f t="shared" si="19"/>
        <v>1.004</v>
      </c>
      <c r="R40" s="713">
        <f t="shared" ca="1" si="20"/>
        <v>22120</v>
      </c>
      <c r="S40" s="359">
        <f t="shared" ca="1" si="11"/>
        <v>298</v>
      </c>
    </row>
    <row r="41" spans="1:19" ht="13.5">
      <c r="A41" s="2938">
        <v>506</v>
      </c>
      <c r="B41" s="715">
        <f>面积!B20</f>
        <v>135.22</v>
      </c>
      <c r="C41" s="24">
        <f t="shared" si="12"/>
        <v>0.98</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5</v>
      </c>
      <c r="Q41" s="24">
        <f t="shared" si="19"/>
        <v>1.004</v>
      </c>
      <c r="R41" s="713">
        <f t="shared" ca="1" si="20"/>
        <v>22120</v>
      </c>
      <c r="S41" s="359">
        <f t="shared" ca="1" si="11"/>
        <v>299</v>
      </c>
    </row>
    <row r="42" spans="1:19" ht="13.5">
      <c r="A42" s="2938">
        <v>507</v>
      </c>
      <c r="B42" s="715">
        <f>面积!B21</f>
        <v>115.54</v>
      </c>
      <c r="C42" s="24">
        <f t="shared" si="12"/>
        <v>0.98</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5</v>
      </c>
      <c r="Q42" s="24">
        <f t="shared" si="19"/>
        <v>1.004</v>
      </c>
      <c r="R42" s="713">
        <f t="shared" ca="1" si="20"/>
        <v>22120</v>
      </c>
      <c r="S42" s="359">
        <f t="shared" ca="1" si="11"/>
        <v>256</v>
      </c>
    </row>
    <row r="43" spans="1:19" ht="13.5">
      <c r="A43" s="2938">
        <v>509</v>
      </c>
      <c r="B43" s="715">
        <f>面积!B22</f>
        <v>141.44999999999999</v>
      </c>
      <c r="C43" s="24">
        <f t="shared" si="12"/>
        <v>0.98</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5</v>
      </c>
      <c r="Q43" s="24">
        <f t="shared" si="19"/>
        <v>1.004</v>
      </c>
      <c r="R43" s="713">
        <f t="shared" ca="1" si="20"/>
        <v>22120</v>
      </c>
      <c r="S43" s="359">
        <f t="shared" ca="1" si="11"/>
        <v>313</v>
      </c>
    </row>
    <row r="44" spans="1:19" ht="13.5">
      <c r="A44" s="2938">
        <v>603</v>
      </c>
      <c r="B44" s="715">
        <f>面积!B23</f>
        <v>59.37</v>
      </c>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6</v>
      </c>
      <c r="Q44" s="24">
        <f t="shared" si="19"/>
        <v>1.006</v>
      </c>
      <c r="R44" s="713">
        <f t="shared" ca="1" si="20"/>
        <v>22617</v>
      </c>
      <c r="S44" s="359">
        <f t="shared" ca="1" si="11"/>
        <v>134</v>
      </c>
    </row>
    <row r="45" spans="1:19" ht="13.5">
      <c r="A45" s="2938">
        <v>608</v>
      </c>
      <c r="B45" s="715">
        <f>面积!B24</f>
        <v>59.37</v>
      </c>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6</v>
      </c>
      <c r="Q45" s="24">
        <f t="shared" si="19"/>
        <v>1.006</v>
      </c>
      <c r="R45" s="713">
        <f t="shared" ca="1" si="20"/>
        <v>22617</v>
      </c>
      <c r="S45" s="359">
        <f t="shared" ca="1" si="11"/>
        <v>134</v>
      </c>
    </row>
    <row r="46" spans="1:19" ht="13.5">
      <c r="A46" s="2938">
        <v>611</v>
      </c>
      <c r="B46" s="715">
        <f>面积!B25</f>
        <v>236.54</v>
      </c>
      <c r="C46" s="24">
        <f t="shared" si="12"/>
        <v>0.96</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6</v>
      </c>
      <c r="Q46" s="24">
        <f t="shared" si="19"/>
        <v>1.006</v>
      </c>
      <c r="R46" s="713">
        <f t="shared" ca="1" si="20"/>
        <v>21712</v>
      </c>
      <c r="S46" s="359">
        <f t="shared" ca="1" si="11"/>
        <v>514</v>
      </c>
    </row>
    <row r="47" spans="1:19" ht="13.5">
      <c r="A47" s="2938">
        <v>612</v>
      </c>
      <c r="B47" s="715">
        <f>面积!B26</f>
        <v>250.45</v>
      </c>
      <c r="C47" s="24">
        <f t="shared" si="12"/>
        <v>0.94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6</v>
      </c>
      <c r="Q47" s="24">
        <f t="shared" si="19"/>
        <v>1.006</v>
      </c>
      <c r="R47" s="713">
        <f t="shared" ca="1" si="20"/>
        <v>21260</v>
      </c>
      <c r="S47" s="359">
        <f t="shared" ca="1" si="11"/>
        <v>532</v>
      </c>
    </row>
    <row r="48" spans="1:19" ht="13.5">
      <c r="A48" s="2938">
        <v>613</v>
      </c>
      <c r="B48" s="715">
        <f>面积!B27</f>
        <v>250.76</v>
      </c>
      <c r="C48" s="24">
        <f t="shared" si="12"/>
        <v>0.94</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6</v>
      </c>
      <c r="Q48" s="24">
        <f t="shared" si="19"/>
        <v>1.006</v>
      </c>
      <c r="R48" s="713">
        <f t="shared" ca="1" si="20"/>
        <v>21260</v>
      </c>
      <c r="S48" s="359">
        <f t="shared" ca="1" si="11"/>
        <v>533</v>
      </c>
    </row>
    <row r="49" spans="1:19" ht="13.5">
      <c r="A49" s="2938">
        <v>614</v>
      </c>
      <c r="B49" s="715">
        <f>面积!B28</f>
        <v>235.48</v>
      </c>
      <c r="C49" s="24">
        <f t="shared" si="12"/>
        <v>0.96</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6</v>
      </c>
      <c r="Q49" s="24">
        <f t="shared" si="19"/>
        <v>1.006</v>
      </c>
      <c r="R49" s="713">
        <f t="shared" ca="1" si="20"/>
        <v>21712</v>
      </c>
      <c r="S49" s="359">
        <f t="shared" ca="1" si="11"/>
        <v>511</v>
      </c>
    </row>
    <row r="50" spans="1:19" ht="13.5">
      <c r="A50" s="2938">
        <v>703</v>
      </c>
      <c r="B50" s="715">
        <f>面积!B29</f>
        <v>59.37</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7</v>
      </c>
      <c r="Q50" s="24">
        <f t="shared" si="19"/>
        <v>1.008</v>
      </c>
      <c r="R50" s="713">
        <f t="shared" ca="1" si="20"/>
        <v>22662</v>
      </c>
      <c r="S50" s="359">
        <f t="shared" ca="1" si="11"/>
        <v>135</v>
      </c>
    </row>
    <row r="51" spans="1:19" ht="13.5">
      <c r="A51" s="2938">
        <v>708</v>
      </c>
      <c r="B51" s="715">
        <f>面积!B30</f>
        <v>59.37</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7</v>
      </c>
      <c r="Q51" s="24">
        <f t="shared" si="19"/>
        <v>1.008</v>
      </c>
      <c r="R51" s="713">
        <f t="shared" ca="1" si="20"/>
        <v>22662</v>
      </c>
      <c r="S51" s="359">
        <f t="shared" ca="1" si="11"/>
        <v>135</v>
      </c>
    </row>
    <row r="52" spans="1:19" ht="13.5">
      <c r="A52" s="2938">
        <v>711</v>
      </c>
      <c r="B52" s="715">
        <f>面积!B31</f>
        <v>236.54</v>
      </c>
      <c r="C52" s="24">
        <f t="shared" si="12"/>
        <v>0.96</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7</v>
      </c>
      <c r="Q52" s="24">
        <f t="shared" si="19"/>
        <v>1.008</v>
      </c>
      <c r="R52" s="713">
        <f t="shared" ca="1" si="20"/>
        <v>21755</v>
      </c>
      <c r="S52" s="359">
        <f t="shared" ca="1" si="11"/>
        <v>515</v>
      </c>
    </row>
    <row r="53" spans="1:19" ht="13.5">
      <c r="A53" s="2938">
        <v>712</v>
      </c>
      <c r="B53" s="715">
        <f>面积!B32</f>
        <v>250.45</v>
      </c>
      <c r="C53" s="24">
        <f t="shared" si="12"/>
        <v>0.94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7</v>
      </c>
      <c r="Q53" s="24">
        <f t="shared" si="19"/>
        <v>1.008</v>
      </c>
      <c r="R53" s="713">
        <f t="shared" ca="1" si="20"/>
        <v>21302</v>
      </c>
      <c r="S53" s="359">
        <f t="shared" ca="1" si="11"/>
        <v>534</v>
      </c>
    </row>
    <row r="54" spans="1:19" ht="13.5">
      <c r="A54" s="2938">
        <v>713</v>
      </c>
      <c r="B54" s="715">
        <f>面积!B33</f>
        <v>250.76</v>
      </c>
      <c r="C54" s="24">
        <f t="shared" si="12"/>
        <v>0.94</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7</v>
      </c>
      <c r="Q54" s="24">
        <f t="shared" si="19"/>
        <v>1.008</v>
      </c>
      <c r="R54" s="713">
        <f t="shared" ca="1" si="20"/>
        <v>21302</v>
      </c>
      <c r="S54" s="359">
        <f t="shared" ca="1" si="11"/>
        <v>534</v>
      </c>
    </row>
    <row r="55" spans="1:19" ht="13.5">
      <c r="A55" s="2938">
        <v>714</v>
      </c>
      <c r="B55" s="715">
        <f>面积!B34</f>
        <v>235.48</v>
      </c>
      <c r="C55" s="24">
        <f t="shared" si="12"/>
        <v>0.96</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7</v>
      </c>
      <c r="Q55" s="24">
        <f t="shared" si="19"/>
        <v>1.008</v>
      </c>
      <c r="R55" s="713">
        <f t="shared" ca="1" si="20"/>
        <v>21755</v>
      </c>
      <c r="S55" s="359">
        <f t="shared" ref="S55:S77" ca="1" si="21">ROUND(R55*B55/10000,0)</f>
        <v>512</v>
      </c>
    </row>
    <row r="56" spans="1:19" ht="13.5">
      <c r="A56" s="2938">
        <v>803</v>
      </c>
      <c r="B56" s="715">
        <f>面积!B35</f>
        <v>59.37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8</v>
      </c>
      <c r="Q56" s="24">
        <f t="shared" si="19"/>
        <v>1.01</v>
      </c>
      <c r="R56" s="713">
        <f t="shared" ca="1" si="20"/>
        <v>22707</v>
      </c>
      <c r="S56" s="359">
        <f t="shared" ca="1" si="21"/>
        <v>135</v>
      </c>
    </row>
    <row r="57" spans="1:19" ht="13.5">
      <c r="A57" s="2938">
        <v>808</v>
      </c>
      <c r="B57" s="715">
        <f>面积!B36</f>
        <v>59.37</v>
      </c>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8</v>
      </c>
      <c r="Q57" s="24">
        <f t="shared" si="19"/>
        <v>1.01</v>
      </c>
      <c r="R57" s="713">
        <f t="shared" ca="1" si="20"/>
        <v>22707</v>
      </c>
      <c r="S57" s="359">
        <f t="shared" ca="1" si="21"/>
        <v>135</v>
      </c>
    </row>
    <row r="58" spans="1:19" ht="13.5">
      <c r="A58" s="2938">
        <v>811</v>
      </c>
      <c r="B58" s="715">
        <f>面积!B37</f>
        <v>236.54</v>
      </c>
      <c r="C58" s="24">
        <f t="shared" si="12"/>
        <v>0.96</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8</v>
      </c>
      <c r="Q58" s="24">
        <f t="shared" si="19"/>
        <v>1.01</v>
      </c>
      <c r="R58" s="713">
        <f t="shared" ca="1" si="20"/>
        <v>21799</v>
      </c>
      <c r="S58" s="359">
        <f t="shared" ca="1" si="21"/>
        <v>516</v>
      </c>
    </row>
    <row r="59" spans="1:19" ht="13.5">
      <c r="A59" s="2938">
        <v>812</v>
      </c>
      <c r="B59" s="715">
        <f>面积!B38</f>
        <v>250.45</v>
      </c>
      <c r="C59" s="24">
        <f t="shared" si="12"/>
        <v>0.94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8</v>
      </c>
      <c r="Q59" s="24">
        <f t="shared" si="19"/>
        <v>1.01</v>
      </c>
      <c r="R59" s="713">
        <f t="shared" ca="1" si="20"/>
        <v>21344</v>
      </c>
      <c r="S59" s="359">
        <f t="shared" ca="1" si="21"/>
        <v>535</v>
      </c>
    </row>
    <row r="60" spans="1:19" ht="13.5">
      <c r="A60" s="2938">
        <v>813</v>
      </c>
      <c r="B60" s="715">
        <f>面积!B39</f>
        <v>250.76</v>
      </c>
      <c r="C60" s="24">
        <f t="shared" si="12"/>
        <v>0.94</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8</v>
      </c>
      <c r="Q60" s="24">
        <f t="shared" si="19"/>
        <v>1.01</v>
      </c>
      <c r="R60" s="713">
        <f t="shared" ca="1" si="20"/>
        <v>21344</v>
      </c>
      <c r="S60" s="359">
        <f t="shared" ca="1" si="21"/>
        <v>535</v>
      </c>
    </row>
    <row r="61" spans="1:19" ht="13.5">
      <c r="A61" s="2938">
        <v>814</v>
      </c>
      <c r="B61" s="715">
        <f>面积!B40</f>
        <v>235.48</v>
      </c>
      <c r="C61" s="24">
        <f t="shared" si="12"/>
        <v>0.96</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8</v>
      </c>
      <c r="Q61" s="24">
        <f t="shared" si="19"/>
        <v>1.01</v>
      </c>
      <c r="R61" s="713">
        <f t="shared" ca="1" si="20"/>
        <v>21799</v>
      </c>
      <c r="S61" s="359">
        <f t="shared" ca="1" si="21"/>
        <v>513</v>
      </c>
    </row>
    <row r="62" spans="1:19" ht="13.5">
      <c r="A62" s="2938">
        <v>903</v>
      </c>
      <c r="B62" s="715">
        <f>面积!B41</f>
        <v>59.37</v>
      </c>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9</v>
      </c>
      <c r="Q62" s="24">
        <f t="shared" si="19"/>
        <v>1.0119999999999998</v>
      </c>
      <c r="R62" s="713">
        <f t="shared" ca="1" si="20"/>
        <v>22752</v>
      </c>
      <c r="S62" s="359">
        <f t="shared" ca="1" si="21"/>
        <v>135</v>
      </c>
    </row>
    <row r="63" spans="1:19" ht="13.5">
      <c r="A63" s="2938">
        <v>908</v>
      </c>
      <c r="B63" s="715">
        <f>面积!B42</f>
        <v>59.37</v>
      </c>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9</v>
      </c>
      <c r="Q63" s="24">
        <f t="shared" si="19"/>
        <v>1.0119999999999998</v>
      </c>
      <c r="R63" s="713">
        <f t="shared" ca="1" si="20"/>
        <v>22752</v>
      </c>
      <c r="S63" s="359">
        <f t="shared" ca="1" si="21"/>
        <v>135</v>
      </c>
    </row>
    <row r="64" spans="1:19" ht="13.5">
      <c r="A64" s="2938">
        <v>911</v>
      </c>
      <c r="B64" s="715">
        <f>面积!B43</f>
        <v>236.54</v>
      </c>
      <c r="C64" s="24">
        <f t="shared" si="12"/>
        <v>0.96</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9</v>
      </c>
      <c r="Q64" s="24">
        <f t="shared" si="19"/>
        <v>1.0119999999999998</v>
      </c>
      <c r="R64" s="713">
        <f t="shared" ca="1" si="20"/>
        <v>21842</v>
      </c>
      <c r="S64" s="359">
        <f t="shared" ca="1" si="21"/>
        <v>517</v>
      </c>
    </row>
    <row r="65" spans="1:19" ht="13.5">
      <c r="A65" s="2938">
        <v>912</v>
      </c>
      <c r="B65" s="715">
        <f>面积!B44</f>
        <v>250.45</v>
      </c>
      <c r="C65" s="24">
        <f t="shared" si="12"/>
        <v>0.94</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9</v>
      </c>
      <c r="Q65" s="24">
        <f t="shared" si="19"/>
        <v>1.0119999999999998</v>
      </c>
      <c r="R65" s="713">
        <f t="shared" ca="1" si="20"/>
        <v>21387</v>
      </c>
      <c r="S65" s="359">
        <f t="shared" ca="1" si="21"/>
        <v>536</v>
      </c>
    </row>
    <row r="66" spans="1:19" ht="13.5">
      <c r="A66" s="2938">
        <v>913</v>
      </c>
      <c r="B66" s="715">
        <f>面积!B45</f>
        <v>250.76</v>
      </c>
      <c r="C66" s="24">
        <f t="shared" si="12"/>
        <v>0.94</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9</v>
      </c>
      <c r="Q66" s="24">
        <f t="shared" si="19"/>
        <v>1.0119999999999998</v>
      </c>
      <c r="R66" s="713">
        <f t="shared" ca="1" si="20"/>
        <v>21387</v>
      </c>
      <c r="S66" s="359">
        <f t="shared" ca="1" si="21"/>
        <v>536</v>
      </c>
    </row>
    <row r="67" spans="1:19" ht="13.5">
      <c r="A67" s="2938">
        <v>914</v>
      </c>
      <c r="B67" s="715">
        <f>面积!B46</f>
        <v>235.48</v>
      </c>
      <c r="C67" s="24">
        <f t="shared" si="12"/>
        <v>0.96</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9</v>
      </c>
      <c r="Q67" s="24">
        <f t="shared" si="19"/>
        <v>1.0119999999999998</v>
      </c>
      <c r="R67" s="713">
        <f t="shared" ca="1" si="20"/>
        <v>21842</v>
      </c>
      <c r="S67" s="359">
        <f t="shared" ca="1" si="21"/>
        <v>514</v>
      </c>
    </row>
    <row r="68" spans="1:19" ht="13.5">
      <c r="A68" s="2938">
        <v>1003</v>
      </c>
      <c r="B68" s="715">
        <f>面积!B47</f>
        <v>59.37</v>
      </c>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10</v>
      </c>
      <c r="Q68" s="24">
        <f t="shared" si="19"/>
        <v>1.014</v>
      </c>
      <c r="R68" s="713">
        <f t="shared" ca="1" si="20"/>
        <v>22797</v>
      </c>
      <c r="S68" s="359">
        <f t="shared" ca="1" si="21"/>
        <v>135</v>
      </c>
    </row>
    <row r="69" spans="1:19" ht="13.5">
      <c r="A69" s="2938">
        <v>1008</v>
      </c>
      <c r="B69" s="715">
        <f>面积!B48</f>
        <v>59.37</v>
      </c>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10</v>
      </c>
      <c r="Q69" s="24">
        <f t="shared" si="19"/>
        <v>1.014</v>
      </c>
      <c r="R69" s="713">
        <f t="shared" ca="1" si="20"/>
        <v>22797</v>
      </c>
      <c r="S69" s="359">
        <f t="shared" ca="1" si="21"/>
        <v>135</v>
      </c>
    </row>
    <row r="70" spans="1:19" ht="13.5">
      <c r="A70" s="2938">
        <v>1011</v>
      </c>
      <c r="B70" s="715">
        <f>面积!B49</f>
        <v>236.54</v>
      </c>
      <c r="C70" s="24">
        <f t="shared" si="12"/>
        <v>0.96</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10</v>
      </c>
      <c r="Q70" s="24">
        <f t="shared" si="19"/>
        <v>1.014</v>
      </c>
      <c r="R70" s="713">
        <f t="shared" ca="1" si="20"/>
        <v>21885</v>
      </c>
      <c r="S70" s="359">
        <f t="shared" ca="1" si="21"/>
        <v>518</v>
      </c>
    </row>
    <row r="71" spans="1:19" ht="13.5">
      <c r="A71" s="2938">
        <v>1012</v>
      </c>
      <c r="B71" s="715">
        <f>面积!B50</f>
        <v>250.45</v>
      </c>
      <c r="C71" s="24">
        <f t="shared" si="12"/>
        <v>0.94</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10</v>
      </c>
      <c r="Q71" s="24">
        <f t="shared" si="19"/>
        <v>1.014</v>
      </c>
      <c r="R71" s="713">
        <f t="shared" ca="1" si="20"/>
        <v>21429</v>
      </c>
      <c r="S71" s="359">
        <f t="shared" ca="1" si="21"/>
        <v>537</v>
      </c>
    </row>
    <row r="72" spans="1:19" ht="13.5">
      <c r="A72" s="2938">
        <v>1013</v>
      </c>
      <c r="B72" s="715">
        <f>面积!B51</f>
        <v>250.76</v>
      </c>
      <c r="C72" s="24">
        <f t="shared" si="12"/>
        <v>0.94</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10</v>
      </c>
      <c r="Q72" s="24">
        <f t="shared" si="19"/>
        <v>1.014</v>
      </c>
      <c r="R72" s="713">
        <f t="shared" ca="1" si="20"/>
        <v>21429</v>
      </c>
      <c r="S72" s="359">
        <f t="shared" ca="1" si="21"/>
        <v>537</v>
      </c>
    </row>
    <row r="73" spans="1:19" ht="13.5">
      <c r="A73" s="2938">
        <v>1014</v>
      </c>
      <c r="B73" s="715">
        <f>面积!B52</f>
        <v>235.48</v>
      </c>
      <c r="C73" s="24">
        <f t="shared" si="12"/>
        <v>0.96</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10</v>
      </c>
      <c r="Q73" s="24">
        <f t="shared" si="19"/>
        <v>1.014</v>
      </c>
      <c r="R73" s="713">
        <f t="shared" ca="1" si="20"/>
        <v>21885</v>
      </c>
      <c r="S73" s="359">
        <f t="shared" ca="1" si="21"/>
        <v>515</v>
      </c>
    </row>
    <row r="74" spans="1:19" ht="13.5">
      <c r="A74" s="2938">
        <v>1103</v>
      </c>
      <c r="B74" s="715">
        <f>面积!B53</f>
        <v>47.13</v>
      </c>
      <c r="C74" s="24">
        <f t="shared" si="12"/>
        <v>1.02</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11</v>
      </c>
      <c r="Q74" s="24">
        <f t="shared" si="19"/>
        <v>1.016</v>
      </c>
      <c r="R74" s="713">
        <f t="shared" ca="1" si="20"/>
        <v>23299</v>
      </c>
      <c r="S74" s="359">
        <f t="shared" ca="1" si="21"/>
        <v>110</v>
      </c>
    </row>
    <row r="75" spans="1:19" ht="13.5">
      <c r="A75" s="2938">
        <v>1108</v>
      </c>
      <c r="B75" s="715">
        <f>面积!B54</f>
        <v>47.13</v>
      </c>
      <c r="C75" s="24">
        <f t="shared" si="12"/>
        <v>1.02</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11</v>
      </c>
      <c r="Q75" s="24">
        <f t="shared" si="19"/>
        <v>1.016</v>
      </c>
      <c r="R75" s="713">
        <f t="shared" ca="1" si="20"/>
        <v>23299</v>
      </c>
      <c r="S75" s="359">
        <f t="shared" ca="1" si="21"/>
        <v>110</v>
      </c>
    </row>
    <row r="76" spans="1:19" ht="13.5">
      <c r="A76" s="2938">
        <v>1111</v>
      </c>
      <c r="B76" s="715">
        <f>面积!B55</f>
        <v>202.02</v>
      </c>
      <c r="C76" s="24">
        <f t="shared" si="12"/>
        <v>0.96</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11</v>
      </c>
      <c r="Q76" s="24">
        <f t="shared" si="19"/>
        <v>1.016</v>
      </c>
      <c r="R76" s="713">
        <f t="shared" ca="1" si="20"/>
        <v>21928</v>
      </c>
      <c r="S76" s="359">
        <f t="shared" ca="1" si="21"/>
        <v>443</v>
      </c>
    </row>
    <row r="77" spans="1:19" ht="13.5">
      <c r="A77" s="2938">
        <v>1112</v>
      </c>
      <c r="B77" s="715">
        <f>面积!B56</f>
        <v>245.04</v>
      </c>
      <c r="C77" s="24">
        <f t="shared" si="12"/>
        <v>0.96</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11</v>
      </c>
      <c r="Q77" s="24">
        <f t="shared" si="19"/>
        <v>1.016</v>
      </c>
      <c r="R77" s="713">
        <f t="shared" ca="1" si="20"/>
        <v>21928</v>
      </c>
      <c r="S77" s="359">
        <f t="shared" ca="1" si="21"/>
        <v>537</v>
      </c>
    </row>
    <row r="78" spans="1:19" ht="13.5">
      <c r="A78" s="2938">
        <v>1113</v>
      </c>
      <c r="B78" s="715">
        <f>面积!B57</f>
        <v>245.34</v>
      </c>
      <c r="C78" s="24">
        <f t="shared" si="12"/>
        <v>0.96</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11</v>
      </c>
      <c r="Q78" s="24">
        <f t="shared" si="19"/>
        <v>1.016</v>
      </c>
      <c r="R78" s="713">
        <f t="shared" ca="1" si="20"/>
        <v>21928</v>
      </c>
      <c r="S78" s="359">
        <f t="shared" ref="S78:S122" ca="1" si="22">ROUND(R78*B78/10000,0)</f>
        <v>538</v>
      </c>
    </row>
    <row r="79" spans="1:19" ht="13.5">
      <c r="A79" s="2938">
        <v>1114</v>
      </c>
      <c r="B79" s="715">
        <f>面积!B58</f>
        <v>200.96</v>
      </c>
      <c r="C79" s="24">
        <f t="shared" si="12"/>
        <v>0.96</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11</v>
      </c>
      <c r="Q79" s="24">
        <f t="shared" si="19"/>
        <v>1.016</v>
      </c>
      <c r="R79" s="713">
        <f t="shared" ca="1" si="20"/>
        <v>21928</v>
      </c>
      <c r="S79" s="359">
        <f t="shared" ca="1" si="22"/>
        <v>441</v>
      </c>
    </row>
    <row r="80" spans="1:19" ht="13.5">
      <c r="A80" s="2938">
        <v>1203</v>
      </c>
      <c r="B80" s="715">
        <f>面积!B59</f>
        <v>47.13</v>
      </c>
      <c r="C80" s="24">
        <f t="shared" si="12"/>
        <v>1.02</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12</v>
      </c>
      <c r="Q80" s="24">
        <f t="shared" si="19"/>
        <v>1.018</v>
      </c>
      <c r="R80" s="713">
        <f t="shared" ca="1" si="20"/>
        <v>23344</v>
      </c>
      <c r="S80" s="359">
        <f t="shared" ca="1" si="22"/>
        <v>110</v>
      </c>
    </row>
    <row r="81" spans="1:19" ht="13.5">
      <c r="A81" s="2938">
        <v>1208</v>
      </c>
      <c r="B81" s="715">
        <f>面积!B60</f>
        <v>47.13</v>
      </c>
      <c r="C81" s="24">
        <f t="shared" si="12"/>
        <v>1.02</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12</v>
      </c>
      <c r="Q81" s="24">
        <f t="shared" si="19"/>
        <v>1.018</v>
      </c>
      <c r="R81" s="713">
        <f t="shared" ca="1" si="20"/>
        <v>23344</v>
      </c>
      <c r="S81" s="359">
        <f t="shared" ca="1" si="22"/>
        <v>110</v>
      </c>
    </row>
    <row r="82" spans="1:19" ht="13.5">
      <c r="A82" s="2938">
        <v>1211</v>
      </c>
      <c r="B82" s="715">
        <f>面积!B61</f>
        <v>202.02</v>
      </c>
      <c r="C82" s="24">
        <f t="shared" si="12"/>
        <v>0.96</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12</v>
      </c>
      <c r="Q82" s="24">
        <f t="shared" si="19"/>
        <v>1.018</v>
      </c>
      <c r="R82" s="713">
        <f t="shared" ca="1" si="20"/>
        <v>21971</v>
      </c>
      <c r="S82" s="359">
        <f t="shared" ca="1" si="22"/>
        <v>444</v>
      </c>
    </row>
    <row r="83" spans="1:19" ht="13.5">
      <c r="A83" s="2938">
        <v>1212</v>
      </c>
      <c r="B83" s="715">
        <f>面积!B62</f>
        <v>245.04</v>
      </c>
      <c r="C83" s="24">
        <f t="shared" si="12"/>
        <v>0.96</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12</v>
      </c>
      <c r="Q83" s="24">
        <f t="shared" si="19"/>
        <v>1.018</v>
      </c>
      <c r="R83" s="713">
        <f t="shared" ca="1" si="20"/>
        <v>21971</v>
      </c>
      <c r="S83" s="359">
        <f t="shared" ca="1" si="22"/>
        <v>538</v>
      </c>
    </row>
    <row r="84" spans="1:19" ht="13.5">
      <c r="A84" s="2938">
        <v>1213</v>
      </c>
      <c r="B84" s="715">
        <f>面积!B63</f>
        <v>245.34</v>
      </c>
      <c r="C84" s="24">
        <f t="shared" si="12"/>
        <v>0.96</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12</v>
      </c>
      <c r="Q84" s="24">
        <f t="shared" si="19"/>
        <v>1.018</v>
      </c>
      <c r="R84" s="713">
        <f t="shared" ca="1" si="20"/>
        <v>21971</v>
      </c>
      <c r="S84" s="359">
        <f t="shared" ca="1" si="22"/>
        <v>539</v>
      </c>
    </row>
    <row r="85" spans="1:19" ht="13.5">
      <c r="A85" s="2938">
        <v>1214</v>
      </c>
      <c r="B85" s="715">
        <f>面积!B64</f>
        <v>200.96</v>
      </c>
      <c r="C85" s="24">
        <f t="shared" si="12"/>
        <v>0.96</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12</v>
      </c>
      <c r="Q85" s="24">
        <f t="shared" si="19"/>
        <v>1.018</v>
      </c>
      <c r="R85" s="713">
        <f t="shared" ca="1" si="20"/>
        <v>21971</v>
      </c>
      <c r="S85" s="359">
        <f t="shared" ca="1" si="22"/>
        <v>442</v>
      </c>
    </row>
    <row r="86" spans="1:19" ht="13.5">
      <c r="A86" s="2938">
        <v>1303</v>
      </c>
      <c r="B86" s="715">
        <f>面积!B65</f>
        <v>47.13</v>
      </c>
      <c r="C86" s="24">
        <f t="shared" si="12"/>
        <v>1.02</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13</v>
      </c>
      <c r="Q86" s="24">
        <f t="shared" si="19"/>
        <v>1.02</v>
      </c>
      <c r="R86" s="713">
        <f t="shared" ca="1" si="20"/>
        <v>23390</v>
      </c>
      <c r="S86" s="359">
        <f t="shared" ca="1" si="22"/>
        <v>110</v>
      </c>
    </row>
    <row r="87" spans="1:19" ht="13.5">
      <c r="A87" s="2938">
        <v>1308</v>
      </c>
      <c r="B87" s="715">
        <f>面积!B66</f>
        <v>47.13</v>
      </c>
      <c r="C87" s="24">
        <f t="shared" si="12"/>
        <v>1.02</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13</v>
      </c>
      <c r="Q87" s="24">
        <f t="shared" si="19"/>
        <v>1.02</v>
      </c>
      <c r="R87" s="713">
        <f t="shared" ca="1" si="20"/>
        <v>23390</v>
      </c>
      <c r="S87" s="359">
        <f t="shared" ca="1" si="22"/>
        <v>110</v>
      </c>
    </row>
    <row r="88" spans="1:19" ht="13.5">
      <c r="A88" s="2938">
        <v>1311</v>
      </c>
      <c r="B88" s="715">
        <f>面积!B67</f>
        <v>202.02</v>
      </c>
      <c r="C88" s="24">
        <f t="shared" si="12"/>
        <v>0.96</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13</v>
      </c>
      <c r="Q88" s="24">
        <f t="shared" si="19"/>
        <v>1.02</v>
      </c>
      <c r="R88" s="713">
        <f t="shared" ca="1" si="20"/>
        <v>22014</v>
      </c>
      <c r="S88" s="359">
        <f t="shared" ca="1" si="22"/>
        <v>445</v>
      </c>
    </row>
    <row r="89" spans="1:19" ht="13.5">
      <c r="A89" s="2938">
        <v>1312</v>
      </c>
      <c r="B89" s="715">
        <f>面积!B68</f>
        <v>245.04</v>
      </c>
      <c r="C89" s="24">
        <f t="shared" si="12"/>
        <v>0.96</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13</v>
      </c>
      <c r="Q89" s="24">
        <f t="shared" si="19"/>
        <v>1.02</v>
      </c>
      <c r="R89" s="713">
        <f t="shared" ca="1" si="20"/>
        <v>22014</v>
      </c>
      <c r="S89" s="359">
        <f t="shared" ca="1" si="22"/>
        <v>539</v>
      </c>
    </row>
    <row r="90" spans="1:19" ht="13.5">
      <c r="A90" s="2938">
        <v>1313</v>
      </c>
      <c r="B90" s="715">
        <f>面积!B69</f>
        <v>245.34</v>
      </c>
      <c r="C90" s="24">
        <f t="shared" ref="C90:C153" si="23">IF(B90="",1,(LOOKUP(B90,$3:$3,$4:$4)-LOOKUP($B$24,$3:$3,$4:$4)+100)/100)</f>
        <v>0.96</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v>13</v>
      </c>
      <c r="Q90" s="24">
        <f t="shared" ref="Q90:Q153" si="30">(SUMIF($17:$17,P90,$18:$18)-SUMIF($17:$17,$P$24,$18:$18)+100)/100</f>
        <v>1.02</v>
      </c>
      <c r="R90" s="713">
        <f t="shared" ref="R90:R153" ca="1" si="31">IF(B90="",0,ROUND($R$24*C90*E90*G90*I90*K90*M90*O90*Q90,0))</f>
        <v>22014</v>
      </c>
      <c r="S90" s="359">
        <f t="shared" ca="1" si="22"/>
        <v>540</v>
      </c>
    </row>
    <row r="91" spans="1:19" ht="13.5">
      <c r="A91" s="2938">
        <v>1314</v>
      </c>
      <c r="B91" s="715">
        <f>面积!B70</f>
        <v>200.96</v>
      </c>
      <c r="C91" s="24">
        <f t="shared" si="23"/>
        <v>0.96</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13</v>
      </c>
      <c r="Q91" s="24">
        <f t="shared" si="30"/>
        <v>1.02</v>
      </c>
      <c r="R91" s="713">
        <f t="shared" ca="1" si="31"/>
        <v>22014</v>
      </c>
      <c r="S91" s="359">
        <f t="shared" ca="1" si="22"/>
        <v>442</v>
      </c>
    </row>
    <row r="92" spans="1:19" ht="13.5">
      <c r="A92" s="2938">
        <v>1403</v>
      </c>
      <c r="B92" s="715">
        <f>面积!B71</f>
        <v>47.13</v>
      </c>
      <c r="C92" s="24">
        <f t="shared" si="23"/>
        <v>1.02</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14</v>
      </c>
      <c r="Q92" s="24">
        <f t="shared" si="30"/>
        <v>1.0219999999999998</v>
      </c>
      <c r="R92" s="713">
        <f t="shared" ca="1" si="31"/>
        <v>23436</v>
      </c>
      <c r="S92" s="359">
        <f t="shared" ca="1" si="22"/>
        <v>110</v>
      </c>
    </row>
    <row r="93" spans="1:19" ht="13.5">
      <c r="A93" s="2938">
        <v>1408</v>
      </c>
      <c r="B93" s="715">
        <f>面积!B72</f>
        <v>47.13</v>
      </c>
      <c r="C93" s="24">
        <f t="shared" si="23"/>
        <v>1.02</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14</v>
      </c>
      <c r="Q93" s="24">
        <f t="shared" si="30"/>
        <v>1.0219999999999998</v>
      </c>
      <c r="R93" s="713">
        <f t="shared" ca="1" si="31"/>
        <v>23436</v>
      </c>
      <c r="S93" s="359">
        <f t="shared" ca="1" si="22"/>
        <v>110</v>
      </c>
    </row>
    <row r="94" spans="1:19" ht="13.5">
      <c r="A94" s="2938">
        <v>1411</v>
      </c>
      <c r="B94" s="715">
        <f>面积!B73</f>
        <v>202.02</v>
      </c>
      <c r="C94" s="24">
        <f t="shared" si="23"/>
        <v>0.96</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14</v>
      </c>
      <c r="Q94" s="24">
        <f t="shared" si="30"/>
        <v>1.0219999999999998</v>
      </c>
      <c r="R94" s="713">
        <f t="shared" ca="1" si="31"/>
        <v>22058</v>
      </c>
      <c r="S94" s="359">
        <f t="shared" ca="1" si="22"/>
        <v>446</v>
      </c>
    </row>
    <row r="95" spans="1:19" ht="13.5">
      <c r="A95" s="2938">
        <v>1412</v>
      </c>
      <c r="B95" s="715">
        <f>面积!B74</f>
        <v>245.04</v>
      </c>
      <c r="C95" s="24">
        <f t="shared" si="23"/>
        <v>0.96</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14</v>
      </c>
      <c r="Q95" s="24">
        <f t="shared" si="30"/>
        <v>1.0219999999999998</v>
      </c>
      <c r="R95" s="713">
        <f t="shared" ca="1" si="31"/>
        <v>22058</v>
      </c>
      <c r="S95" s="359">
        <f t="shared" ca="1" si="22"/>
        <v>541</v>
      </c>
    </row>
    <row r="96" spans="1:19" ht="13.5">
      <c r="A96" s="2938">
        <v>1413</v>
      </c>
      <c r="B96" s="715">
        <f>面积!B75</f>
        <v>245.34</v>
      </c>
      <c r="C96" s="24">
        <f t="shared" si="23"/>
        <v>0.96</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14</v>
      </c>
      <c r="Q96" s="24">
        <f t="shared" si="30"/>
        <v>1.0219999999999998</v>
      </c>
      <c r="R96" s="713">
        <f t="shared" ca="1" si="31"/>
        <v>22058</v>
      </c>
      <c r="S96" s="359">
        <f t="shared" ca="1" si="22"/>
        <v>541</v>
      </c>
    </row>
    <row r="97" spans="1:19" ht="13.5">
      <c r="A97" s="2938">
        <v>1414</v>
      </c>
      <c r="B97" s="715">
        <f>面积!B76</f>
        <v>200.96</v>
      </c>
      <c r="C97" s="24">
        <f t="shared" si="23"/>
        <v>0.96</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14</v>
      </c>
      <c r="Q97" s="24">
        <f t="shared" si="30"/>
        <v>1.0219999999999998</v>
      </c>
      <c r="R97" s="713">
        <f t="shared" ca="1" si="31"/>
        <v>22058</v>
      </c>
      <c r="S97" s="359">
        <f t="shared" ca="1" si="22"/>
        <v>443</v>
      </c>
    </row>
    <row r="98" spans="1:19" ht="13.5">
      <c r="A98" s="2938">
        <v>1503</v>
      </c>
      <c r="B98" s="715">
        <f>面积!B77</f>
        <v>47.13</v>
      </c>
      <c r="C98" s="24">
        <f t="shared" si="23"/>
        <v>1.02</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15</v>
      </c>
      <c r="Q98" s="24">
        <f t="shared" si="30"/>
        <v>1.024</v>
      </c>
      <c r="R98" s="713">
        <f t="shared" ca="1" si="31"/>
        <v>23482</v>
      </c>
      <c r="S98" s="359">
        <f t="shared" ca="1" si="22"/>
        <v>111</v>
      </c>
    </row>
    <row r="99" spans="1:19" ht="13.5">
      <c r="A99" s="2938">
        <v>1508</v>
      </c>
      <c r="B99" s="715">
        <f>面积!B78</f>
        <v>47.13</v>
      </c>
      <c r="C99" s="24">
        <f t="shared" si="23"/>
        <v>1.02</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15</v>
      </c>
      <c r="Q99" s="24">
        <f t="shared" si="30"/>
        <v>1.024</v>
      </c>
      <c r="R99" s="713">
        <f t="shared" ca="1" si="31"/>
        <v>23482</v>
      </c>
      <c r="S99" s="359">
        <f t="shared" ca="1" si="22"/>
        <v>111</v>
      </c>
    </row>
    <row r="100" spans="1:19" ht="13.5">
      <c r="A100" s="2938">
        <v>1511</v>
      </c>
      <c r="B100" s="715">
        <f>面积!B79</f>
        <v>202.02</v>
      </c>
      <c r="C100" s="24">
        <f t="shared" si="23"/>
        <v>0.96</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15</v>
      </c>
      <c r="Q100" s="24">
        <f t="shared" si="30"/>
        <v>1.024</v>
      </c>
      <c r="R100" s="713">
        <f t="shared" ca="1" si="31"/>
        <v>22101</v>
      </c>
      <c r="S100" s="359">
        <f t="shared" ca="1" si="22"/>
        <v>446</v>
      </c>
    </row>
    <row r="101" spans="1:19" ht="13.5">
      <c r="A101" s="2938">
        <v>1512</v>
      </c>
      <c r="B101" s="715">
        <f>面积!B80</f>
        <v>245.04</v>
      </c>
      <c r="C101" s="24">
        <f t="shared" si="23"/>
        <v>0.96</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v>15</v>
      </c>
      <c r="Q101" s="24">
        <f t="shared" si="30"/>
        <v>1.024</v>
      </c>
      <c r="R101" s="713">
        <f t="shared" ca="1" si="31"/>
        <v>22101</v>
      </c>
      <c r="S101" s="359">
        <f t="shared" ca="1" si="22"/>
        <v>542</v>
      </c>
    </row>
    <row r="102" spans="1:19" ht="13.5">
      <c r="A102" s="2938">
        <v>1513</v>
      </c>
      <c r="B102" s="715">
        <f>面积!B81</f>
        <v>245.34</v>
      </c>
      <c r="C102" s="24">
        <f t="shared" si="23"/>
        <v>0.96</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15</v>
      </c>
      <c r="Q102" s="24">
        <f t="shared" si="30"/>
        <v>1.024</v>
      </c>
      <c r="R102" s="713">
        <f t="shared" ca="1" si="31"/>
        <v>22101</v>
      </c>
      <c r="S102" s="359">
        <f t="shared" ca="1" si="22"/>
        <v>542</v>
      </c>
    </row>
    <row r="103" spans="1:19" ht="13.5">
      <c r="A103" s="2938">
        <v>1514</v>
      </c>
      <c r="B103" s="715">
        <f>面积!B82</f>
        <v>200.96</v>
      </c>
      <c r="C103" s="24">
        <f t="shared" si="23"/>
        <v>0.96</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v>15</v>
      </c>
      <c r="Q103" s="24">
        <f t="shared" si="30"/>
        <v>1.024</v>
      </c>
      <c r="R103" s="713">
        <f t="shared" ca="1" si="31"/>
        <v>22101</v>
      </c>
      <c r="S103" s="359">
        <f t="shared" ca="1" si="22"/>
        <v>444</v>
      </c>
    </row>
    <row r="104" spans="1:19" ht="13.5">
      <c r="A104" s="2938">
        <v>1603</v>
      </c>
      <c r="B104" s="715">
        <f>面积!B83</f>
        <v>47.13</v>
      </c>
      <c r="C104" s="24">
        <f t="shared" si="23"/>
        <v>1.02</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v>16</v>
      </c>
      <c r="Q104" s="24">
        <f t="shared" si="30"/>
        <v>1.026</v>
      </c>
      <c r="R104" s="713">
        <f t="shared" ca="1" si="31"/>
        <v>23528</v>
      </c>
      <c r="S104" s="359">
        <f t="shared" ca="1" si="22"/>
        <v>111</v>
      </c>
    </row>
    <row r="105" spans="1:19" ht="13.5">
      <c r="A105" s="2938">
        <v>1608</v>
      </c>
      <c r="B105" s="715">
        <f>面积!B84</f>
        <v>47.13</v>
      </c>
      <c r="C105" s="24">
        <f t="shared" si="23"/>
        <v>1.02</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v>16</v>
      </c>
      <c r="Q105" s="24">
        <f t="shared" si="30"/>
        <v>1.026</v>
      </c>
      <c r="R105" s="713">
        <f t="shared" ca="1" si="31"/>
        <v>23528</v>
      </c>
      <c r="S105" s="359">
        <f t="shared" ca="1" si="22"/>
        <v>111</v>
      </c>
    </row>
    <row r="106" spans="1:19" ht="13.5">
      <c r="A106" s="2938">
        <v>1611</v>
      </c>
      <c r="B106" s="715">
        <f>面积!B85</f>
        <v>202.02</v>
      </c>
      <c r="C106" s="24">
        <f t="shared" si="23"/>
        <v>0.96</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v>16</v>
      </c>
      <c r="Q106" s="24">
        <f t="shared" si="30"/>
        <v>1.026</v>
      </c>
      <c r="R106" s="713">
        <f t="shared" ca="1" si="31"/>
        <v>22144</v>
      </c>
      <c r="S106" s="359">
        <f t="shared" ca="1" si="22"/>
        <v>447</v>
      </c>
    </row>
    <row r="107" spans="1:19" ht="13.5">
      <c r="A107" s="2938">
        <v>1612</v>
      </c>
      <c r="B107" s="715">
        <f>面积!B86</f>
        <v>245.04</v>
      </c>
      <c r="C107" s="24">
        <f t="shared" si="23"/>
        <v>0.96</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v>16</v>
      </c>
      <c r="Q107" s="24">
        <f t="shared" si="30"/>
        <v>1.026</v>
      </c>
      <c r="R107" s="713">
        <f t="shared" ca="1" si="31"/>
        <v>22144</v>
      </c>
      <c r="S107" s="359">
        <f t="shared" ca="1" si="22"/>
        <v>543</v>
      </c>
    </row>
    <row r="108" spans="1:19" ht="13.5">
      <c r="A108" s="2938">
        <v>1613</v>
      </c>
      <c r="B108" s="715">
        <f>面积!B87</f>
        <v>245.34</v>
      </c>
      <c r="C108" s="24">
        <f t="shared" si="23"/>
        <v>0.96</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v>16</v>
      </c>
      <c r="Q108" s="24">
        <f t="shared" si="30"/>
        <v>1.026</v>
      </c>
      <c r="R108" s="713">
        <f t="shared" ca="1" si="31"/>
        <v>22144</v>
      </c>
      <c r="S108" s="359">
        <f t="shared" ca="1" si="22"/>
        <v>543</v>
      </c>
    </row>
    <row r="109" spans="1:19" ht="13.5">
      <c r="A109" s="2938">
        <v>1614</v>
      </c>
      <c r="B109" s="715">
        <f>面积!B88</f>
        <v>200.96</v>
      </c>
      <c r="C109" s="24">
        <f t="shared" si="23"/>
        <v>0.96</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v>16</v>
      </c>
      <c r="Q109" s="24">
        <f t="shared" si="30"/>
        <v>1.026</v>
      </c>
      <c r="R109" s="713">
        <f t="shared" ca="1" si="31"/>
        <v>22144</v>
      </c>
      <c r="S109" s="359">
        <f t="shared" ca="1" si="22"/>
        <v>445</v>
      </c>
    </row>
    <row r="110" spans="1:19" ht="13.5">
      <c r="A110" s="2938">
        <v>1703</v>
      </c>
      <c r="B110" s="715">
        <f>面积!B89</f>
        <v>47.13</v>
      </c>
      <c r="C110" s="24">
        <f t="shared" si="23"/>
        <v>1.02</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v>17</v>
      </c>
      <c r="Q110" s="24">
        <f t="shared" si="30"/>
        <v>1.028</v>
      </c>
      <c r="R110" s="713">
        <f t="shared" ca="1" si="31"/>
        <v>23574</v>
      </c>
      <c r="S110" s="359">
        <f t="shared" ca="1" si="22"/>
        <v>111</v>
      </c>
    </row>
    <row r="111" spans="1:19" ht="13.5">
      <c r="A111" s="2938">
        <v>1708</v>
      </c>
      <c r="B111" s="715">
        <f>面积!B90</f>
        <v>47.13</v>
      </c>
      <c r="C111" s="24">
        <f t="shared" si="23"/>
        <v>1.02</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v>17</v>
      </c>
      <c r="Q111" s="24">
        <f t="shared" si="30"/>
        <v>1.028</v>
      </c>
      <c r="R111" s="713">
        <f t="shared" ca="1" si="31"/>
        <v>23574</v>
      </c>
      <c r="S111" s="359">
        <f t="shared" ca="1" si="22"/>
        <v>111</v>
      </c>
    </row>
    <row r="112" spans="1:19" ht="13.5">
      <c r="A112" s="2938">
        <v>1711</v>
      </c>
      <c r="B112" s="715">
        <f>面积!B91</f>
        <v>202.02</v>
      </c>
      <c r="C112" s="24">
        <f t="shared" si="23"/>
        <v>0.96</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v>17</v>
      </c>
      <c r="Q112" s="24">
        <f t="shared" si="30"/>
        <v>1.028</v>
      </c>
      <c r="R112" s="713">
        <f t="shared" ca="1" si="31"/>
        <v>22187</v>
      </c>
      <c r="S112" s="359">
        <f t="shared" ca="1" si="22"/>
        <v>448</v>
      </c>
    </row>
    <row r="113" spans="1:19" ht="13.5">
      <c r="A113" s="2938">
        <v>1712</v>
      </c>
      <c r="B113" s="715">
        <f>面积!B92</f>
        <v>245.04</v>
      </c>
      <c r="C113" s="24">
        <f t="shared" si="23"/>
        <v>0.96</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v>17</v>
      </c>
      <c r="Q113" s="24">
        <f t="shared" si="30"/>
        <v>1.028</v>
      </c>
      <c r="R113" s="713">
        <f t="shared" ca="1" si="31"/>
        <v>22187</v>
      </c>
      <c r="S113" s="359">
        <f t="shared" ca="1" si="22"/>
        <v>544</v>
      </c>
    </row>
    <row r="114" spans="1:19" ht="13.5">
      <c r="A114" s="2938">
        <v>1713</v>
      </c>
      <c r="B114" s="715">
        <f>面积!B93</f>
        <v>245.34</v>
      </c>
      <c r="C114" s="24">
        <f t="shared" si="23"/>
        <v>0.96</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v>17</v>
      </c>
      <c r="Q114" s="24">
        <f t="shared" si="30"/>
        <v>1.028</v>
      </c>
      <c r="R114" s="713">
        <f t="shared" ca="1" si="31"/>
        <v>22187</v>
      </c>
      <c r="S114" s="359">
        <f t="shared" ca="1" si="22"/>
        <v>544</v>
      </c>
    </row>
    <row r="115" spans="1:19" ht="13.5">
      <c r="A115" s="2938">
        <v>1714</v>
      </c>
      <c r="B115" s="715">
        <f>面积!B94</f>
        <v>200.96</v>
      </c>
      <c r="C115" s="24">
        <f t="shared" si="23"/>
        <v>0.96</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v>17</v>
      </c>
      <c r="Q115" s="24">
        <f t="shared" si="30"/>
        <v>1.028</v>
      </c>
      <c r="R115" s="713">
        <f t="shared" ca="1" si="31"/>
        <v>22187</v>
      </c>
      <c r="S115" s="359">
        <f t="shared" ca="1" si="22"/>
        <v>446</v>
      </c>
    </row>
    <row r="116" spans="1:19" ht="13.5">
      <c r="A116" s="2938">
        <v>1803</v>
      </c>
      <c r="B116" s="715">
        <f>面积!B95</f>
        <v>47.13</v>
      </c>
      <c r="C116" s="24">
        <f t="shared" si="23"/>
        <v>1.02</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v>18</v>
      </c>
      <c r="Q116" s="24">
        <f t="shared" si="30"/>
        <v>1.03</v>
      </c>
      <c r="R116" s="713">
        <f t="shared" ca="1" si="31"/>
        <v>23620</v>
      </c>
      <c r="S116" s="359">
        <f t="shared" ca="1" si="22"/>
        <v>111</v>
      </c>
    </row>
    <row r="117" spans="1:19" ht="13.5">
      <c r="A117" s="2938">
        <v>1808</v>
      </c>
      <c r="B117" s="715">
        <f>面积!B96</f>
        <v>47.13</v>
      </c>
      <c r="C117" s="24">
        <f t="shared" si="23"/>
        <v>1.02</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v>18</v>
      </c>
      <c r="Q117" s="24">
        <f t="shared" si="30"/>
        <v>1.03</v>
      </c>
      <c r="R117" s="713">
        <f t="shared" ca="1" si="31"/>
        <v>23620</v>
      </c>
      <c r="S117" s="359">
        <f t="shared" ca="1" si="22"/>
        <v>111</v>
      </c>
    </row>
    <row r="118" spans="1:19" ht="13.5">
      <c r="A118" s="2938">
        <v>1811</v>
      </c>
      <c r="B118" s="715">
        <f>面积!B97</f>
        <v>202.02</v>
      </c>
      <c r="C118" s="24">
        <f t="shared" si="23"/>
        <v>0.96</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v>18</v>
      </c>
      <c r="Q118" s="24">
        <f t="shared" si="30"/>
        <v>1.03</v>
      </c>
      <c r="R118" s="713">
        <f t="shared" ca="1" si="31"/>
        <v>22230</v>
      </c>
      <c r="S118" s="359">
        <f t="shared" ca="1" si="22"/>
        <v>449</v>
      </c>
    </row>
    <row r="119" spans="1:19" ht="13.5">
      <c r="A119" s="2938">
        <v>1812</v>
      </c>
      <c r="B119" s="715">
        <f>面积!B98</f>
        <v>245.04</v>
      </c>
      <c r="C119" s="24">
        <f t="shared" si="23"/>
        <v>0.96</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v>18</v>
      </c>
      <c r="Q119" s="24">
        <f t="shared" si="30"/>
        <v>1.03</v>
      </c>
      <c r="R119" s="713">
        <f t="shared" ca="1" si="31"/>
        <v>22230</v>
      </c>
      <c r="S119" s="359">
        <f t="shared" ca="1" si="22"/>
        <v>545</v>
      </c>
    </row>
    <row r="120" spans="1:19" ht="13.5">
      <c r="A120" s="2938">
        <v>1813</v>
      </c>
      <c r="B120" s="715">
        <f>面积!B99</f>
        <v>245.34</v>
      </c>
      <c r="C120" s="24">
        <f t="shared" si="23"/>
        <v>0.96</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v>18</v>
      </c>
      <c r="Q120" s="24">
        <f t="shared" si="30"/>
        <v>1.03</v>
      </c>
      <c r="R120" s="713">
        <f t="shared" ca="1" si="31"/>
        <v>22230</v>
      </c>
      <c r="S120" s="359">
        <f t="shared" ca="1" si="22"/>
        <v>545</v>
      </c>
    </row>
    <row r="121" spans="1:19" ht="13.5">
      <c r="A121" s="2938">
        <v>1814</v>
      </c>
      <c r="B121" s="715">
        <f>面积!B100</f>
        <v>200.96</v>
      </c>
      <c r="C121" s="24">
        <f t="shared" si="23"/>
        <v>0.96</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v>18</v>
      </c>
      <c r="Q121" s="24">
        <f t="shared" si="30"/>
        <v>1.03</v>
      </c>
      <c r="R121" s="713">
        <f t="shared" ca="1" si="31"/>
        <v>22230</v>
      </c>
      <c r="S121" s="359">
        <f t="shared" ca="1" si="22"/>
        <v>447</v>
      </c>
    </row>
    <row r="122" spans="1:19" ht="13.5">
      <c r="A122" s="2938">
        <v>1903</v>
      </c>
      <c r="B122" s="715">
        <f>面积!B101</f>
        <v>47.13</v>
      </c>
      <c r="C122" s="24">
        <f t="shared" si="23"/>
        <v>1.02</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v>19</v>
      </c>
      <c r="Q122" s="24">
        <f t="shared" si="30"/>
        <v>1.0319999999999998</v>
      </c>
      <c r="R122" s="713">
        <f t="shared" ca="1" si="31"/>
        <v>23665</v>
      </c>
      <c r="S122" s="359">
        <f t="shared" ca="1" si="22"/>
        <v>112</v>
      </c>
    </row>
    <row r="123" spans="1:19" ht="13.5">
      <c r="A123" s="2938">
        <v>1908</v>
      </c>
      <c r="B123" s="715">
        <f>面积!B102</f>
        <v>47.13</v>
      </c>
      <c r="C123" s="24">
        <f t="shared" si="23"/>
        <v>1.02</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v>19</v>
      </c>
      <c r="Q123" s="24">
        <f t="shared" si="30"/>
        <v>1.0319999999999998</v>
      </c>
      <c r="R123" s="713">
        <f t="shared" ca="1" si="31"/>
        <v>23665</v>
      </c>
      <c r="S123" s="359">
        <f t="shared" ref="S123:S186" ca="1" si="32">ROUND(R123*B123/10000,0)</f>
        <v>112</v>
      </c>
    </row>
    <row r="124" spans="1:19" ht="13.5">
      <c r="A124" s="2938">
        <v>1911</v>
      </c>
      <c r="B124" s="715">
        <f>面积!B103</f>
        <v>202.02</v>
      </c>
      <c r="C124" s="24">
        <f t="shared" si="23"/>
        <v>0.96</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v>19</v>
      </c>
      <c r="Q124" s="24">
        <f t="shared" si="30"/>
        <v>1.0319999999999998</v>
      </c>
      <c r="R124" s="713">
        <f t="shared" ca="1" si="31"/>
        <v>22273</v>
      </c>
      <c r="S124" s="359">
        <f t="shared" ca="1" si="32"/>
        <v>450</v>
      </c>
    </row>
    <row r="125" spans="1:19" ht="13.5">
      <c r="A125" s="2938">
        <v>1912</v>
      </c>
      <c r="B125" s="715">
        <f>面积!B104</f>
        <v>245.04</v>
      </c>
      <c r="C125" s="24">
        <f t="shared" si="23"/>
        <v>0.96</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v>19</v>
      </c>
      <c r="Q125" s="24">
        <f t="shared" si="30"/>
        <v>1.0319999999999998</v>
      </c>
      <c r="R125" s="713">
        <f t="shared" ca="1" si="31"/>
        <v>22273</v>
      </c>
      <c r="S125" s="359">
        <f t="shared" ca="1" si="32"/>
        <v>546</v>
      </c>
    </row>
    <row r="126" spans="1:19" ht="13.5">
      <c r="A126" s="2938">
        <v>1913</v>
      </c>
      <c r="B126" s="715">
        <f>面积!B105</f>
        <v>245.34</v>
      </c>
      <c r="C126" s="24">
        <f t="shared" si="23"/>
        <v>0.96</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v>19</v>
      </c>
      <c r="Q126" s="24">
        <f t="shared" si="30"/>
        <v>1.0319999999999998</v>
      </c>
      <c r="R126" s="713">
        <f t="shared" ca="1" si="31"/>
        <v>22273</v>
      </c>
      <c r="S126" s="359">
        <f t="shared" ca="1" si="32"/>
        <v>546</v>
      </c>
    </row>
    <row r="127" spans="1:19" ht="13.5">
      <c r="A127" s="2938">
        <v>1914</v>
      </c>
      <c r="B127" s="715">
        <f>面积!B106</f>
        <v>200.96</v>
      </c>
      <c r="C127" s="24">
        <f t="shared" si="23"/>
        <v>0.96</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v>19</v>
      </c>
      <c r="Q127" s="24">
        <f t="shared" si="30"/>
        <v>1.0319999999999998</v>
      </c>
      <c r="R127" s="713">
        <f t="shared" ca="1" si="31"/>
        <v>22273</v>
      </c>
      <c r="S127" s="359">
        <f t="shared" ca="1" si="32"/>
        <v>448</v>
      </c>
    </row>
    <row r="128" spans="1:19" ht="13.5">
      <c r="A128" s="2938">
        <v>2003</v>
      </c>
      <c r="B128" s="715">
        <f>面积!B107</f>
        <v>47.13</v>
      </c>
      <c r="C128" s="24">
        <f t="shared" si="23"/>
        <v>1.02</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v>20</v>
      </c>
      <c r="Q128" s="24">
        <f t="shared" si="30"/>
        <v>1.0339999999999998</v>
      </c>
      <c r="R128" s="713">
        <f t="shared" ca="1" si="31"/>
        <v>23711</v>
      </c>
      <c r="S128" s="359">
        <f t="shared" ca="1" si="32"/>
        <v>112</v>
      </c>
    </row>
    <row r="129" spans="1:19" ht="13.5">
      <c r="A129" s="2938">
        <v>2008</v>
      </c>
      <c r="B129" s="715">
        <f>面积!B108</f>
        <v>47.13</v>
      </c>
      <c r="C129" s="24">
        <f t="shared" si="23"/>
        <v>1.02</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v>20</v>
      </c>
      <c r="Q129" s="24">
        <f t="shared" si="30"/>
        <v>1.0339999999999998</v>
      </c>
      <c r="R129" s="713">
        <f t="shared" ca="1" si="31"/>
        <v>23711</v>
      </c>
      <c r="S129" s="359">
        <f t="shared" ca="1" si="32"/>
        <v>112</v>
      </c>
    </row>
    <row r="130" spans="1:19" ht="13.5">
      <c r="A130" s="2938">
        <v>2011</v>
      </c>
      <c r="B130" s="715">
        <f>面积!B109</f>
        <v>202.02</v>
      </c>
      <c r="C130" s="24">
        <f t="shared" si="23"/>
        <v>0.96</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v>20</v>
      </c>
      <c r="Q130" s="24">
        <f t="shared" si="30"/>
        <v>1.0339999999999998</v>
      </c>
      <c r="R130" s="713">
        <f t="shared" ca="1" si="31"/>
        <v>22317</v>
      </c>
      <c r="S130" s="359">
        <f t="shared" ca="1" si="32"/>
        <v>451</v>
      </c>
    </row>
    <row r="131" spans="1:19" ht="13.5">
      <c r="A131" s="2938">
        <v>2012</v>
      </c>
      <c r="B131" s="715">
        <f>面积!B110</f>
        <v>245.04</v>
      </c>
      <c r="C131" s="24">
        <f t="shared" si="23"/>
        <v>0.96</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v>20</v>
      </c>
      <c r="Q131" s="24">
        <f t="shared" si="30"/>
        <v>1.0339999999999998</v>
      </c>
      <c r="R131" s="713">
        <f t="shared" ca="1" si="31"/>
        <v>22317</v>
      </c>
      <c r="S131" s="359">
        <f t="shared" ca="1" si="32"/>
        <v>547</v>
      </c>
    </row>
    <row r="132" spans="1:19" ht="13.5">
      <c r="A132" s="2938">
        <v>2013</v>
      </c>
      <c r="B132" s="715">
        <f>面积!B111</f>
        <v>245.34</v>
      </c>
      <c r="C132" s="24">
        <f t="shared" si="23"/>
        <v>0.96</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v>20</v>
      </c>
      <c r="Q132" s="24">
        <f t="shared" si="30"/>
        <v>1.0339999999999998</v>
      </c>
      <c r="R132" s="713">
        <f t="shared" ca="1" si="31"/>
        <v>22317</v>
      </c>
      <c r="S132" s="359">
        <f t="shared" ca="1" si="32"/>
        <v>548</v>
      </c>
    </row>
    <row r="133" spans="1:19" ht="13.5">
      <c r="A133" s="2938">
        <v>2014</v>
      </c>
      <c r="B133" s="715">
        <f>面积!B112</f>
        <v>200.96</v>
      </c>
      <c r="C133" s="24">
        <f t="shared" si="23"/>
        <v>0.96</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v>20</v>
      </c>
      <c r="Q133" s="24">
        <f t="shared" si="30"/>
        <v>1.0339999999999998</v>
      </c>
      <c r="R133" s="713">
        <f t="shared" ca="1" si="31"/>
        <v>22317</v>
      </c>
      <c r="S133" s="359">
        <f t="shared" ca="1" si="32"/>
        <v>448</v>
      </c>
    </row>
    <row r="134" spans="1:19" ht="13.5">
      <c r="A134" s="2938">
        <v>2103</v>
      </c>
      <c r="B134" s="715">
        <f>面积!B113</f>
        <v>47.13</v>
      </c>
      <c r="C134" s="24">
        <f t="shared" si="23"/>
        <v>1.02</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v>21</v>
      </c>
      <c r="Q134" s="24">
        <f t="shared" si="30"/>
        <v>1.036</v>
      </c>
      <c r="R134" s="713">
        <f t="shared" ca="1" si="31"/>
        <v>23757</v>
      </c>
      <c r="S134" s="359">
        <f t="shared" ca="1" si="32"/>
        <v>112</v>
      </c>
    </row>
    <row r="135" spans="1:19" ht="13.5">
      <c r="A135" s="2938">
        <v>2108</v>
      </c>
      <c r="B135" s="715">
        <f>面积!B114</f>
        <v>47.13</v>
      </c>
      <c r="C135" s="24">
        <f t="shared" si="23"/>
        <v>1.02</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v>21</v>
      </c>
      <c r="Q135" s="24">
        <f t="shared" si="30"/>
        <v>1.036</v>
      </c>
      <c r="R135" s="713">
        <f t="shared" ca="1" si="31"/>
        <v>23757</v>
      </c>
      <c r="S135" s="359">
        <f t="shared" ca="1" si="32"/>
        <v>112</v>
      </c>
    </row>
    <row r="136" spans="1:19" ht="13.5">
      <c r="A136" s="2938">
        <v>2111</v>
      </c>
      <c r="B136" s="715">
        <f>面积!B115</f>
        <v>202.02</v>
      </c>
      <c r="C136" s="24">
        <f t="shared" si="23"/>
        <v>0.96</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v>21</v>
      </c>
      <c r="Q136" s="24">
        <f t="shared" si="30"/>
        <v>1.036</v>
      </c>
      <c r="R136" s="713">
        <f t="shared" ca="1" si="31"/>
        <v>22360</v>
      </c>
      <c r="S136" s="359">
        <f t="shared" ca="1" si="32"/>
        <v>452</v>
      </c>
    </row>
    <row r="137" spans="1:19" ht="13.5">
      <c r="A137" s="2938">
        <v>2112</v>
      </c>
      <c r="B137" s="715">
        <f>面积!B116</f>
        <v>245.04</v>
      </c>
      <c r="C137" s="24">
        <f t="shared" si="23"/>
        <v>0.96</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v>21</v>
      </c>
      <c r="Q137" s="24">
        <f t="shared" si="30"/>
        <v>1.036</v>
      </c>
      <c r="R137" s="713">
        <f t="shared" ca="1" si="31"/>
        <v>22360</v>
      </c>
      <c r="S137" s="359">
        <f t="shared" ca="1" si="32"/>
        <v>548</v>
      </c>
    </row>
    <row r="138" spans="1:19" ht="13.5">
      <c r="A138" s="2938">
        <v>2113</v>
      </c>
      <c r="B138" s="715">
        <f>面积!B117</f>
        <v>245.34</v>
      </c>
      <c r="C138" s="24">
        <f t="shared" si="23"/>
        <v>0.96</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v>21</v>
      </c>
      <c r="Q138" s="24">
        <f t="shared" si="30"/>
        <v>1.036</v>
      </c>
      <c r="R138" s="713">
        <f t="shared" ca="1" si="31"/>
        <v>22360</v>
      </c>
      <c r="S138" s="359">
        <f t="shared" ca="1" si="32"/>
        <v>549</v>
      </c>
    </row>
    <row r="139" spans="1:19" ht="13.5">
      <c r="A139" s="2938">
        <v>2114</v>
      </c>
      <c r="B139" s="715">
        <f>面积!B118</f>
        <v>200.96</v>
      </c>
      <c r="C139" s="24">
        <f t="shared" si="23"/>
        <v>0.96</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v>21</v>
      </c>
      <c r="Q139" s="24">
        <f t="shared" si="30"/>
        <v>1.036</v>
      </c>
      <c r="R139" s="713">
        <f t="shared" ca="1" si="31"/>
        <v>22360</v>
      </c>
      <c r="S139" s="359">
        <f t="shared" ca="1" si="32"/>
        <v>449</v>
      </c>
    </row>
    <row r="140" spans="1:19" ht="13.5">
      <c r="A140" s="2938">
        <v>2203</v>
      </c>
      <c r="B140" s="715">
        <f>面积!B119</f>
        <v>47.13</v>
      </c>
      <c r="C140" s="24">
        <f t="shared" si="23"/>
        <v>1.02</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v>22</v>
      </c>
      <c r="Q140" s="24">
        <f t="shared" si="30"/>
        <v>1.038</v>
      </c>
      <c r="R140" s="713">
        <f t="shared" ca="1" si="31"/>
        <v>23803</v>
      </c>
      <c r="S140" s="359">
        <f t="shared" ca="1" si="32"/>
        <v>112</v>
      </c>
    </row>
    <row r="141" spans="1:19" ht="13.5">
      <c r="A141" s="2938">
        <v>2208</v>
      </c>
      <c r="B141" s="715">
        <f>面积!B120</f>
        <v>47.13</v>
      </c>
      <c r="C141" s="24">
        <f t="shared" si="23"/>
        <v>1.02</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v>22</v>
      </c>
      <c r="Q141" s="24">
        <f t="shared" si="30"/>
        <v>1.038</v>
      </c>
      <c r="R141" s="713">
        <f t="shared" ca="1" si="31"/>
        <v>23803</v>
      </c>
      <c r="S141" s="359">
        <f t="shared" ca="1" si="32"/>
        <v>112</v>
      </c>
    </row>
    <row r="142" spans="1:19" ht="13.5">
      <c r="A142" s="2938">
        <v>2211</v>
      </c>
      <c r="B142" s="715">
        <f>面积!B121</f>
        <v>202.02</v>
      </c>
      <c r="C142" s="24">
        <f t="shared" si="23"/>
        <v>0.96</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v>22</v>
      </c>
      <c r="Q142" s="24">
        <f t="shared" si="30"/>
        <v>1.038</v>
      </c>
      <c r="R142" s="713">
        <f t="shared" ca="1" si="31"/>
        <v>22403</v>
      </c>
      <c r="S142" s="359">
        <f t="shared" ca="1" si="32"/>
        <v>453</v>
      </c>
    </row>
    <row r="143" spans="1:19" ht="13.5">
      <c r="A143" s="2938">
        <v>2212</v>
      </c>
      <c r="B143" s="715">
        <f>面积!B122</f>
        <v>245.04</v>
      </c>
      <c r="C143" s="24">
        <f t="shared" si="23"/>
        <v>0.96</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v>22</v>
      </c>
      <c r="Q143" s="24">
        <f t="shared" si="30"/>
        <v>1.038</v>
      </c>
      <c r="R143" s="713">
        <f t="shared" ca="1" si="31"/>
        <v>22403</v>
      </c>
      <c r="S143" s="359">
        <f t="shared" ca="1" si="32"/>
        <v>549</v>
      </c>
    </row>
    <row r="144" spans="1:19" ht="13.5">
      <c r="A144" s="2938">
        <v>2213</v>
      </c>
      <c r="B144" s="715">
        <f>面积!B123</f>
        <v>245.34</v>
      </c>
      <c r="C144" s="24">
        <f t="shared" si="23"/>
        <v>0.96</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v>22</v>
      </c>
      <c r="Q144" s="24">
        <f t="shared" si="30"/>
        <v>1.038</v>
      </c>
      <c r="R144" s="713">
        <f t="shared" ca="1" si="31"/>
        <v>22403</v>
      </c>
      <c r="S144" s="359">
        <f t="shared" ca="1" si="32"/>
        <v>550</v>
      </c>
    </row>
    <row r="145" spans="1:19" ht="13.5">
      <c r="A145" s="2938">
        <v>2214</v>
      </c>
      <c r="B145" s="715">
        <f>面积!B124</f>
        <v>200.96</v>
      </c>
      <c r="C145" s="24">
        <f t="shared" si="23"/>
        <v>0.96</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v>22</v>
      </c>
      <c r="Q145" s="24">
        <f t="shared" si="30"/>
        <v>1.038</v>
      </c>
      <c r="R145" s="713">
        <f t="shared" ca="1" si="31"/>
        <v>22403</v>
      </c>
      <c r="S145" s="359">
        <f t="shared" ca="1" si="32"/>
        <v>450</v>
      </c>
    </row>
    <row r="146" spans="1:19" ht="13.5">
      <c r="A146" s="2938">
        <v>2303</v>
      </c>
      <c r="B146" s="715">
        <f>面积!B125</f>
        <v>45.77</v>
      </c>
      <c r="C146" s="24">
        <f t="shared" si="23"/>
        <v>1.02</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v>23</v>
      </c>
      <c r="Q146" s="24">
        <f t="shared" si="30"/>
        <v>1.04</v>
      </c>
      <c r="R146" s="713">
        <f t="shared" ca="1" si="31"/>
        <v>23849</v>
      </c>
      <c r="S146" s="359">
        <f t="shared" ca="1" si="32"/>
        <v>109</v>
      </c>
    </row>
    <row r="147" spans="1:19" ht="13.5">
      <c r="A147" s="2938">
        <v>2308</v>
      </c>
      <c r="B147" s="715">
        <f>面积!B126</f>
        <v>45.77</v>
      </c>
      <c r="C147" s="24">
        <f t="shared" si="23"/>
        <v>1.02</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v>23</v>
      </c>
      <c r="Q147" s="24">
        <f t="shared" si="30"/>
        <v>1.04</v>
      </c>
      <c r="R147" s="713">
        <f t="shared" ca="1" si="31"/>
        <v>23849</v>
      </c>
      <c r="S147" s="359">
        <f t="shared" ca="1" si="32"/>
        <v>109</v>
      </c>
    </row>
    <row r="148" spans="1:19" ht="13.5">
      <c r="A148" s="2938">
        <v>2311</v>
      </c>
      <c r="B148" s="715">
        <f>面积!B127</f>
        <v>197.36</v>
      </c>
      <c r="C148" s="24">
        <f t="shared" si="23"/>
        <v>0.96</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v>23</v>
      </c>
      <c r="Q148" s="24">
        <f t="shared" si="30"/>
        <v>1.04</v>
      </c>
      <c r="R148" s="713">
        <f t="shared" ca="1" si="31"/>
        <v>22446</v>
      </c>
      <c r="S148" s="359">
        <f t="shared" ca="1" si="32"/>
        <v>443</v>
      </c>
    </row>
    <row r="149" spans="1:19" ht="13.5">
      <c r="A149" s="2938">
        <v>2312</v>
      </c>
      <c r="B149" s="715">
        <f>面积!B128</f>
        <v>241.17</v>
      </c>
      <c r="C149" s="24">
        <f t="shared" si="23"/>
        <v>0.96</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v>23</v>
      </c>
      <c r="Q149" s="24">
        <f t="shared" si="30"/>
        <v>1.04</v>
      </c>
      <c r="R149" s="713">
        <f t="shared" ca="1" si="31"/>
        <v>22446</v>
      </c>
      <c r="S149" s="359">
        <f t="shared" ca="1" si="32"/>
        <v>541</v>
      </c>
    </row>
    <row r="150" spans="1:19" ht="13.5">
      <c r="A150" s="2938">
        <v>2313</v>
      </c>
      <c r="B150" s="715">
        <f>面积!B129</f>
        <v>241.48</v>
      </c>
      <c r="C150" s="24">
        <f t="shared" si="23"/>
        <v>0.96</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v>23</v>
      </c>
      <c r="Q150" s="24">
        <f t="shared" si="30"/>
        <v>1.04</v>
      </c>
      <c r="R150" s="713">
        <f t="shared" ca="1" si="31"/>
        <v>22446</v>
      </c>
      <c r="S150" s="359">
        <f t="shared" ca="1" si="32"/>
        <v>542</v>
      </c>
    </row>
    <row r="151" spans="1:19" ht="13.5">
      <c r="A151" s="2938">
        <v>2314</v>
      </c>
      <c r="B151" s="715">
        <f>面积!B130</f>
        <v>196.29</v>
      </c>
      <c r="C151" s="24">
        <f t="shared" si="23"/>
        <v>0.96</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v>23</v>
      </c>
      <c r="Q151" s="24">
        <f t="shared" si="30"/>
        <v>1.04</v>
      </c>
      <c r="R151" s="713">
        <f t="shared" ca="1" si="31"/>
        <v>22446</v>
      </c>
      <c r="S151" s="359">
        <f t="shared" ca="1" si="32"/>
        <v>441</v>
      </c>
    </row>
    <row r="152" spans="1:19" ht="13.5">
      <c r="A152" s="2938">
        <v>2403</v>
      </c>
      <c r="B152" s="715">
        <f>面积!B131</f>
        <v>45.77</v>
      </c>
      <c r="C152" s="24">
        <f t="shared" si="23"/>
        <v>1.02</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v>24</v>
      </c>
      <c r="Q152" s="24">
        <f t="shared" si="30"/>
        <v>1.0419999999999998</v>
      </c>
      <c r="R152" s="713">
        <f t="shared" ca="1" si="31"/>
        <v>23895</v>
      </c>
      <c r="S152" s="359">
        <f t="shared" ca="1" si="32"/>
        <v>109</v>
      </c>
    </row>
    <row r="153" spans="1:19" ht="13.5">
      <c r="A153" s="2938">
        <v>2408</v>
      </c>
      <c r="B153" s="715">
        <f>面积!B132</f>
        <v>45.77</v>
      </c>
      <c r="C153" s="24">
        <f t="shared" si="23"/>
        <v>1.02</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v>24</v>
      </c>
      <c r="Q153" s="24">
        <f t="shared" si="30"/>
        <v>1.0419999999999998</v>
      </c>
      <c r="R153" s="713">
        <f t="shared" ca="1" si="31"/>
        <v>23895</v>
      </c>
      <c r="S153" s="359">
        <f t="shared" ca="1" si="32"/>
        <v>109</v>
      </c>
    </row>
    <row r="154" spans="1:19" ht="13.5">
      <c r="A154" s="2938">
        <v>2411</v>
      </c>
      <c r="B154" s="715">
        <f>面积!B133</f>
        <v>197.36</v>
      </c>
      <c r="C154" s="24">
        <f t="shared" ref="C154:C217" si="33">IF(B154="",1,(LOOKUP(B154,$3:$3,$4:$4)-LOOKUP($B$24,$3:$3,$4:$4)+100)/100)</f>
        <v>0.96</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v>24</v>
      </c>
      <c r="Q154" s="24">
        <f t="shared" ref="Q154:Q217" si="40">(SUMIF($17:$17,P154,$18:$18)-SUMIF($17:$17,$P$24,$18:$18)+100)/100</f>
        <v>1.0419999999999998</v>
      </c>
      <c r="R154" s="713">
        <f t="shared" ref="R154:R217" ca="1" si="41">IF(B154="",0,ROUND($R$24*C154*E154*G154*I154*K154*M154*O154*Q154,0))</f>
        <v>22489</v>
      </c>
      <c r="S154" s="359">
        <f t="shared" ca="1" si="32"/>
        <v>444</v>
      </c>
    </row>
    <row r="155" spans="1:19" ht="13.5">
      <c r="A155" s="2938">
        <v>2412</v>
      </c>
      <c r="B155" s="715">
        <f>面积!B134</f>
        <v>241.17</v>
      </c>
      <c r="C155" s="24">
        <f t="shared" si="33"/>
        <v>0.96</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v>24</v>
      </c>
      <c r="Q155" s="24">
        <f t="shared" si="40"/>
        <v>1.0419999999999998</v>
      </c>
      <c r="R155" s="713">
        <f t="shared" ca="1" si="41"/>
        <v>22489</v>
      </c>
      <c r="S155" s="359">
        <f t="shared" ca="1" si="32"/>
        <v>542</v>
      </c>
    </row>
    <row r="156" spans="1:19" ht="13.5">
      <c r="A156" s="2938">
        <v>2413</v>
      </c>
      <c r="B156" s="715">
        <f>面积!B135</f>
        <v>241.48</v>
      </c>
      <c r="C156" s="24">
        <f t="shared" si="33"/>
        <v>0.96</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v>24</v>
      </c>
      <c r="Q156" s="24">
        <f t="shared" si="40"/>
        <v>1.0419999999999998</v>
      </c>
      <c r="R156" s="713">
        <f t="shared" ca="1" si="41"/>
        <v>22489</v>
      </c>
      <c r="S156" s="359">
        <f t="shared" ca="1" si="32"/>
        <v>543</v>
      </c>
    </row>
    <row r="157" spans="1:19" ht="13.5">
      <c r="A157" s="2938">
        <v>2414</v>
      </c>
      <c r="B157" s="715">
        <f>面积!B136</f>
        <v>196.29</v>
      </c>
      <c r="C157" s="24">
        <f t="shared" si="33"/>
        <v>0.96</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v>24</v>
      </c>
      <c r="Q157" s="24">
        <f t="shared" si="40"/>
        <v>1.0419999999999998</v>
      </c>
      <c r="R157" s="713">
        <f t="shared" ca="1" si="41"/>
        <v>22489</v>
      </c>
      <c r="S157" s="359">
        <f t="shared" ca="1" si="32"/>
        <v>441</v>
      </c>
    </row>
    <row r="158" spans="1:19" ht="13.5">
      <c r="A158" s="2938">
        <v>2503</v>
      </c>
      <c r="B158" s="715">
        <f>面积!B137</f>
        <v>45.77</v>
      </c>
      <c r="C158" s="24">
        <f t="shared" si="33"/>
        <v>1.02</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v>25</v>
      </c>
      <c r="Q158" s="24">
        <f t="shared" si="40"/>
        <v>1.0439999999999998</v>
      </c>
      <c r="R158" s="713">
        <f t="shared" ca="1" si="41"/>
        <v>23941</v>
      </c>
      <c r="S158" s="359">
        <f t="shared" ca="1" si="32"/>
        <v>110</v>
      </c>
    </row>
    <row r="159" spans="1:19" ht="13.5">
      <c r="A159" s="2938">
        <v>2508</v>
      </c>
      <c r="B159" s="715">
        <f>面积!B138</f>
        <v>45.77</v>
      </c>
      <c r="C159" s="24">
        <f t="shared" si="33"/>
        <v>1.02</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v>25</v>
      </c>
      <c r="Q159" s="24">
        <f t="shared" si="40"/>
        <v>1.0439999999999998</v>
      </c>
      <c r="R159" s="713">
        <f t="shared" ca="1" si="41"/>
        <v>23941</v>
      </c>
      <c r="S159" s="359">
        <f t="shared" ca="1" si="32"/>
        <v>110</v>
      </c>
    </row>
    <row r="160" spans="1:19" ht="13.5">
      <c r="A160" s="2938">
        <v>2511</v>
      </c>
      <c r="B160" s="715">
        <f>面积!B139</f>
        <v>197.36</v>
      </c>
      <c r="C160" s="24">
        <f t="shared" si="33"/>
        <v>0.96</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v>25</v>
      </c>
      <c r="Q160" s="24">
        <f t="shared" si="40"/>
        <v>1.0439999999999998</v>
      </c>
      <c r="R160" s="713">
        <f t="shared" ca="1" si="41"/>
        <v>22532</v>
      </c>
      <c r="S160" s="359">
        <f t="shared" ca="1" si="32"/>
        <v>445</v>
      </c>
    </row>
    <row r="161" spans="1:19" ht="13.5">
      <c r="A161" s="2938">
        <v>2512</v>
      </c>
      <c r="B161" s="715">
        <f>面积!B140</f>
        <v>241.17</v>
      </c>
      <c r="C161" s="24">
        <f t="shared" si="33"/>
        <v>0.96</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v>25</v>
      </c>
      <c r="Q161" s="24">
        <f t="shared" si="40"/>
        <v>1.0439999999999998</v>
      </c>
      <c r="R161" s="713">
        <f t="shared" ca="1" si="41"/>
        <v>22532</v>
      </c>
      <c r="S161" s="359">
        <f t="shared" ca="1" si="32"/>
        <v>543</v>
      </c>
    </row>
    <row r="162" spans="1:19" ht="13.5">
      <c r="A162" s="2938">
        <v>2513</v>
      </c>
      <c r="B162" s="715">
        <f>面积!B141</f>
        <v>241.48</v>
      </c>
      <c r="C162" s="24">
        <f t="shared" si="33"/>
        <v>0.96</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v>25</v>
      </c>
      <c r="Q162" s="24">
        <f t="shared" si="40"/>
        <v>1.0439999999999998</v>
      </c>
      <c r="R162" s="713">
        <f t="shared" ca="1" si="41"/>
        <v>22532</v>
      </c>
      <c r="S162" s="359">
        <f t="shared" ca="1" si="32"/>
        <v>544</v>
      </c>
    </row>
    <row r="163" spans="1:19" ht="13.5">
      <c r="A163" s="2938">
        <v>2514</v>
      </c>
      <c r="B163" s="715">
        <f>面积!B142</f>
        <v>196.29</v>
      </c>
      <c r="C163" s="24">
        <f t="shared" si="33"/>
        <v>0.96</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v>25</v>
      </c>
      <c r="Q163" s="24">
        <f t="shared" si="40"/>
        <v>1.0439999999999998</v>
      </c>
      <c r="R163" s="713">
        <f t="shared" ca="1" si="41"/>
        <v>22532</v>
      </c>
      <c r="S163" s="359">
        <f t="shared" ca="1" si="32"/>
        <v>442</v>
      </c>
    </row>
    <row r="164" spans="1:19" ht="13.5">
      <c r="A164" s="2938">
        <v>2609</v>
      </c>
      <c r="B164" s="715">
        <f>面积!B143</f>
        <v>198.42</v>
      </c>
      <c r="C164" s="24">
        <f t="shared" si="33"/>
        <v>0.96</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v>26</v>
      </c>
      <c r="Q164" s="24">
        <f t="shared" si="40"/>
        <v>1.046</v>
      </c>
      <c r="R164" s="713">
        <f t="shared" ca="1" si="41"/>
        <v>22576</v>
      </c>
      <c r="S164" s="359">
        <f t="shared" ca="1" si="32"/>
        <v>448</v>
      </c>
    </row>
    <row r="165" spans="1:19" ht="13.5">
      <c r="A165" s="2938">
        <v>2610</v>
      </c>
      <c r="B165" s="715">
        <f>面积!B144</f>
        <v>267.61</v>
      </c>
      <c r="C165" s="24">
        <f t="shared" si="33"/>
        <v>0.94</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v>26</v>
      </c>
      <c r="Q165" s="24">
        <f t="shared" si="40"/>
        <v>1.046</v>
      </c>
      <c r="R165" s="713">
        <f t="shared" ca="1" si="41"/>
        <v>22105</v>
      </c>
      <c r="S165" s="359">
        <f t="shared" ca="1" si="32"/>
        <v>592</v>
      </c>
    </row>
    <row r="166" spans="1:19" ht="13.5">
      <c r="A166" s="2938">
        <v>2611</v>
      </c>
      <c r="B166" s="715">
        <f>面积!B145</f>
        <v>267.92</v>
      </c>
      <c r="C166" s="24">
        <f t="shared" si="33"/>
        <v>0.94</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v>26</v>
      </c>
      <c r="Q166" s="24">
        <f t="shared" si="40"/>
        <v>1.046</v>
      </c>
      <c r="R166" s="713">
        <f t="shared" ca="1" si="41"/>
        <v>22105</v>
      </c>
      <c r="S166" s="359">
        <f t="shared" ca="1" si="32"/>
        <v>592</v>
      </c>
    </row>
    <row r="167" spans="1:19" ht="13.5">
      <c r="A167" s="2938">
        <v>2612</v>
      </c>
      <c r="B167" s="715">
        <f>面积!B146</f>
        <v>197.35</v>
      </c>
      <c r="C167" s="24">
        <f t="shared" si="33"/>
        <v>0.96</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v>26</v>
      </c>
      <c r="Q167" s="24">
        <f t="shared" si="40"/>
        <v>1.046</v>
      </c>
      <c r="R167" s="713">
        <f t="shared" ca="1" si="41"/>
        <v>22576</v>
      </c>
      <c r="S167" s="359">
        <f t="shared" ca="1" si="32"/>
        <v>446</v>
      </c>
    </row>
    <row r="168" spans="1:19" ht="13.5">
      <c r="A168" s="2938">
        <v>2703</v>
      </c>
      <c r="B168" s="715">
        <f>面积!B147</f>
        <v>117.93</v>
      </c>
      <c r="C168" s="24">
        <f t="shared" si="33"/>
        <v>0.98</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v>27</v>
      </c>
      <c r="Q168" s="24">
        <f t="shared" si="40"/>
        <v>1.048</v>
      </c>
      <c r="R168" s="713">
        <f t="shared" ca="1" si="41"/>
        <v>23090</v>
      </c>
      <c r="S168" s="359">
        <f t="shared" ca="1" si="32"/>
        <v>272</v>
      </c>
    </row>
    <row r="169" spans="1:19" ht="13.5">
      <c r="A169" s="2938">
        <v>2704</v>
      </c>
      <c r="B169" s="715">
        <f>面积!B148</f>
        <v>118.24</v>
      </c>
      <c r="C169" s="24">
        <f t="shared" si="33"/>
        <v>0.98</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v>27</v>
      </c>
      <c r="Q169" s="24">
        <f t="shared" si="40"/>
        <v>1.048</v>
      </c>
      <c r="R169" s="713">
        <f t="shared" ca="1" si="41"/>
        <v>23090</v>
      </c>
      <c r="S169" s="359">
        <f t="shared" ca="1" si="32"/>
        <v>273</v>
      </c>
    </row>
    <row r="170" spans="1:19" ht="13.5">
      <c r="A170" s="2938">
        <v>2707</v>
      </c>
      <c r="B170" s="715">
        <f>面积!B149</f>
        <v>195.24</v>
      </c>
      <c r="C170" s="24">
        <f t="shared" si="33"/>
        <v>0.96</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v>27</v>
      </c>
      <c r="Q170" s="24">
        <f t="shared" si="40"/>
        <v>1.048</v>
      </c>
      <c r="R170" s="713">
        <f t="shared" ca="1" si="41"/>
        <v>22619</v>
      </c>
      <c r="S170" s="359">
        <f t="shared" ca="1" si="32"/>
        <v>442</v>
      </c>
    </row>
    <row r="171" spans="1:19" ht="13.5">
      <c r="A171" s="2938">
        <v>2708</v>
      </c>
      <c r="B171" s="715">
        <f>面积!B150</f>
        <v>194.7</v>
      </c>
      <c r="C171" s="24">
        <f t="shared" si="33"/>
        <v>0.96</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v>27</v>
      </c>
      <c r="Q171" s="24">
        <f t="shared" si="40"/>
        <v>1.048</v>
      </c>
      <c r="R171" s="713">
        <f t="shared" ca="1" si="41"/>
        <v>22619</v>
      </c>
      <c r="S171" s="359">
        <f t="shared" ca="1" si="32"/>
        <v>440</v>
      </c>
    </row>
    <row r="172" spans="1:19" ht="13.5">
      <c r="A172" s="2938">
        <v>2803</v>
      </c>
      <c r="B172" s="715">
        <f>面积!B151</f>
        <v>117.93</v>
      </c>
      <c r="C172" s="24">
        <f t="shared" si="33"/>
        <v>0.98</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v>28</v>
      </c>
      <c r="Q172" s="24">
        <f t="shared" si="40"/>
        <v>1.05</v>
      </c>
      <c r="R172" s="713">
        <f t="shared" ca="1" si="41"/>
        <v>23134</v>
      </c>
      <c r="S172" s="359">
        <f t="shared" ca="1" si="32"/>
        <v>273</v>
      </c>
    </row>
    <row r="173" spans="1:19" ht="13.5">
      <c r="A173" s="2938">
        <v>2804</v>
      </c>
      <c r="B173" s="715">
        <f>面积!B152</f>
        <v>118.24</v>
      </c>
      <c r="C173" s="24">
        <f t="shared" si="33"/>
        <v>0.98</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v>28</v>
      </c>
      <c r="Q173" s="24">
        <f t="shared" si="40"/>
        <v>1.05</v>
      </c>
      <c r="R173" s="713">
        <f t="shared" ca="1" si="41"/>
        <v>23134</v>
      </c>
      <c r="S173" s="359">
        <f t="shared" ca="1" si="32"/>
        <v>274</v>
      </c>
    </row>
    <row r="174" spans="1:19" ht="13.5">
      <c r="A174" s="2938">
        <v>2807</v>
      </c>
      <c r="B174" s="715">
        <f>面积!B153</f>
        <v>195.24</v>
      </c>
      <c r="C174" s="24">
        <f t="shared" si="33"/>
        <v>0.96</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v>28</v>
      </c>
      <c r="Q174" s="24">
        <f t="shared" si="40"/>
        <v>1.05</v>
      </c>
      <c r="R174" s="713">
        <f t="shared" ca="1" si="41"/>
        <v>22662</v>
      </c>
      <c r="S174" s="359">
        <f t="shared" ca="1" si="32"/>
        <v>442</v>
      </c>
    </row>
    <row r="175" spans="1:19" ht="13.5">
      <c r="A175" s="2938">
        <v>2808</v>
      </c>
      <c r="B175" s="715">
        <f>面积!B154</f>
        <v>194.7</v>
      </c>
      <c r="C175" s="24">
        <f t="shared" si="33"/>
        <v>0.96</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v>28</v>
      </c>
      <c r="Q175" s="24">
        <f t="shared" si="40"/>
        <v>1.05</v>
      </c>
      <c r="R175" s="713">
        <f t="shared" ca="1" si="41"/>
        <v>22662</v>
      </c>
      <c r="S175" s="359">
        <f t="shared" ca="1" si="32"/>
        <v>441</v>
      </c>
    </row>
    <row r="176" spans="1:19" ht="13.5">
      <c r="A176" s="293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-4.0000000000000565E-3</v>
      </c>
      <c r="R176" s="713">
        <f t="shared" si="41"/>
        <v>0</v>
      </c>
      <c r="S176" s="359">
        <f t="shared" si="32"/>
        <v>0</v>
      </c>
    </row>
    <row r="177" spans="1:19" ht="13.5">
      <c r="A177" s="293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-4.0000000000000565E-3</v>
      </c>
      <c r="R177" s="713">
        <f t="shared" si="41"/>
        <v>0</v>
      </c>
      <c r="S177" s="359">
        <f t="shared" si="32"/>
        <v>0</v>
      </c>
    </row>
    <row r="178" spans="1:19">
      <c r="A178" s="157"/>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-4.0000000000000565E-3</v>
      </c>
      <c r="R178" s="713">
        <f t="shared" si="41"/>
        <v>0</v>
      </c>
      <c r="S178" s="359">
        <f t="shared" si="32"/>
        <v>0</v>
      </c>
    </row>
    <row r="179" spans="1:19">
      <c r="A179" s="157"/>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-4.0000000000000565E-3</v>
      </c>
      <c r="R179" s="713">
        <f t="shared" si="41"/>
        <v>0</v>
      </c>
      <c r="S179" s="359">
        <f t="shared" si="32"/>
        <v>0</v>
      </c>
    </row>
    <row r="180" spans="1:19">
      <c r="A180" s="157"/>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-4.0000000000000565E-3</v>
      </c>
      <c r="R180" s="713">
        <f t="shared" si="41"/>
        <v>0</v>
      </c>
      <c r="S180" s="359">
        <f t="shared" si="32"/>
        <v>0</v>
      </c>
    </row>
    <row r="181" spans="1:19">
      <c r="A181" s="157"/>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-4.0000000000000565E-3</v>
      </c>
      <c r="R181" s="713">
        <f t="shared" si="41"/>
        <v>0</v>
      </c>
      <c r="S181" s="359">
        <f t="shared" si="32"/>
        <v>0</v>
      </c>
    </row>
    <row r="182" spans="1:19">
      <c r="A182" s="157"/>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-4.0000000000000565E-3</v>
      </c>
      <c r="R182" s="713">
        <f t="shared" si="41"/>
        <v>0</v>
      </c>
      <c r="S182" s="359">
        <f t="shared" si="32"/>
        <v>0</v>
      </c>
    </row>
    <row r="183" spans="1:19">
      <c r="A183" s="157"/>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-4.0000000000000565E-3</v>
      </c>
      <c r="R183" s="713">
        <f t="shared" si="41"/>
        <v>0</v>
      </c>
      <c r="S183" s="359">
        <f t="shared" si="32"/>
        <v>0</v>
      </c>
    </row>
    <row r="184" spans="1:19">
      <c r="A184" s="157"/>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-4.0000000000000565E-3</v>
      </c>
      <c r="R184" s="713">
        <f t="shared" si="41"/>
        <v>0</v>
      </c>
      <c r="S184" s="359">
        <f t="shared" si="32"/>
        <v>0</v>
      </c>
    </row>
    <row r="185" spans="1:19">
      <c r="A185" s="157"/>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-4.0000000000000565E-3</v>
      </c>
      <c r="R185" s="713">
        <f t="shared" si="41"/>
        <v>0</v>
      </c>
      <c r="S185" s="359">
        <f t="shared" si="32"/>
        <v>0</v>
      </c>
    </row>
    <row r="186" spans="1:19">
      <c r="A186" s="157"/>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-4.0000000000000565E-3</v>
      </c>
      <c r="R186" s="713">
        <f t="shared" si="41"/>
        <v>0</v>
      </c>
      <c r="S186" s="359">
        <f t="shared" si="32"/>
        <v>0</v>
      </c>
    </row>
    <row r="187" spans="1:19">
      <c r="A187" s="157"/>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-4.0000000000000565E-3</v>
      </c>
      <c r="R187" s="713">
        <f t="shared" si="41"/>
        <v>0</v>
      </c>
      <c r="S187" s="359">
        <f t="shared" ref="S187:S222" si="42">ROUND(R187*B187/10000,0)</f>
        <v>0</v>
      </c>
    </row>
    <row r="188" spans="1:19">
      <c r="A188" s="157"/>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-4.0000000000000565E-3</v>
      </c>
      <c r="R188" s="713">
        <f t="shared" si="41"/>
        <v>0</v>
      </c>
      <c r="S188" s="359">
        <f t="shared" si="42"/>
        <v>0</v>
      </c>
    </row>
    <row r="189" spans="1:19">
      <c r="A189" s="157"/>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-4.0000000000000565E-3</v>
      </c>
      <c r="R189" s="713">
        <f t="shared" si="41"/>
        <v>0</v>
      </c>
      <c r="S189" s="359">
        <f t="shared" si="42"/>
        <v>0</v>
      </c>
    </row>
    <row r="190" spans="1:19">
      <c r="A190" s="157"/>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-4.0000000000000565E-3</v>
      </c>
      <c r="R190" s="713">
        <f t="shared" si="41"/>
        <v>0</v>
      </c>
      <c r="S190" s="359">
        <f t="shared" si="42"/>
        <v>0</v>
      </c>
    </row>
    <row r="191" spans="1:19">
      <c r="A191" s="157"/>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-4.0000000000000565E-3</v>
      </c>
      <c r="R191" s="713">
        <f t="shared" si="41"/>
        <v>0</v>
      </c>
      <c r="S191" s="359">
        <f t="shared" si="42"/>
        <v>0</v>
      </c>
    </row>
    <row r="192" spans="1:19">
      <c r="A192" s="157"/>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-4.0000000000000565E-3</v>
      </c>
      <c r="R192" s="713">
        <f t="shared" si="41"/>
        <v>0</v>
      </c>
      <c r="S192" s="359">
        <f t="shared" si="42"/>
        <v>0</v>
      </c>
    </row>
    <row r="193" spans="1:19">
      <c r="A193" s="157"/>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-4.0000000000000565E-3</v>
      </c>
      <c r="R193" s="713">
        <f t="shared" si="41"/>
        <v>0</v>
      </c>
      <c r="S193" s="359">
        <f t="shared" si="42"/>
        <v>0</v>
      </c>
    </row>
    <row r="194" spans="1:19">
      <c r="A194" s="157"/>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-4.0000000000000565E-3</v>
      </c>
      <c r="R194" s="713">
        <f t="shared" si="41"/>
        <v>0</v>
      </c>
      <c r="S194" s="359">
        <f t="shared" si="42"/>
        <v>0</v>
      </c>
    </row>
    <row r="195" spans="1:19">
      <c r="A195" s="157"/>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-4.0000000000000565E-3</v>
      </c>
      <c r="R195" s="713">
        <f t="shared" si="41"/>
        <v>0</v>
      </c>
      <c r="S195" s="359">
        <f t="shared" si="42"/>
        <v>0</v>
      </c>
    </row>
    <row r="196" spans="1:19">
      <c r="A196" s="157"/>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-4.0000000000000565E-3</v>
      </c>
      <c r="R196" s="713">
        <f t="shared" si="41"/>
        <v>0</v>
      </c>
      <c r="S196" s="359">
        <f t="shared" si="42"/>
        <v>0</v>
      </c>
    </row>
    <row r="197" spans="1:19">
      <c r="A197" s="157"/>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-4.0000000000000565E-3</v>
      </c>
      <c r="R197" s="713">
        <f t="shared" si="41"/>
        <v>0</v>
      </c>
      <c r="S197" s="359">
        <f t="shared" si="42"/>
        <v>0</v>
      </c>
    </row>
    <row r="198" spans="1:19">
      <c r="A198" s="157"/>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-4.0000000000000565E-3</v>
      </c>
      <c r="R198" s="713">
        <f t="shared" si="41"/>
        <v>0</v>
      </c>
      <c r="S198" s="359">
        <f t="shared" si="42"/>
        <v>0</v>
      </c>
    </row>
    <row r="199" spans="1:19">
      <c r="A199" s="157"/>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-4.0000000000000565E-3</v>
      </c>
      <c r="R199" s="713">
        <f t="shared" si="41"/>
        <v>0</v>
      </c>
      <c r="S199" s="359">
        <f t="shared" si="42"/>
        <v>0</v>
      </c>
    </row>
    <row r="200" spans="1:19">
      <c r="A200" s="157"/>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-4.0000000000000565E-3</v>
      </c>
      <c r="R200" s="713">
        <f t="shared" si="41"/>
        <v>0</v>
      </c>
      <c r="S200" s="359">
        <f t="shared" si="42"/>
        <v>0</v>
      </c>
    </row>
    <row r="201" spans="1:19">
      <c r="A201" s="157"/>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-4.0000000000000565E-3</v>
      </c>
      <c r="R201" s="713">
        <f t="shared" si="41"/>
        <v>0</v>
      </c>
      <c r="S201" s="359">
        <f t="shared" si="42"/>
        <v>0</v>
      </c>
    </row>
    <row r="202" spans="1:19">
      <c r="A202" s="157"/>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-4.0000000000000565E-3</v>
      </c>
      <c r="R202" s="713">
        <f t="shared" si="41"/>
        <v>0</v>
      </c>
      <c r="S202" s="359">
        <f t="shared" si="42"/>
        <v>0</v>
      </c>
    </row>
    <row r="203" spans="1:19">
      <c r="A203" s="157"/>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-4.0000000000000565E-3</v>
      </c>
      <c r="R203" s="713">
        <f t="shared" si="41"/>
        <v>0</v>
      </c>
      <c r="S203" s="359">
        <f t="shared" si="42"/>
        <v>0</v>
      </c>
    </row>
    <row r="204" spans="1:19">
      <c r="A204" s="157"/>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-4.0000000000000565E-3</v>
      </c>
      <c r="R204" s="713">
        <f t="shared" si="41"/>
        <v>0</v>
      </c>
      <c r="S204" s="359">
        <f t="shared" si="42"/>
        <v>0</v>
      </c>
    </row>
    <row r="205" spans="1:19">
      <c r="A205" s="157"/>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-4.0000000000000565E-3</v>
      </c>
      <c r="R205" s="713">
        <f t="shared" si="41"/>
        <v>0</v>
      </c>
      <c r="S205" s="359">
        <f t="shared" si="42"/>
        <v>0</v>
      </c>
    </row>
    <row r="206" spans="1:19">
      <c r="A206" s="157"/>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-4.0000000000000565E-3</v>
      </c>
      <c r="R206" s="713">
        <f t="shared" si="41"/>
        <v>0</v>
      </c>
      <c r="S206" s="359">
        <f t="shared" si="42"/>
        <v>0</v>
      </c>
    </row>
    <row r="207" spans="1:19">
      <c r="A207" s="157"/>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-4.0000000000000565E-3</v>
      </c>
      <c r="R207" s="713">
        <f t="shared" si="41"/>
        <v>0</v>
      </c>
      <c r="S207" s="359">
        <f t="shared" si="42"/>
        <v>0</v>
      </c>
    </row>
    <row r="208" spans="1:19">
      <c r="A208" s="157"/>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-4.0000000000000565E-3</v>
      </c>
      <c r="R208" s="713">
        <f t="shared" si="41"/>
        <v>0</v>
      </c>
      <c r="S208" s="359">
        <f t="shared" si="42"/>
        <v>0</v>
      </c>
    </row>
    <row r="209" spans="1:19">
      <c r="A209" s="157"/>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-4.0000000000000565E-3</v>
      </c>
      <c r="R209" s="713">
        <f t="shared" si="41"/>
        <v>0</v>
      </c>
      <c r="S209" s="359">
        <f t="shared" si="42"/>
        <v>0</v>
      </c>
    </row>
    <row r="210" spans="1:19">
      <c r="A210" s="157"/>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-4.0000000000000565E-3</v>
      </c>
      <c r="R210" s="713">
        <f t="shared" si="41"/>
        <v>0</v>
      </c>
      <c r="S210" s="359">
        <f t="shared" si="42"/>
        <v>0</v>
      </c>
    </row>
    <row r="211" spans="1:19">
      <c r="A211" s="157"/>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-4.0000000000000565E-3</v>
      </c>
      <c r="R211" s="713">
        <f t="shared" si="41"/>
        <v>0</v>
      </c>
      <c r="S211" s="359">
        <f t="shared" si="42"/>
        <v>0</v>
      </c>
    </row>
    <row r="212" spans="1:19">
      <c r="A212" s="157"/>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-4.0000000000000565E-3</v>
      </c>
      <c r="R212" s="713">
        <f t="shared" si="41"/>
        <v>0</v>
      </c>
      <c r="S212" s="359">
        <f t="shared" si="42"/>
        <v>0</v>
      </c>
    </row>
    <row r="213" spans="1:19">
      <c r="A213" s="157"/>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-4.0000000000000565E-3</v>
      </c>
      <c r="R213" s="713">
        <f t="shared" si="41"/>
        <v>0</v>
      </c>
      <c r="S213" s="359">
        <f t="shared" si="42"/>
        <v>0</v>
      </c>
    </row>
    <row r="214" spans="1:19">
      <c r="A214" s="157"/>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-4.0000000000000565E-3</v>
      </c>
      <c r="R214" s="713">
        <f t="shared" si="41"/>
        <v>0</v>
      </c>
      <c r="S214" s="359">
        <f t="shared" si="42"/>
        <v>0</v>
      </c>
    </row>
    <row r="215" spans="1:19">
      <c r="A215" s="157"/>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-4.0000000000000565E-3</v>
      </c>
      <c r="R215" s="713">
        <f t="shared" si="41"/>
        <v>0</v>
      </c>
      <c r="S215" s="359">
        <f t="shared" si="42"/>
        <v>0</v>
      </c>
    </row>
    <row r="216" spans="1:19">
      <c r="A216" s="157"/>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-4.0000000000000565E-3</v>
      </c>
      <c r="R216" s="713">
        <f t="shared" si="41"/>
        <v>0</v>
      </c>
      <c r="S216" s="359">
        <f t="shared" si="42"/>
        <v>0</v>
      </c>
    </row>
    <row r="217" spans="1:19">
      <c r="A217" s="157"/>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-4.0000000000000565E-3</v>
      </c>
      <c r="R217" s="713">
        <f t="shared" si="41"/>
        <v>0</v>
      </c>
      <c r="S217" s="359">
        <f t="shared" si="42"/>
        <v>0</v>
      </c>
    </row>
    <row r="218" spans="1:19">
      <c r="A218" s="157"/>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-4.0000000000000565E-3</v>
      </c>
      <c r="R218" s="713">
        <f t="shared" ref="R218:R281" si="51">IF(B218="",0,ROUND($R$24*C218*E218*G218*I218*K218*M218*O218*Q218,0))</f>
        <v>0</v>
      </c>
      <c r="S218" s="359">
        <f t="shared" si="42"/>
        <v>0</v>
      </c>
    </row>
    <row r="219" spans="1:19">
      <c r="A219" s="157"/>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-4.0000000000000565E-3</v>
      </c>
      <c r="R219" s="713">
        <f t="shared" si="51"/>
        <v>0</v>
      </c>
      <c r="S219" s="359">
        <f t="shared" si="42"/>
        <v>0</v>
      </c>
    </row>
    <row r="220" spans="1:19">
      <c r="A220" s="157"/>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-4.0000000000000565E-3</v>
      </c>
      <c r="R220" s="713">
        <f t="shared" si="51"/>
        <v>0</v>
      </c>
      <c r="S220" s="359">
        <f t="shared" si="42"/>
        <v>0</v>
      </c>
    </row>
    <row r="221" spans="1:19">
      <c r="A221" s="157"/>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-4.0000000000000565E-3</v>
      </c>
      <c r="R221" s="713">
        <f t="shared" si="51"/>
        <v>0</v>
      </c>
      <c r="S221" s="359">
        <f t="shared" si="42"/>
        <v>0</v>
      </c>
    </row>
    <row r="222" spans="1:19">
      <c r="A222" s="157"/>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-4.0000000000000565E-3</v>
      </c>
      <c r="R222" s="713">
        <f t="shared" si="51"/>
        <v>0</v>
      </c>
      <c r="S222" s="359">
        <f t="shared" si="42"/>
        <v>0</v>
      </c>
    </row>
    <row r="223" spans="1:19">
      <c r="A223" s="157"/>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-4.0000000000000565E-3</v>
      </c>
      <c r="R223" s="713">
        <f t="shared" si="51"/>
        <v>0</v>
      </c>
      <c r="S223" s="359">
        <f t="shared" ref="S223:S286" si="52">ROUND(R223*B223/10000,0)</f>
        <v>0</v>
      </c>
    </row>
    <row r="224" spans="1:19">
      <c r="A224" s="157"/>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-4.0000000000000565E-3</v>
      </c>
      <c r="R224" s="713">
        <f t="shared" si="51"/>
        <v>0</v>
      </c>
      <c r="S224" s="359">
        <f t="shared" si="52"/>
        <v>0</v>
      </c>
    </row>
    <row r="225" spans="1:19">
      <c r="A225" s="157"/>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-4.0000000000000565E-3</v>
      </c>
      <c r="R225" s="713">
        <f t="shared" si="51"/>
        <v>0</v>
      </c>
      <c r="S225" s="359">
        <f t="shared" si="52"/>
        <v>0</v>
      </c>
    </row>
    <row r="226" spans="1:19">
      <c r="A226" s="157"/>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-4.0000000000000565E-3</v>
      </c>
      <c r="R226" s="713">
        <f t="shared" si="51"/>
        <v>0</v>
      </c>
      <c r="S226" s="359">
        <f t="shared" si="52"/>
        <v>0</v>
      </c>
    </row>
    <row r="227" spans="1:19">
      <c r="A227" s="157"/>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-4.0000000000000565E-3</v>
      </c>
      <c r="R227" s="713">
        <f t="shared" si="51"/>
        <v>0</v>
      </c>
      <c r="S227" s="359">
        <f t="shared" si="52"/>
        <v>0</v>
      </c>
    </row>
    <row r="228" spans="1:19">
      <c r="A228" s="157"/>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-4.0000000000000565E-3</v>
      </c>
      <c r="R228" s="713">
        <f t="shared" si="51"/>
        <v>0</v>
      </c>
      <c r="S228" s="359">
        <f t="shared" si="52"/>
        <v>0</v>
      </c>
    </row>
    <row r="229" spans="1:19">
      <c r="A229" s="157"/>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-4.0000000000000565E-3</v>
      </c>
      <c r="R229" s="713">
        <f t="shared" si="51"/>
        <v>0</v>
      </c>
      <c r="S229" s="359">
        <f t="shared" si="52"/>
        <v>0</v>
      </c>
    </row>
    <row r="230" spans="1:19">
      <c r="A230" s="157"/>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-4.0000000000000565E-3</v>
      </c>
      <c r="R230" s="713">
        <f t="shared" si="51"/>
        <v>0</v>
      </c>
      <c r="S230" s="359">
        <f t="shared" si="52"/>
        <v>0</v>
      </c>
    </row>
    <row r="231" spans="1:19">
      <c r="A231" s="157"/>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-4.0000000000000565E-3</v>
      </c>
      <c r="R231" s="713">
        <f t="shared" si="51"/>
        <v>0</v>
      </c>
      <c r="S231" s="359">
        <f t="shared" si="52"/>
        <v>0</v>
      </c>
    </row>
    <row r="232" spans="1:19">
      <c r="A232" s="157"/>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-4.0000000000000565E-3</v>
      </c>
      <c r="R232" s="713">
        <f t="shared" si="51"/>
        <v>0</v>
      </c>
      <c r="S232" s="359">
        <f t="shared" si="52"/>
        <v>0</v>
      </c>
    </row>
    <row r="233" spans="1:19">
      <c r="A233" s="157"/>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-4.0000000000000565E-3</v>
      </c>
      <c r="R233" s="713">
        <f t="shared" si="51"/>
        <v>0</v>
      </c>
      <c r="S233" s="359">
        <f t="shared" si="52"/>
        <v>0</v>
      </c>
    </row>
    <row r="234" spans="1:19">
      <c r="A234" s="157"/>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-4.0000000000000565E-3</v>
      </c>
      <c r="R234" s="713">
        <f t="shared" si="51"/>
        <v>0</v>
      </c>
      <c r="S234" s="359">
        <f t="shared" si="52"/>
        <v>0</v>
      </c>
    </row>
    <row r="235" spans="1:19">
      <c r="A235" s="157"/>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-4.0000000000000565E-3</v>
      </c>
      <c r="R235" s="713">
        <f t="shared" si="51"/>
        <v>0</v>
      </c>
      <c r="S235" s="359">
        <f t="shared" si="52"/>
        <v>0</v>
      </c>
    </row>
    <row r="236" spans="1:19">
      <c r="A236" s="157"/>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-4.0000000000000565E-3</v>
      </c>
      <c r="R236" s="713">
        <f t="shared" si="51"/>
        <v>0</v>
      </c>
      <c r="S236" s="359">
        <f t="shared" si="52"/>
        <v>0</v>
      </c>
    </row>
    <row r="237" spans="1:19">
      <c r="A237" s="157"/>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-4.0000000000000565E-3</v>
      </c>
      <c r="R237" s="713">
        <f t="shared" si="51"/>
        <v>0</v>
      </c>
      <c r="S237" s="359">
        <f t="shared" si="52"/>
        <v>0</v>
      </c>
    </row>
    <row r="238" spans="1:19">
      <c r="A238" s="157"/>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-4.0000000000000565E-3</v>
      </c>
      <c r="R238" s="713">
        <f t="shared" si="51"/>
        <v>0</v>
      </c>
      <c r="S238" s="359">
        <f t="shared" si="52"/>
        <v>0</v>
      </c>
    </row>
    <row r="239" spans="1:19">
      <c r="A239" s="157"/>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-4.0000000000000565E-3</v>
      </c>
      <c r="R239" s="713">
        <f t="shared" si="51"/>
        <v>0</v>
      </c>
      <c r="S239" s="359">
        <f t="shared" si="52"/>
        <v>0</v>
      </c>
    </row>
    <row r="240" spans="1:19">
      <c r="A240" s="157"/>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-4.0000000000000565E-3</v>
      </c>
      <c r="R240" s="713">
        <f t="shared" si="51"/>
        <v>0</v>
      </c>
      <c r="S240" s="359">
        <f t="shared" si="52"/>
        <v>0</v>
      </c>
    </row>
    <row r="241" spans="1:19">
      <c r="A241" s="157"/>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-4.0000000000000565E-3</v>
      </c>
      <c r="R241" s="713">
        <f t="shared" si="51"/>
        <v>0</v>
      </c>
      <c r="S241" s="359">
        <f t="shared" si="52"/>
        <v>0</v>
      </c>
    </row>
    <row r="242" spans="1:19">
      <c r="A242" s="157"/>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-4.0000000000000565E-3</v>
      </c>
      <c r="R242" s="713">
        <f t="shared" si="51"/>
        <v>0</v>
      </c>
      <c r="S242" s="359">
        <f t="shared" si="52"/>
        <v>0</v>
      </c>
    </row>
    <row r="243" spans="1:19">
      <c r="A243" s="157"/>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-4.0000000000000565E-3</v>
      </c>
      <c r="R243" s="713">
        <f t="shared" si="51"/>
        <v>0</v>
      </c>
      <c r="S243" s="359">
        <f t="shared" si="52"/>
        <v>0</v>
      </c>
    </row>
    <row r="244" spans="1:19">
      <c r="A244" s="157"/>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-4.0000000000000565E-3</v>
      </c>
      <c r="R244" s="713">
        <f t="shared" si="51"/>
        <v>0</v>
      </c>
      <c r="S244" s="359">
        <f t="shared" si="52"/>
        <v>0</v>
      </c>
    </row>
    <row r="245" spans="1:19">
      <c r="A245" s="157"/>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-4.0000000000000565E-3</v>
      </c>
      <c r="R245" s="713">
        <f t="shared" si="51"/>
        <v>0</v>
      </c>
      <c r="S245" s="359">
        <f t="shared" si="52"/>
        <v>0</v>
      </c>
    </row>
    <row r="246" spans="1:19">
      <c r="A246" s="157"/>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-4.0000000000000565E-3</v>
      </c>
      <c r="R246" s="713">
        <f t="shared" si="51"/>
        <v>0</v>
      </c>
      <c r="S246" s="359">
        <f t="shared" si="52"/>
        <v>0</v>
      </c>
    </row>
    <row r="247" spans="1:19">
      <c r="A247" s="157"/>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-4.0000000000000565E-3</v>
      </c>
      <c r="R247" s="713">
        <f t="shared" si="51"/>
        <v>0</v>
      </c>
      <c r="S247" s="359">
        <f t="shared" si="52"/>
        <v>0</v>
      </c>
    </row>
    <row r="248" spans="1:19">
      <c r="A248" s="157"/>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-4.0000000000000565E-3</v>
      </c>
      <c r="R248" s="713">
        <f t="shared" si="51"/>
        <v>0</v>
      </c>
      <c r="S248" s="359">
        <f t="shared" si="52"/>
        <v>0</v>
      </c>
    </row>
    <row r="249" spans="1:19">
      <c r="A249" s="157"/>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-4.0000000000000565E-3</v>
      </c>
      <c r="R249" s="713">
        <f t="shared" si="51"/>
        <v>0</v>
      </c>
      <c r="S249" s="359">
        <f t="shared" si="52"/>
        <v>0</v>
      </c>
    </row>
    <row r="250" spans="1:19">
      <c r="A250" s="157"/>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-4.0000000000000565E-3</v>
      </c>
      <c r="R250" s="713">
        <f t="shared" si="51"/>
        <v>0</v>
      </c>
      <c r="S250" s="359">
        <f t="shared" si="52"/>
        <v>0</v>
      </c>
    </row>
    <row r="251" spans="1:19">
      <c r="A251" s="157"/>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-4.0000000000000565E-3</v>
      </c>
      <c r="R251" s="713">
        <f t="shared" si="51"/>
        <v>0</v>
      </c>
      <c r="S251" s="359">
        <f t="shared" si="52"/>
        <v>0</v>
      </c>
    </row>
    <row r="252" spans="1:19">
      <c r="A252" s="157"/>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-4.0000000000000565E-3</v>
      </c>
      <c r="R252" s="713">
        <f t="shared" si="51"/>
        <v>0</v>
      </c>
      <c r="S252" s="359">
        <f t="shared" si="52"/>
        <v>0</v>
      </c>
    </row>
    <row r="253" spans="1:19">
      <c r="A253" s="157"/>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-4.0000000000000565E-3</v>
      </c>
      <c r="R253" s="713">
        <f t="shared" si="51"/>
        <v>0</v>
      </c>
      <c r="S253" s="359">
        <f t="shared" si="52"/>
        <v>0</v>
      </c>
    </row>
    <row r="254" spans="1:19">
      <c r="A254" s="157"/>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-4.0000000000000565E-3</v>
      </c>
      <c r="R254" s="713">
        <f t="shared" si="51"/>
        <v>0</v>
      </c>
      <c r="S254" s="359">
        <f t="shared" si="52"/>
        <v>0</v>
      </c>
    </row>
    <row r="255" spans="1:19">
      <c r="A255" s="157"/>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-4.0000000000000565E-3</v>
      </c>
      <c r="R255" s="713">
        <f t="shared" si="51"/>
        <v>0</v>
      </c>
      <c r="S255" s="359">
        <f t="shared" si="52"/>
        <v>0</v>
      </c>
    </row>
    <row r="256" spans="1:19">
      <c r="A256" s="157"/>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-4.0000000000000565E-3</v>
      </c>
      <c r="R256" s="713">
        <f t="shared" si="51"/>
        <v>0</v>
      </c>
      <c r="S256" s="359">
        <f t="shared" si="52"/>
        <v>0</v>
      </c>
    </row>
    <row r="257" spans="1:19">
      <c r="A257" s="157"/>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-4.0000000000000565E-3</v>
      </c>
      <c r="R257" s="713">
        <f t="shared" si="51"/>
        <v>0</v>
      </c>
      <c r="S257" s="359">
        <f t="shared" si="52"/>
        <v>0</v>
      </c>
    </row>
    <row r="258" spans="1:19">
      <c r="A258" s="157"/>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-4.0000000000000565E-3</v>
      </c>
      <c r="R258" s="713">
        <f t="shared" si="51"/>
        <v>0</v>
      </c>
      <c r="S258" s="359">
        <f t="shared" si="52"/>
        <v>0</v>
      </c>
    </row>
    <row r="259" spans="1:19">
      <c r="A259" s="157"/>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-4.0000000000000565E-3</v>
      </c>
      <c r="R259" s="713">
        <f t="shared" si="51"/>
        <v>0</v>
      </c>
      <c r="S259" s="359">
        <f t="shared" si="52"/>
        <v>0</v>
      </c>
    </row>
    <row r="260" spans="1:19">
      <c r="A260" s="157"/>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-4.0000000000000565E-3</v>
      </c>
      <c r="R260" s="713">
        <f t="shared" si="51"/>
        <v>0</v>
      </c>
      <c r="S260" s="359">
        <f t="shared" si="52"/>
        <v>0</v>
      </c>
    </row>
    <row r="261" spans="1:19">
      <c r="A261" s="157"/>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-4.0000000000000565E-3</v>
      </c>
      <c r="R261" s="713">
        <f t="shared" si="51"/>
        <v>0</v>
      </c>
      <c r="S261" s="359">
        <f t="shared" si="52"/>
        <v>0</v>
      </c>
    </row>
    <row r="262" spans="1:19">
      <c r="A262" s="157"/>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-4.0000000000000565E-3</v>
      </c>
      <c r="R262" s="713">
        <f t="shared" si="51"/>
        <v>0</v>
      </c>
      <c r="S262" s="359">
        <f t="shared" si="52"/>
        <v>0</v>
      </c>
    </row>
    <row r="263" spans="1:19">
      <c r="A263" s="157"/>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-4.0000000000000565E-3</v>
      </c>
      <c r="R263" s="713">
        <f t="shared" si="51"/>
        <v>0</v>
      </c>
      <c r="S263" s="359">
        <f t="shared" si="52"/>
        <v>0</v>
      </c>
    </row>
    <row r="264" spans="1:19">
      <c r="A264" s="157"/>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-4.0000000000000565E-3</v>
      </c>
      <c r="R264" s="713">
        <f t="shared" si="51"/>
        <v>0</v>
      </c>
      <c r="S264" s="359">
        <f t="shared" si="52"/>
        <v>0</v>
      </c>
    </row>
    <row r="265" spans="1:19">
      <c r="A265" s="157"/>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-4.0000000000000565E-3</v>
      </c>
      <c r="R265" s="713">
        <f t="shared" si="51"/>
        <v>0</v>
      </c>
      <c r="S265" s="359">
        <f t="shared" si="52"/>
        <v>0</v>
      </c>
    </row>
    <row r="266" spans="1:19">
      <c r="A266" s="157"/>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-4.0000000000000565E-3</v>
      </c>
      <c r="R266" s="713">
        <f t="shared" si="51"/>
        <v>0</v>
      </c>
      <c r="S266" s="359">
        <f t="shared" si="52"/>
        <v>0</v>
      </c>
    </row>
    <row r="267" spans="1:19">
      <c r="A267" s="157"/>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-4.0000000000000565E-3</v>
      </c>
      <c r="R267" s="713">
        <f t="shared" si="51"/>
        <v>0</v>
      </c>
      <c r="S267" s="359">
        <f t="shared" si="52"/>
        <v>0</v>
      </c>
    </row>
    <row r="268" spans="1:19">
      <c r="A268" s="157"/>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-4.0000000000000565E-3</v>
      </c>
      <c r="R268" s="713">
        <f t="shared" si="51"/>
        <v>0</v>
      </c>
      <c r="S268" s="359">
        <f t="shared" si="52"/>
        <v>0</v>
      </c>
    </row>
    <row r="269" spans="1:19">
      <c r="A269" s="157"/>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-4.0000000000000565E-3</v>
      </c>
      <c r="R269" s="713">
        <f t="shared" si="51"/>
        <v>0</v>
      </c>
      <c r="S269" s="359">
        <f t="shared" si="52"/>
        <v>0</v>
      </c>
    </row>
    <row r="270" spans="1:19">
      <c r="A270" s="157"/>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-4.0000000000000565E-3</v>
      </c>
      <c r="R270" s="713">
        <f t="shared" si="51"/>
        <v>0</v>
      </c>
      <c r="S270" s="359">
        <f t="shared" si="52"/>
        <v>0</v>
      </c>
    </row>
    <row r="271" spans="1:19">
      <c r="A271" s="157"/>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-4.0000000000000565E-3</v>
      </c>
      <c r="R271" s="713">
        <f t="shared" si="51"/>
        <v>0</v>
      </c>
      <c r="S271" s="359">
        <f t="shared" si="52"/>
        <v>0</v>
      </c>
    </row>
    <row r="272" spans="1:19">
      <c r="A272" s="157"/>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-4.0000000000000565E-3</v>
      </c>
      <c r="R272" s="713">
        <f t="shared" si="51"/>
        <v>0</v>
      </c>
      <c r="S272" s="359">
        <f t="shared" si="52"/>
        <v>0</v>
      </c>
    </row>
    <row r="273" spans="1:19">
      <c r="A273" s="157"/>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-4.0000000000000565E-3</v>
      </c>
      <c r="R273" s="713">
        <f t="shared" si="51"/>
        <v>0</v>
      </c>
      <c r="S273" s="359">
        <f t="shared" si="52"/>
        <v>0</v>
      </c>
    </row>
    <row r="274" spans="1:19">
      <c r="A274" s="157"/>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-4.0000000000000565E-3</v>
      </c>
      <c r="R274" s="713">
        <f t="shared" si="51"/>
        <v>0</v>
      </c>
      <c r="S274" s="359">
        <f t="shared" si="52"/>
        <v>0</v>
      </c>
    </row>
    <row r="275" spans="1:19">
      <c r="A275" s="157"/>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-4.0000000000000565E-3</v>
      </c>
      <c r="R275" s="713">
        <f t="shared" si="51"/>
        <v>0</v>
      </c>
      <c r="S275" s="359">
        <f t="shared" si="52"/>
        <v>0</v>
      </c>
    </row>
    <row r="276" spans="1:19">
      <c r="A276" s="157"/>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-4.0000000000000565E-3</v>
      </c>
      <c r="R276" s="713">
        <f t="shared" si="51"/>
        <v>0</v>
      </c>
      <c r="S276" s="359">
        <f t="shared" si="52"/>
        <v>0</v>
      </c>
    </row>
    <row r="277" spans="1:19">
      <c r="A277" s="157"/>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-4.0000000000000565E-3</v>
      </c>
      <c r="R277" s="713">
        <f t="shared" si="51"/>
        <v>0</v>
      </c>
      <c r="S277" s="359">
        <f t="shared" si="52"/>
        <v>0</v>
      </c>
    </row>
    <row r="278" spans="1:19">
      <c r="A278" s="157"/>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-4.0000000000000565E-3</v>
      </c>
      <c r="R278" s="713">
        <f t="shared" si="51"/>
        <v>0</v>
      </c>
      <c r="S278" s="359">
        <f t="shared" si="52"/>
        <v>0</v>
      </c>
    </row>
    <row r="279" spans="1:19">
      <c r="A279" s="157"/>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-4.0000000000000565E-3</v>
      </c>
      <c r="R279" s="713">
        <f t="shared" si="51"/>
        <v>0</v>
      </c>
      <c r="S279" s="359">
        <f t="shared" si="52"/>
        <v>0</v>
      </c>
    </row>
    <row r="280" spans="1:19">
      <c r="A280" s="157"/>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-4.0000000000000565E-3</v>
      </c>
      <c r="R280" s="713">
        <f t="shared" si="51"/>
        <v>0</v>
      </c>
      <c r="S280" s="359">
        <f t="shared" si="52"/>
        <v>0</v>
      </c>
    </row>
    <row r="281" spans="1:19">
      <c r="A281" s="157"/>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-4.0000000000000565E-3</v>
      </c>
      <c r="R281" s="713">
        <f t="shared" si="51"/>
        <v>0</v>
      </c>
      <c r="S281" s="359">
        <f t="shared" si="52"/>
        <v>0</v>
      </c>
    </row>
    <row r="282" spans="1:19">
      <c r="A282" s="157"/>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-4.0000000000000565E-3</v>
      </c>
      <c r="R282" s="713">
        <f t="shared" ref="R282:R345" si="61">IF(B282="",0,ROUND($R$24*C282*E282*G282*I282*K282*M282*O282*Q282,0))</f>
        <v>0</v>
      </c>
      <c r="S282" s="359">
        <f t="shared" si="52"/>
        <v>0</v>
      </c>
    </row>
    <row r="283" spans="1:19">
      <c r="A283" s="157"/>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-4.0000000000000565E-3</v>
      </c>
      <c r="R283" s="713">
        <f t="shared" si="61"/>
        <v>0</v>
      </c>
      <c r="S283" s="359">
        <f t="shared" si="52"/>
        <v>0</v>
      </c>
    </row>
    <row r="284" spans="1:19">
      <c r="A284" s="157"/>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-4.0000000000000565E-3</v>
      </c>
      <c r="R284" s="713">
        <f t="shared" si="61"/>
        <v>0</v>
      </c>
      <c r="S284" s="359">
        <f t="shared" si="52"/>
        <v>0</v>
      </c>
    </row>
    <row r="285" spans="1:19">
      <c r="A285" s="157"/>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-4.0000000000000565E-3</v>
      </c>
      <c r="R285" s="713">
        <f t="shared" si="61"/>
        <v>0</v>
      </c>
      <c r="S285" s="359">
        <f t="shared" si="52"/>
        <v>0</v>
      </c>
    </row>
    <row r="286" spans="1:19">
      <c r="A286" s="157"/>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-4.0000000000000565E-3</v>
      </c>
      <c r="R286" s="713">
        <f t="shared" si="61"/>
        <v>0</v>
      </c>
      <c r="S286" s="359">
        <f t="shared" si="52"/>
        <v>0</v>
      </c>
    </row>
    <row r="287" spans="1:19">
      <c r="A287" s="157"/>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-4.0000000000000565E-3</v>
      </c>
      <c r="R287" s="713">
        <f t="shared" si="61"/>
        <v>0</v>
      </c>
      <c r="S287" s="359">
        <f t="shared" ref="S287:S320" si="62">ROUND(R287*B287/10000,0)</f>
        <v>0</v>
      </c>
    </row>
    <row r="288" spans="1:19">
      <c r="A288" s="157"/>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-4.0000000000000565E-3</v>
      </c>
      <c r="R288" s="713">
        <f t="shared" si="61"/>
        <v>0</v>
      </c>
      <c r="S288" s="359">
        <f t="shared" si="62"/>
        <v>0</v>
      </c>
    </row>
    <row r="289" spans="1:19">
      <c r="A289" s="157"/>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-4.0000000000000565E-3</v>
      </c>
      <c r="R289" s="713">
        <f t="shared" si="61"/>
        <v>0</v>
      </c>
      <c r="S289" s="359">
        <f t="shared" si="62"/>
        <v>0</v>
      </c>
    </row>
    <row r="290" spans="1:19">
      <c r="A290" s="157"/>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-4.0000000000000565E-3</v>
      </c>
      <c r="R290" s="713">
        <f t="shared" si="61"/>
        <v>0</v>
      </c>
      <c r="S290" s="359">
        <f t="shared" si="62"/>
        <v>0</v>
      </c>
    </row>
    <row r="291" spans="1:19">
      <c r="A291" s="157"/>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-4.0000000000000565E-3</v>
      </c>
      <c r="R291" s="713">
        <f t="shared" si="61"/>
        <v>0</v>
      </c>
      <c r="S291" s="359">
        <f t="shared" si="62"/>
        <v>0</v>
      </c>
    </row>
    <row r="292" spans="1:19">
      <c r="A292" s="157"/>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-4.0000000000000565E-3</v>
      </c>
      <c r="R292" s="713">
        <f t="shared" si="61"/>
        <v>0</v>
      </c>
      <c r="S292" s="359">
        <f t="shared" si="62"/>
        <v>0</v>
      </c>
    </row>
    <row r="293" spans="1:19">
      <c r="A293" s="157"/>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-4.0000000000000565E-3</v>
      </c>
      <c r="R293" s="713">
        <f t="shared" si="61"/>
        <v>0</v>
      </c>
      <c r="S293" s="359">
        <f t="shared" si="62"/>
        <v>0</v>
      </c>
    </row>
    <row r="294" spans="1:19">
      <c r="A294" s="157"/>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-4.0000000000000565E-3</v>
      </c>
      <c r="R294" s="713">
        <f t="shared" si="61"/>
        <v>0</v>
      </c>
      <c r="S294" s="359">
        <f t="shared" si="62"/>
        <v>0</v>
      </c>
    </row>
    <row r="295" spans="1:19">
      <c r="A295" s="157"/>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-4.0000000000000565E-3</v>
      </c>
      <c r="R295" s="713">
        <f t="shared" si="61"/>
        <v>0</v>
      </c>
      <c r="S295" s="359">
        <f t="shared" si="62"/>
        <v>0</v>
      </c>
    </row>
    <row r="296" spans="1:19">
      <c r="A296" s="157"/>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-4.0000000000000565E-3</v>
      </c>
      <c r="R296" s="713">
        <f t="shared" si="61"/>
        <v>0</v>
      </c>
      <c r="S296" s="359">
        <f t="shared" si="62"/>
        <v>0</v>
      </c>
    </row>
    <row r="297" spans="1:19">
      <c r="A297" s="157"/>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-4.0000000000000565E-3</v>
      </c>
      <c r="R297" s="713">
        <f t="shared" si="61"/>
        <v>0</v>
      </c>
      <c r="S297" s="359">
        <f t="shared" si="62"/>
        <v>0</v>
      </c>
    </row>
    <row r="298" spans="1:19">
      <c r="A298" s="157"/>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-4.0000000000000565E-3</v>
      </c>
      <c r="R298" s="713">
        <f t="shared" si="61"/>
        <v>0</v>
      </c>
      <c r="S298" s="359">
        <f t="shared" si="62"/>
        <v>0</v>
      </c>
    </row>
    <row r="299" spans="1:19">
      <c r="A299" s="157"/>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-4.0000000000000565E-3</v>
      </c>
      <c r="R299" s="713">
        <f t="shared" si="61"/>
        <v>0</v>
      </c>
      <c r="S299" s="359">
        <f t="shared" si="62"/>
        <v>0</v>
      </c>
    </row>
    <row r="300" spans="1:19">
      <c r="A300" s="157"/>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-4.0000000000000565E-3</v>
      </c>
      <c r="R300" s="713">
        <f t="shared" si="61"/>
        <v>0</v>
      </c>
      <c r="S300" s="359">
        <f t="shared" si="62"/>
        <v>0</v>
      </c>
    </row>
    <row r="301" spans="1:19">
      <c r="A301" s="157"/>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-4.0000000000000565E-3</v>
      </c>
      <c r="R301" s="713">
        <f t="shared" si="61"/>
        <v>0</v>
      </c>
      <c r="S301" s="359">
        <f t="shared" si="62"/>
        <v>0</v>
      </c>
    </row>
    <row r="302" spans="1:19">
      <c r="A302" s="157"/>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-4.0000000000000565E-3</v>
      </c>
      <c r="R302" s="713">
        <f t="shared" si="61"/>
        <v>0</v>
      </c>
      <c r="S302" s="359">
        <f t="shared" si="62"/>
        <v>0</v>
      </c>
    </row>
    <row r="303" spans="1:19">
      <c r="A303" s="157"/>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-4.0000000000000565E-3</v>
      </c>
      <c r="R303" s="713">
        <f t="shared" si="61"/>
        <v>0</v>
      </c>
      <c r="S303" s="359">
        <f t="shared" si="62"/>
        <v>0</v>
      </c>
    </row>
    <row r="304" spans="1:19">
      <c r="A304" s="157"/>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-4.0000000000000565E-3</v>
      </c>
      <c r="R304" s="713">
        <f t="shared" si="61"/>
        <v>0</v>
      </c>
      <c r="S304" s="359">
        <f t="shared" si="62"/>
        <v>0</v>
      </c>
    </row>
    <row r="305" spans="1:19">
      <c r="A305" s="157"/>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-4.0000000000000565E-3</v>
      </c>
      <c r="R305" s="713">
        <f t="shared" si="61"/>
        <v>0</v>
      </c>
      <c r="S305" s="359">
        <f t="shared" si="62"/>
        <v>0</v>
      </c>
    </row>
    <row r="306" spans="1:19">
      <c r="A306" s="157"/>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-4.0000000000000565E-3</v>
      </c>
      <c r="R306" s="713">
        <f t="shared" si="61"/>
        <v>0</v>
      </c>
      <c r="S306" s="359">
        <f t="shared" si="62"/>
        <v>0</v>
      </c>
    </row>
    <row r="307" spans="1:19">
      <c r="A307" s="157"/>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-4.0000000000000565E-3</v>
      </c>
      <c r="R307" s="713">
        <f t="shared" si="61"/>
        <v>0</v>
      </c>
      <c r="S307" s="359">
        <f t="shared" si="62"/>
        <v>0</v>
      </c>
    </row>
    <row r="308" spans="1:19">
      <c r="A308" s="157"/>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-4.0000000000000565E-3</v>
      </c>
      <c r="R308" s="713">
        <f t="shared" si="61"/>
        <v>0</v>
      </c>
      <c r="S308" s="359">
        <f t="shared" si="62"/>
        <v>0</v>
      </c>
    </row>
    <row r="309" spans="1:19">
      <c r="A309" s="157"/>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-4.0000000000000565E-3</v>
      </c>
      <c r="R309" s="713">
        <f t="shared" si="61"/>
        <v>0</v>
      </c>
      <c r="S309" s="359">
        <f t="shared" si="62"/>
        <v>0</v>
      </c>
    </row>
    <row r="310" spans="1:19">
      <c r="A310" s="157"/>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-4.0000000000000565E-3</v>
      </c>
      <c r="R310" s="713">
        <f t="shared" si="61"/>
        <v>0</v>
      </c>
      <c r="S310" s="359">
        <f t="shared" si="62"/>
        <v>0</v>
      </c>
    </row>
    <row r="311" spans="1:19">
      <c r="A311" s="157"/>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-4.0000000000000565E-3</v>
      </c>
      <c r="R311" s="713">
        <f t="shared" si="61"/>
        <v>0</v>
      </c>
      <c r="S311" s="359">
        <f t="shared" si="62"/>
        <v>0</v>
      </c>
    </row>
    <row r="312" spans="1:19">
      <c r="A312" s="157"/>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-4.0000000000000565E-3</v>
      </c>
      <c r="R312" s="713">
        <f t="shared" si="61"/>
        <v>0</v>
      </c>
      <c r="S312" s="359">
        <f t="shared" si="62"/>
        <v>0</v>
      </c>
    </row>
    <row r="313" spans="1:19">
      <c r="A313" s="157"/>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-4.0000000000000565E-3</v>
      </c>
      <c r="R313" s="713">
        <f t="shared" si="61"/>
        <v>0</v>
      </c>
      <c r="S313" s="359">
        <f t="shared" si="62"/>
        <v>0</v>
      </c>
    </row>
    <row r="314" spans="1:19">
      <c r="A314" s="157"/>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-4.0000000000000565E-3</v>
      </c>
      <c r="R314" s="713">
        <f t="shared" si="61"/>
        <v>0</v>
      </c>
      <c r="S314" s="359">
        <f t="shared" si="62"/>
        <v>0</v>
      </c>
    </row>
    <row r="315" spans="1:19">
      <c r="A315" s="157"/>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-4.0000000000000565E-3</v>
      </c>
      <c r="R315" s="713">
        <f t="shared" si="61"/>
        <v>0</v>
      </c>
      <c r="S315" s="359">
        <f t="shared" si="62"/>
        <v>0</v>
      </c>
    </row>
    <row r="316" spans="1:19">
      <c r="A316" s="157"/>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-4.0000000000000565E-3</v>
      </c>
      <c r="R316" s="713">
        <f t="shared" si="61"/>
        <v>0</v>
      </c>
      <c r="S316" s="359">
        <f t="shared" si="62"/>
        <v>0</v>
      </c>
    </row>
    <row r="317" spans="1:19">
      <c r="A317" s="157"/>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-4.0000000000000565E-3</v>
      </c>
      <c r="R317" s="713">
        <f t="shared" si="61"/>
        <v>0</v>
      </c>
      <c r="S317" s="359">
        <f t="shared" si="62"/>
        <v>0</v>
      </c>
    </row>
    <row r="318" spans="1:19">
      <c r="A318" s="157"/>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-4.0000000000000565E-3</v>
      </c>
      <c r="R318" s="713">
        <f t="shared" si="61"/>
        <v>0</v>
      </c>
      <c r="S318" s="359">
        <f t="shared" si="62"/>
        <v>0</v>
      </c>
    </row>
    <row r="319" spans="1:19">
      <c r="A319" s="157"/>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-4.0000000000000565E-3</v>
      </c>
      <c r="R319" s="713">
        <f t="shared" si="61"/>
        <v>0</v>
      </c>
      <c r="S319" s="359">
        <f t="shared" si="62"/>
        <v>0</v>
      </c>
    </row>
    <row r="320" spans="1:19">
      <c r="A320" s="157"/>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-4.0000000000000565E-3</v>
      </c>
      <c r="R320" s="713">
        <f t="shared" si="61"/>
        <v>0</v>
      </c>
      <c r="S320" s="359">
        <f t="shared" si="62"/>
        <v>0</v>
      </c>
    </row>
    <row r="321" spans="1:19">
      <c r="A321" s="157"/>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-4.0000000000000565E-3</v>
      </c>
      <c r="R321" s="713">
        <f t="shared" si="61"/>
        <v>0</v>
      </c>
      <c r="S321" s="359">
        <f t="shared" ref="S321:S384" si="63">ROUND(R321*B321/10000,0)</f>
        <v>0</v>
      </c>
    </row>
    <row r="322" spans="1:19">
      <c r="A322" s="157"/>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-4.0000000000000565E-3</v>
      </c>
      <c r="R322" s="713">
        <f t="shared" si="61"/>
        <v>0</v>
      </c>
      <c r="S322" s="359">
        <f t="shared" si="63"/>
        <v>0</v>
      </c>
    </row>
    <row r="323" spans="1:19">
      <c r="A323" s="157"/>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-4.0000000000000565E-3</v>
      </c>
      <c r="R323" s="713">
        <f t="shared" si="61"/>
        <v>0</v>
      </c>
      <c r="S323" s="359">
        <f t="shared" si="63"/>
        <v>0</v>
      </c>
    </row>
    <row r="324" spans="1:19">
      <c r="A324" s="157"/>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-4.0000000000000565E-3</v>
      </c>
      <c r="R324" s="713">
        <f t="shared" si="61"/>
        <v>0</v>
      </c>
      <c r="S324" s="359">
        <f t="shared" si="63"/>
        <v>0</v>
      </c>
    </row>
    <row r="325" spans="1:19">
      <c r="A325" s="157"/>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-4.0000000000000565E-3</v>
      </c>
      <c r="R325" s="713">
        <f t="shared" si="61"/>
        <v>0</v>
      </c>
      <c r="S325" s="359">
        <f t="shared" si="63"/>
        <v>0</v>
      </c>
    </row>
    <row r="326" spans="1:19">
      <c r="A326" s="157"/>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-4.0000000000000565E-3</v>
      </c>
      <c r="R326" s="713">
        <f t="shared" si="61"/>
        <v>0</v>
      </c>
      <c r="S326" s="359">
        <f t="shared" si="63"/>
        <v>0</v>
      </c>
    </row>
    <row r="327" spans="1:19">
      <c r="A327" s="157"/>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-4.0000000000000565E-3</v>
      </c>
      <c r="R327" s="713">
        <f t="shared" si="61"/>
        <v>0</v>
      </c>
      <c r="S327" s="359">
        <f t="shared" si="63"/>
        <v>0</v>
      </c>
    </row>
    <row r="328" spans="1:19">
      <c r="A328" s="157"/>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-4.0000000000000565E-3</v>
      </c>
      <c r="R328" s="713">
        <f t="shared" si="61"/>
        <v>0</v>
      </c>
      <c r="S328" s="359">
        <f t="shared" si="63"/>
        <v>0</v>
      </c>
    </row>
    <row r="329" spans="1:19">
      <c r="A329" s="157"/>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-4.0000000000000565E-3</v>
      </c>
      <c r="R329" s="713">
        <f t="shared" si="61"/>
        <v>0</v>
      </c>
      <c r="S329" s="359">
        <f t="shared" si="63"/>
        <v>0</v>
      </c>
    </row>
    <row r="330" spans="1:19">
      <c r="A330" s="157"/>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-4.0000000000000565E-3</v>
      </c>
      <c r="R330" s="713">
        <f t="shared" si="61"/>
        <v>0</v>
      </c>
      <c r="S330" s="359">
        <f t="shared" si="63"/>
        <v>0</v>
      </c>
    </row>
    <row r="331" spans="1:19">
      <c r="A331" s="157"/>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-4.0000000000000565E-3</v>
      </c>
      <c r="R331" s="713">
        <f t="shared" si="61"/>
        <v>0</v>
      </c>
      <c r="S331" s="359">
        <f t="shared" si="63"/>
        <v>0</v>
      </c>
    </row>
    <row r="332" spans="1:19">
      <c r="A332" s="157"/>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-4.0000000000000565E-3</v>
      </c>
      <c r="R332" s="713">
        <f t="shared" si="61"/>
        <v>0</v>
      </c>
      <c r="S332" s="359">
        <f t="shared" si="63"/>
        <v>0</v>
      </c>
    </row>
    <row r="333" spans="1:19">
      <c r="A333" s="157"/>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-4.0000000000000565E-3</v>
      </c>
      <c r="R333" s="713">
        <f t="shared" si="61"/>
        <v>0</v>
      </c>
      <c r="S333" s="359">
        <f t="shared" si="63"/>
        <v>0</v>
      </c>
    </row>
    <row r="334" spans="1:19">
      <c r="A334" s="157"/>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-4.0000000000000565E-3</v>
      </c>
      <c r="R334" s="713">
        <f t="shared" si="61"/>
        <v>0</v>
      </c>
      <c r="S334" s="359">
        <f t="shared" si="63"/>
        <v>0</v>
      </c>
    </row>
    <row r="335" spans="1:19">
      <c r="A335" s="157"/>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-4.0000000000000565E-3</v>
      </c>
      <c r="R335" s="713">
        <f t="shared" si="61"/>
        <v>0</v>
      </c>
      <c r="S335" s="359">
        <f t="shared" si="63"/>
        <v>0</v>
      </c>
    </row>
    <row r="336" spans="1:19">
      <c r="A336" s="157"/>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-4.0000000000000565E-3</v>
      </c>
      <c r="R336" s="713">
        <f t="shared" si="61"/>
        <v>0</v>
      </c>
      <c r="S336" s="359">
        <f t="shared" si="63"/>
        <v>0</v>
      </c>
    </row>
    <row r="337" spans="1:19">
      <c r="A337" s="157"/>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-4.0000000000000565E-3</v>
      </c>
      <c r="R337" s="713">
        <f t="shared" si="61"/>
        <v>0</v>
      </c>
      <c r="S337" s="359">
        <f t="shared" si="63"/>
        <v>0</v>
      </c>
    </row>
    <row r="338" spans="1:19">
      <c r="A338" s="157"/>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-4.0000000000000565E-3</v>
      </c>
      <c r="R338" s="713">
        <f t="shared" si="61"/>
        <v>0</v>
      </c>
      <c r="S338" s="359">
        <f t="shared" si="63"/>
        <v>0</v>
      </c>
    </row>
    <row r="339" spans="1:19">
      <c r="A339" s="157"/>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-4.0000000000000565E-3</v>
      </c>
      <c r="R339" s="713">
        <f t="shared" si="61"/>
        <v>0</v>
      </c>
      <c r="S339" s="359">
        <f t="shared" si="63"/>
        <v>0</v>
      </c>
    </row>
    <row r="340" spans="1:19">
      <c r="A340" s="157"/>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-4.0000000000000565E-3</v>
      </c>
      <c r="R340" s="713">
        <f t="shared" si="61"/>
        <v>0</v>
      </c>
      <c r="S340" s="359">
        <f t="shared" si="63"/>
        <v>0</v>
      </c>
    </row>
    <row r="341" spans="1:19">
      <c r="A341" s="157"/>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-4.0000000000000565E-3</v>
      </c>
      <c r="R341" s="713">
        <f t="shared" si="61"/>
        <v>0</v>
      </c>
      <c r="S341" s="359">
        <f t="shared" si="63"/>
        <v>0</v>
      </c>
    </row>
    <row r="342" spans="1:19">
      <c r="A342" s="157"/>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-4.0000000000000565E-3</v>
      </c>
      <c r="R342" s="713">
        <f t="shared" si="61"/>
        <v>0</v>
      </c>
      <c r="S342" s="359">
        <f t="shared" si="63"/>
        <v>0</v>
      </c>
    </row>
    <row r="343" spans="1:19">
      <c r="A343" s="157"/>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-4.0000000000000565E-3</v>
      </c>
      <c r="R343" s="713">
        <f t="shared" si="61"/>
        <v>0</v>
      </c>
      <c r="S343" s="359">
        <f t="shared" si="63"/>
        <v>0</v>
      </c>
    </row>
    <row r="344" spans="1:19">
      <c r="A344" s="157"/>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-4.0000000000000565E-3</v>
      </c>
      <c r="R344" s="713">
        <f t="shared" si="61"/>
        <v>0</v>
      </c>
      <c r="S344" s="359">
        <f t="shared" si="63"/>
        <v>0</v>
      </c>
    </row>
    <row r="345" spans="1:19">
      <c r="A345" s="157"/>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-4.0000000000000565E-3</v>
      </c>
      <c r="R345" s="713">
        <f t="shared" si="61"/>
        <v>0</v>
      </c>
      <c r="S345" s="359">
        <f t="shared" si="63"/>
        <v>0</v>
      </c>
    </row>
    <row r="346" spans="1:19">
      <c r="A346" s="157"/>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-4.0000000000000565E-3</v>
      </c>
      <c r="R346" s="713">
        <f t="shared" ref="R346:R409" si="72">IF(B346="",0,ROUND($R$24*C346*E346*G346*I346*K346*M346*O346*Q346,0))</f>
        <v>0</v>
      </c>
      <c r="S346" s="359">
        <f t="shared" si="63"/>
        <v>0</v>
      </c>
    </row>
    <row r="347" spans="1:19">
      <c r="A347" s="157"/>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-4.0000000000000565E-3</v>
      </c>
      <c r="R347" s="713">
        <f t="shared" si="72"/>
        <v>0</v>
      </c>
      <c r="S347" s="359">
        <f t="shared" si="63"/>
        <v>0</v>
      </c>
    </row>
    <row r="348" spans="1:19">
      <c r="A348" s="157"/>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-4.0000000000000565E-3</v>
      </c>
      <c r="R348" s="713">
        <f t="shared" si="72"/>
        <v>0</v>
      </c>
      <c r="S348" s="359">
        <f t="shared" si="63"/>
        <v>0</v>
      </c>
    </row>
    <row r="349" spans="1:19">
      <c r="A349" s="157"/>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-4.0000000000000565E-3</v>
      </c>
      <c r="R349" s="713">
        <f t="shared" si="72"/>
        <v>0</v>
      </c>
      <c r="S349" s="359">
        <f t="shared" si="63"/>
        <v>0</v>
      </c>
    </row>
    <row r="350" spans="1:19">
      <c r="A350" s="157"/>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-4.0000000000000565E-3</v>
      </c>
      <c r="R350" s="713">
        <f t="shared" si="72"/>
        <v>0</v>
      </c>
      <c r="S350" s="359">
        <f t="shared" si="63"/>
        <v>0</v>
      </c>
    </row>
    <row r="351" spans="1:19">
      <c r="A351" s="157"/>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-4.0000000000000565E-3</v>
      </c>
      <c r="R351" s="713">
        <f t="shared" si="72"/>
        <v>0</v>
      </c>
      <c r="S351" s="359">
        <f t="shared" si="63"/>
        <v>0</v>
      </c>
    </row>
    <row r="352" spans="1:19">
      <c r="A352" s="157"/>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-4.0000000000000565E-3</v>
      </c>
      <c r="R352" s="713">
        <f t="shared" si="72"/>
        <v>0</v>
      </c>
      <c r="S352" s="359">
        <f t="shared" si="63"/>
        <v>0</v>
      </c>
    </row>
    <row r="353" spans="1:19">
      <c r="A353" s="157"/>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-4.0000000000000565E-3</v>
      </c>
      <c r="R353" s="713">
        <f t="shared" si="72"/>
        <v>0</v>
      </c>
      <c r="S353" s="359">
        <f t="shared" si="63"/>
        <v>0</v>
      </c>
    </row>
    <row r="354" spans="1:19">
      <c r="A354" s="157"/>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-4.0000000000000565E-3</v>
      </c>
      <c r="R354" s="713">
        <f t="shared" si="72"/>
        <v>0</v>
      </c>
      <c r="S354" s="359">
        <f t="shared" si="63"/>
        <v>0</v>
      </c>
    </row>
    <row r="355" spans="1:19">
      <c r="A355" s="157"/>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-4.0000000000000565E-3</v>
      </c>
      <c r="R355" s="713">
        <f t="shared" si="72"/>
        <v>0</v>
      </c>
      <c r="S355" s="359">
        <f t="shared" si="63"/>
        <v>0</v>
      </c>
    </row>
    <row r="356" spans="1:19">
      <c r="A356" s="157"/>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-4.0000000000000565E-3</v>
      </c>
      <c r="R356" s="713">
        <f t="shared" si="72"/>
        <v>0</v>
      </c>
      <c r="S356" s="359">
        <f t="shared" si="63"/>
        <v>0</v>
      </c>
    </row>
    <row r="357" spans="1:19">
      <c r="A357" s="157"/>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-4.0000000000000565E-3</v>
      </c>
      <c r="R357" s="713">
        <f t="shared" si="72"/>
        <v>0</v>
      </c>
      <c r="S357" s="359">
        <f t="shared" si="63"/>
        <v>0</v>
      </c>
    </row>
    <row r="358" spans="1:19">
      <c r="A358" s="157"/>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-4.0000000000000565E-3</v>
      </c>
      <c r="R358" s="713">
        <f t="shared" si="72"/>
        <v>0</v>
      </c>
      <c r="S358" s="359">
        <f t="shared" si="63"/>
        <v>0</v>
      </c>
    </row>
    <row r="359" spans="1:19">
      <c r="A359" s="157"/>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-4.0000000000000565E-3</v>
      </c>
      <c r="R359" s="713">
        <f t="shared" si="72"/>
        <v>0</v>
      </c>
      <c r="S359" s="359">
        <f t="shared" si="63"/>
        <v>0</v>
      </c>
    </row>
    <row r="360" spans="1:19">
      <c r="A360" s="157"/>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-4.0000000000000565E-3</v>
      </c>
      <c r="R360" s="713">
        <f t="shared" si="72"/>
        <v>0</v>
      </c>
      <c r="S360" s="359">
        <f t="shared" si="63"/>
        <v>0</v>
      </c>
    </row>
    <row r="361" spans="1:19">
      <c r="A361" s="157"/>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-4.0000000000000565E-3</v>
      </c>
      <c r="R361" s="713">
        <f t="shared" si="72"/>
        <v>0</v>
      </c>
      <c r="S361" s="359">
        <f t="shared" si="63"/>
        <v>0</v>
      </c>
    </row>
    <row r="362" spans="1:19">
      <c r="A362" s="157"/>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-4.0000000000000565E-3</v>
      </c>
      <c r="R362" s="713">
        <f t="shared" si="72"/>
        <v>0</v>
      </c>
      <c r="S362" s="359">
        <f t="shared" si="63"/>
        <v>0</v>
      </c>
    </row>
    <row r="363" spans="1:19">
      <c r="A363" s="157"/>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-4.0000000000000565E-3</v>
      </c>
      <c r="R363" s="713">
        <f t="shared" si="72"/>
        <v>0</v>
      </c>
      <c r="S363" s="359">
        <f t="shared" si="63"/>
        <v>0</v>
      </c>
    </row>
    <row r="364" spans="1:19">
      <c r="A364" s="157"/>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-4.0000000000000565E-3</v>
      </c>
      <c r="R364" s="713">
        <f t="shared" si="72"/>
        <v>0</v>
      </c>
      <c r="S364" s="359">
        <f t="shared" si="63"/>
        <v>0</v>
      </c>
    </row>
    <row r="365" spans="1:19">
      <c r="A365" s="157"/>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-4.0000000000000565E-3</v>
      </c>
      <c r="R365" s="713">
        <f t="shared" si="72"/>
        <v>0</v>
      </c>
      <c r="S365" s="359">
        <f t="shared" si="63"/>
        <v>0</v>
      </c>
    </row>
    <row r="366" spans="1:19">
      <c r="A366" s="157"/>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-4.0000000000000565E-3</v>
      </c>
      <c r="R366" s="713">
        <f t="shared" si="72"/>
        <v>0</v>
      </c>
      <c r="S366" s="359">
        <f t="shared" si="63"/>
        <v>0</v>
      </c>
    </row>
    <row r="367" spans="1:19">
      <c r="A367" s="157"/>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-4.0000000000000565E-3</v>
      </c>
      <c r="R367" s="713">
        <f t="shared" si="72"/>
        <v>0</v>
      </c>
      <c r="S367" s="359">
        <f t="shared" si="63"/>
        <v>0</v>
      </c>
    </row>
    <row r="368" spans="1:19">
      <c r="A368" s="157"/>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-4.0000000000000565E-3</v>
      </c>
      <c r="R368" s="713">
        <f t="shared" si="72"/>
        <v>0</v>
      </c>
      <c r="S368" s="359">
        <f t="shared" si="63"/>
        <v>0</v>
      </c>
    </row>
    <row r="369" spans="1:19">
      <c r="A369" s="157"/>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-4.0000000000000565E-3</v>
      </c>
      <c r="R369" s="713">
        <f t="shared" si="72"/>
        <v>0</v>
      </c>
      <c r="S369" s="359">
        <f t="shared" si="63"/>
        <v>0</v>
      </c>
    </row>
    <row r="370" spans="1:19">
      <c r="A370" s="157"/>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-4.0000000000000565E-3</v>
      </c>
      <c r="R370" s="713">
        <f t="shared" si="72"/>
        <v>0</v>
      </c>
      <c r="S370" s="359">
        <f t="shared" si="63"/>
        <v>0</v>
      </c>
    </row>
    <row r="371" spans="1:19">
      <c r="A371" s="157"/>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-4.0000000000000565E-3</v>
      </c>
      <c r="R371" s="713">
        <f t="shared" si="72"/>
        <v>0</v>
      </c>
      <c r="S371" s="359">
        <f t="shared" si="63"/>
        <v>0</v>
      </c>
    </row>
    <row r="372" spans="1:19">
      <c r="A372" s="157"/>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-4.0000000000000565E-3</v>
      </c>
      <c r="R372" s="713">
        <f t="shared" si="72"/>
        <v>0</v>
      </c>
      <c r="S372" s="359">
        <f t="shared" si="63"/>
        <v>0</v>
      </c>
    </row>
    <row r="373" spans="1:19">
      <c r="A373" s="157"/>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-4.0000000000000565E-3</v>
      </c>
      <c r="R373" s="713">
        <f t="shared" si="72"/>
        <v>0</v>
      </c>
      <c r="S373" s="359">
        <f t="shared" si="63"/>
        <v>0</v>
      </c>
    </row>
    <row r="374" spans="1:19">
      <c r="A374" s="157"/>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-4.0000000000000565E-3</v>
      </c>
      <c r="R374" s="713">
        <f t="shared" si="72"/>
        <v>0</v>
      </c>
      <c r="S374" s="359">
        <f t="shared" si="63"/>
        <v>0</v>
      </c>
    </row>
    <row r="375" spans="1:19">
      <c r="A375" s="157"/>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-4.0000000000000565E-3</v>
      </c>
      <c r="R375" s="713">
        <f t="shared" si="72"/>
        <v>0</v>
      </c>
      <c r="S375" s="359">
        <f t="shared" si="63"/>
        <v>0</v>
      </c>
    </row>
    <row r="376" spans="1:19">
      <c r="A376" s="157"/>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-4.0000000000000565E-3</v>
      </c>
      <c r="R376" s="713">
        <f t="shared" si="72"/>
        <v>0</v>
      </c>
      <c r="S376" s="359">
        <f t="shared" si="63"/>
        <v>0</v>
      </c>
    </row>
    <row r="377" spans="1:19">
      <c r="A377" s="157"/>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-4.0000000000000565E-3</v>
      </c>
      <c r="R377" s="713">
        <f t="shared" si="72"/>
        <v>0</v>
      </c>
      <c r="S377" s="359">
        <f t="shared" si="63"/>
        <v>0</v>
      </c>
    </row>
    <row r="378" spans="1:19">
      <c r="A378" s="157"/>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-4.0000000000000565E-3</v>
      </c>
      <c r="R378" s="713">
        <f t="shared" si="72"/>
        <v>0</v>
      </c>
      <c r="S378" s="359">
        <f t="shared" si="63"/>
        <v>0</v>
      </c>
    </row>
    <row r="379" spans="1:19">
      <c r="A379" s="157"/>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-4.0000000000000565E-3</v>
      </c>
      <c r="R379" s="713">
        <f t="shared" si="72"/>
        <v>0</v>
      </c>
      <c r="S379" s="359">
        <f t="shared" si="63"/>
        <v>0</v>
      </c>
    </row>
    <row r="380" spans="1:19">
      <c r="A380" s="157"/>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-4.0000000000000565E-3</v>
      </c>
      <c r="R380" s="713">
        <f t="shared" si="72"/>
        <v>0</v>
      </c>
      <c r="S380" s="359">
        <f t="shared" si="63"/>
        <v>0</v>
      </c>
    </row>
    <row r="381" spans="1:19">
      <c r="A381" s="157"/>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-4.0000000000000565E-3</v>
      </c>
      <c r="R381" s="713">
        <f t="shared" si="72"/>
        <v>0</v>
      </c>
      <c r="S381" s="359">
        <f t="shared" si="63"/>
        <v>0</v>
      </c>
    </row>
    <row r="382" spans="1:19">
      <c r="A382" s="157"/>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-4.0000000000000565E-3</v>
      </c>
      <c r="R382" s="713">
        <f t="shared" si="72"/>
        <v>0</v>
      </c>
      <c r="S382" s="359">
        <f t="shared" si="63"/>
        <v>0</v>
      </c>
    </row>
    <row r="383" spans="1:19">
      <c r="A383" s="157"/>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-4.0000000000000565E-3</v>
      </c>
      <c r="R383" s="713">
        <f t="shared" si="72"/>
        <v>0</v>
      </c>
      <c r="S383" s="359">
        <f t="shared" si="63"/>
        <v>0</v>
      </c>
    </row>
    <row r="384" spans="1:19">
      <c r="A384" s="157"/>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-4.0000000000000565E-3</v>
      </c>
      <c r="R384" s="713">
        <f t="shared" si="72"/>
        <v>0</v>
      </c>
      <c r="S384" s="359">
        <f t="shared" si="63"/>
        <v>0</v>
      </c>
    </row>
    <row r="385" spans="1:19">
      <c r="A385" s="157"/>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-4.0000000000000565E-3</v>
      </c>
      <c r="R385" s="713">
        <f t="shared" si="72"/>
        <v>0</v>
      </c>
      <c r="S385" s="359">
        <f t="shared" ref="S385:S422" si="73">ROUND(R385*B385/10000,0)</f>
        <v>0</v>
      </c>
    </row>
    <row r="386" spans="1:19">
      <c r="A386" s="157"/>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-4.0000000000000565E-3</v>
      </c>
      <c r="R386" s="713">
        <f t="shared" si="72"/>
        <v>0</v>
      </c>
      <c r="S386" s="359">
        <f t="shared" si="73"/>
        <v>0</v>
      </c>
    </row>
    <row r="387" spans="1:19">
      <c r="A387" s="157"/>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-4.0000000000000565E-3</v>
      </c>
      <c r="R387" s="713">
        <f t="shared" si="72"/>
        <v>0</v>
      </c>
      <c r="S387" s="359">
        <f t="shared" si="73"/>
        <v>0</v>
      </c>
    </row>
    <row r="388" spans="1:19">
      <c r="A388" s="157"/>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-4.0000000000000565E-3</v>
      </c>
      <c r="R388" s="713">
        <f t="shared" si="72"/>
        <v>0</v>
      </c>
      <c r="S388" s="359">
        <f t="shared" si="73"/>
        <v>0</v>
      </c>
    </row>
    <row r="389" spans="1:19">
      <c r="A389" s="157"/>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-4.0000000000000565E-3</v>
      </c>
      <c r="R389" s="713">
        <f t="shared" si="72"/>
        <v>0</v>
      </c>
      <c r="S389" s="359">
        <f t="shared" si="73"/>
        <v>0</v>
      </c>
    </row>
    <row r="390" spans="1:19">
      <c r="A390" s="157"/>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-4.0000000000000565E-3</v>
      </c>
      <c r="R390" s="713">
        <f t="shared" si="72"/>
        <v>0</v>
      </c>
      <c r="S390" s="359">
        <f t="shared" si="73"/>
        <v>0</v>
      </c>
    </row>
    <row r="391" spans="1:19">
      <c r="A391" s="157"/>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-4.0000000000000565E-3</v>
      </c>
      <c r="R391" s="713">
        <f t="shared" si="72"/>
        <v>0</v>
      </c>
      <c r="S391" s="359">
        <f t="shared" si="73"/>
        <v>0</v>
      </c>
    </row>
    <row r="392" spans="1:19">
      <c r="A392" s="157"/>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-4.0000000000000565E-3</v>
      </c>
      <c r="R392" s="713">
        <f t="shared" si="72"/>
        <v>0</v>
      </c>
      <c r="S392" s="359">
        <f t="shared" si="73"/>
        <v>0</v>
      </c>
    </row>
    <row r="393" spans="1:19">
      <c r="A393" s="157"/>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-4.0000000000000565E-3</v>
      </c>
      <c r="R393" s="713">
        <f t="shared" si="72"/>
        <v>0</v>
      </c>
      <c r="S393" s="359">
        <f t="shared" si="73"/>
        <v>0</v>
      </c>
    </row>
    <row r="394" spans="1:19">
      <c r="A394" s="157"/>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-4.0000000000000565E-3</v>
      </c>
      <c r="R394" s="713">
        <f t="shared" si="72"/>
        <v>0</v>
      </c>
      <c r="S394" s="359">
        <f t="shared" si="73"/>
        <v>0</v>
      </c>
    </row>
    <row r="395" spans="1:19">
      <c r="A395" s="157"/>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-4.0000000000000565E-3</v>
      </c>
      <c r="R395" s="713">
        <f t="shared" si="72"/>
        <v>0</v>
      </c>
      <c r="S395" s="359">
        <f t="shared" si="73"/>
        <v>0</v>
      </c>
    </row>
    <row r="396" spans="1:19">
      <c r="A396" s="157"/>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-4.0000000000000565E-3</v>
      </c>
      <c r="R396" s="713">
        <f t="shared" si="72"/>
        <v>0</v>
      </c>
      <c r="S396" s="359">
        <f t="shared" si="73"/>
        <v>0</v>
      </c>
    </row>
    <row r="397" spans="1:19">
      <c r="A397" s="157"/>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-4.0000000000000565E-3</v>
      </c>
      <c r="R397" s="713">
        <f t="shared" si="72"/>
        <v>0</v>
      </c>
      <c r="S397" s="359">
        <f t="shared" si="73"/>
        <v>0</v>
      </c>
    </row>
    <row r="398" spans="1:19">
      <c r="A398" s="157"/>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-4.0000000000000565E-3</v>
      </c>
      <c r="R398" s="713">
        <f t="shared" si="72"/>
        <v>0</v>
      </c>
      <c r="S398" s="359">
        <f t="shared" si="73"/>
        <v>0</v>
      </c>
    </row>
    <row r="399" spans="1:19">
      <c r="A399" s="157"/>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-4.0000000000000565E-3</v>
      </c>
      <c r="R399" s="713">
        <f t="shared" si="72"/>
        <v>0</v>
      </c>
      <c r="S399" s="359">
        <f t="shared" si="73"/>
        <v>0</v>
      </c>
    </row>
    <row r="400" spans="1:19">
      <c r="A400" s="157"/>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-4.0000000000000565E-3</v>
      </c>
      <c r="R400" s="713">
        <f t="shared" si="72"/>
        <v>0</v>
      </c>
      <c r="S400" s="359">
        <f t="shared" si="73"/>
        <v>0</v>
      </c>
    </row>
    <row r="401" spans="1:19">
      <c r="A401" s="157"/>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-4.0000000000000565E-3</v>
      </c>
      <c r="R401" s="713">
        <f t="shared" si="72"/>
        <v>0</v>
      </c>
      <c r="S401" s="359">
        <f t="shared" si="73"/>
        <v>0</v>
      </c>
    </row>
    <row r="402" spans="1:19">
      <c r="A402" s="157"/>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-4.0000000000000565E-3</v>
      </c>
      <c r="R402" s="713">
        <f t="shared" si="72"/>
        <v>0</v>
      </c>
      <c r="S402" s="359">
        <f t="shared" si="73"/>
        <v>0</v>
      </c>
    </row>
    <row r="403" spans="1:19">
      <c r="A403" s="157"/>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-4.0000000000000565E-3</v>
      </c>
      <c r="R403" s="713">
        <f t="shared" si="72"/>
        <v>0</v>
      </c>
      <c r="S403" s="359">
        <f t="shared" si="73"/>
        <v>0</v>
      </c>
    </row>
    <row r="404" spans="1:19">
      <c r="A404" s="157"/>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-4.0000000000000565E-3</v>
      </c>
      <c r="R404" s="713">
        <f t="shared" si="72"/>
        <v>0</v>
      </c>
      <c r="S404" s="359">
        <f t="shared" si="73"/>
        <v>0</v>
      </c>
    </row>
    <row r="405" spans="1:19">
      <c r="A405" s="157"/>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-4.0000000000000565E-3</v>
      </c>
      <c r="R405" s="713">
        <f t="shared" si="72"/>
        <v>0</v>
      </c>
      <c r="S405" s="359">
        <f t="shared" si="73"/>
        <v>0</v>
      </c>
    </row>
    <row r="406" spans="1:19">
      <c r="A406" s="157"/>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-4.0000000000000565E-3</v>
      </c>
      <c r="R406" s="713">
        <f t="shared" si="72"/>
        <v>0</v>
      </c>
      <c r="S406" s="359">
        <f t="shared" si="73"/>
        <v>0</v>
      </c>
    </row>
    <row r="407" spans="1:19">
      <c r="A407" s="157"/>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-4.0000000000000565E-3</v>
      </c>
      <c r="R407" s="713">
        <f t="shared" si="72"/>
        <v>0</v>
      </c>
      <c r="S407" s="359">
        <f t="shared" si="73"/>
        <v>0</v>
      </c>
    </row>
    <row r="408" spans="1:19">
      <c r="A408" s="157"/>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-4.0000000000000565E-3</v>
      </c>
      <c r="R408" s="713">
        <f t="shared" si="72"/>
        <v>0</v>
      </c>
      <c r="S408" s="359">
        <f t="shared" si="73"/>
        <v>0</v>
      </c>
    </row>
    <row r="409" spans="1:19">
      <c r="A409" s="157"/>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-4.0000000000000565E-3</v>
      </c>
      <c r="R409" s="713">
        <f t="shared" si="72"/>
        <v>0</v>
      </c>
      <c r="S409" s="359">
        <f t="shared" si="73"/>
        <v>0</v>
      </c>
    </row>
    <row r="410" spans="1:19">
      <c r="A410" s="157"/>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-4.0000000000000565E-3</v>
      </c>
      <c r="R410" s="713">
        <f t="shared" ref="R410:R473" si="82">IF(B410="",0,ROUND($R$24*C410*E410*G410*I410*K410*M410*O410*Q410,0))</f>
        <v>0</v>
      </c>
      <c r="S410" s="359">
        <f t="shared" si="73"/>
        <v>0</v>
      </c>
    </row>
    <row r="411" spans="1:19">
      <c r="A411" s="157"/>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-4.0000000000000565E-3</v>
      </c>
      <c r="R411" s="713">
        <f t="shared" si="82"/>
        <v>0</v>
      </c>
      <c r="S411" s="359">
        <f t="shared" si="73"/>
        <v>0</v>
      </c>
    </row>
    <row r="412" spans="1:19">
      <c r="A412" s="157"/>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-4.0000000000000565E-3</v>
      </c>
      <c r="R412" s="713">
        <f t="shared" si="82"/>
        <v>0</v>
      </c>
      <c r="S412" s="359">
        <f t="shared" si="73"/>
        <v>0</v>
      </c>
    </row>
    <row r="413" spans="1:19">
      <c r="A413" s="157"/>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-4.0000000000000565E-3</v>
      </c>
      <c r="R413" s="713">
        <f t="shared" si="82"/>
        <v>0</v>
      </c>
      <c r="S413" s="359">
        <f t="shared" si="73"/>
        <v>0</v>
      </c>
    </row>
    <row r="414" spans="1:19">
      <c r="A414" s="157"/>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-4.0000000000000565E-3</v>
      </c>
      <c r="R414" s="713">
        <f t="shared" si="82"/>
        <v>0</v>
      </c>
      <c r="S414" s="359">
        <f t="shared" si="73"/>
        <v>0</v>
      </c>
    </row>
    <row r="415" spans="1:19">
      <c r="A415" s="157"/>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-4.0000000000000565E-3</v>
      </c>
      <c r="R415" s="713">
        <f t="shared" si="82"/>
        <v>0</v>
      </c>
      <c r="S415" s="359">
        <f t="shared" si="73"/>
        <v>0</v>
      </c>
    </row>
    <row r="416" spans="1:19">
      <c r="A416" s="157"/>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-4.0000000000000565E-3</v>
      </c>
      <c r="R416" s="713">
        <f t="shared" si="82"/>
        <v>0</v>
      </c>
      <c r="S416" s="359">
        <f t="shared" si="73"/>
        <v>0</v>
      </c>
    </row>
    <row r="417" spans="1:19">
      <c r="A417" s="157"/>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-4.0000000000000565E-3</v>
      </c>
      <c r="R417" s="713">
        <f t="shared" si="82"/>
        <v>0</v>
      </c>
      <c r="S417" s="359">
        <f t="shared" si="73"/>
        <v>0</v>
      </c>
    </row>
    <row r="418" spans="1:19">
      <c r="A418" s="157"/>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-4.0000000000000565E-3</v>
      </c>
      <c r="R418" s="713">
        <f t="shared" si="82"/>
        <v>0</v>
      </c>
      <c r="S418" s="359">
        <f t="shared" si="73"/>
        <v>0</v>
      </c>
    </row>
    <row r="419" spans="1:19">
      <c r="A419" s="157"/>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-4.0000000000000565E-3</v>
      </c>
      <c r="R419" s="713">
        <f t="shared" si="82"/>
        <v>0</v>
      </c>
      <c r="S419" s="359">
        <f t="shared" si="73"/>
        <v>0</v>
      </c>
    </row>
    <row r="420" spans="1:19">
      <c r="A420" s="157"/>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-4.0000000000000565E-3</v>
      </c>
      <c r="R420" s="713">
        <f t="shared" si="82"/>
        <v>0</v>
      </c>
      <c r="S420" s="359">
        <f t="shared" si="73"/>
        <v>0</v>
      </c>
    </row>
    <row r="421" spans="1:19">
      <c r="A421" s="157"/>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-4.0000000000000565E-3</v>
      </c>
      <c r="R421" s="713">
        <f t="shared" si="82"/>
        <v>0</v>
      </c>
      <c r="S421" s="359">
        <f t="shared" si="73"/>
        <v>0</v>
      </c>
    </row>
    <row r="422" spans="1:19">
      <c r="A422" s="157"/>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-4.0000000000000565E-3</v>
      </c>
      <c r="R422" s="713">
        <f t="shared" si="82"/>
        <v>0</v>
      </c>
      <c r="S422" s="359">
        <f t="shared" si="73"/>
        <v>0</v>
      </c>
    </row>
    <row r="423" spans="1:19">
      <c r="A423" s="157"/>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-4.0000000000000565E-3</v>
      </c>
      <c r="R423" s="713">
        <f t="shared" si="82"/>
        <v>0</v>
      </c>
      <c r="S423" s="359">
        <f t="shared" ref="S423:S467" si="83">ROUND(R423*B423/10000,0)</f>
        <v>0</v>
      </c>
    </row>
    <row r="424" spans="1:19">
      <c r="A424" s="157"/>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-4.0000000000000565E-3</v>
      </c>
      <c r="R424" s="713">
        <f t="shared" si="82"/>
        <v>0</v>
      </c>
      <c r="S424" s="359">
        <f t="shared" si="83"/>
        <v>0</v>
      </c>
    </row>
    <row r="425" spans="1:19">
      <c r="A425" s="157"/>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-4.0000000000000565E-3</v>
      </c>
      <c r="R425" s="713">
        <f t="shared" si="82"/>
        <v>0</v>
      </c>
      <c r="S425" s="359">
        <f t="shared" si="83"/>
        <v>0</v>
      </c>
    </row>
    <row r="426" spans="1:19">
      <c r="A426" s="157"/>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-4.0000000000000565E-3</v>
      </c>
      <c r="R426" s="713">
        <f t="shared" si="82"/>
        <v>0</v>
      </c>
      <c r="S426" s="359">
        <f t="shared" si="83"/>
        <v>0</v>
      </c>
    </row>
    <row r="427" spans="1:19">
      <c r="A427" s="157"/>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-4.0000000000000565E-3</v>
      </c>
      <c r="R427" s="713">
        <f t="shared" si="82"/>
        <v>0</v>
      </c>
      <c r="S427" s="359">
        <f t="shared" si="83"/>
        <v>0</v>
      </c>
    </row>
    <row r="428" spans="1:19">
      <c r="A428" s="157"/>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-4.0000000000000565E-3</v>
      </c>
      <c r="R428" s="713">
        <f t="shared" si="82"/>
        <v>0</v>
      </c>
      <c r="S428" s="359">
        <f t="shared" si="83"/>
        <v>0</v>
      </c>
    </row>
    <row r="429" spans="1:19">
      <c r="A429" s="157"/>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-4.0000000000000565E-3</v>
      </c>
      <c r="R429" s="713">
        <f t="shared" si="82"/>
        <v>0</v>
      </c>
      <c r="S429" s="359">
        <f t="shared" si="83"/>
        <v>0</v>
      </c>
    </row>
    <row r="430" spans="1:19">
      <c r="A430" s="157"/>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-4.0000000000000565E-3</v>
      </c>
      <c r="R430" s="713">
        <f t="shared" si="82"/>
        <v>0</v>
      </c>
      <c r="S430" s="359">
        <f t="shared" si="83"/>
        <v>0</v>
      </c>
    </row>
    <row r="431" spans="1:19">
      <c r="A431" s="157"/>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-4.0000000000000565E-3</v>
      </c>
      <c r="R431" s="713">
        <f t="shared" si="82"/>
        <v>0</v>
      </c>
      <c r="S431" s="359">
        <f t="shared" si="83"/>
        <v>0</v>
      </c>
    </row>
    <row r="432" spans="1:19">
      <c r="A432" s="157"/>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-4.0000000000000565E-3</v>
      </c>
      <c r="R432" s="713">
        <f t="shared" si="82"/>
        <v>0</v>
      </c>
      <c r="S432" s="359">
        <f t="shared" si="83"/>
        <v>0</v>
      </c>
    </row>
    <row r="433" spans="1:19">
      <c r="A433" s="157"/>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-4.0000000000000565E-3</v>
      </c>
      <c r="R433" s="713">
        <f t="shared" si="82"/>
        <v>0</v>
      </c>
      <c r="S433" s="359">
        <f t="shared" si="83"/>
        <v>0</v>
      </c>
    </row>
    <row r="434" spans="1:19">
      <c r="A434" s="157"/>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-4.0000000000000565E-3</v>
      </c>
      <c r="R434" s="713">
        <f t="shared" si="82"/>
        <v>0</v>
      </c>
      <c r="S434" s="359">
        <f t="shared" si="83"/>
        <v>0</v>
      </c>
    </row>
    <row r="435" spans="1:19">
      <c r="A435" s="157"/>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-4.0000000000000565E-3</v>
      </c>
      <c r="R435" s="713">
        <f t="shared" si="82"/>
        <v>0</v>
      </c>
      <c r="S435" s="359">
        <f t="shared" si="83"/>
        <v>0</v>
      </c>
    </row>
    <row r="436" spans="1:19">
      <c r="A436" s="157"/>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-4.0000000000000565E-3</v>
      </c>
      <c r="R436" s="713">
        <f t="shared" si="82"/>
        <v>0</v>
      </c>
      <c r="S436" s="359">
        <f t="shared" si="83"/>
        <v>0</v>
      </c>
    </row>
    <row r="437" spans="1:19">
      <c r="A437" s="157"/>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-4.0000000000000565E-3</v>
      </c>
      <c r="R437" s="713">
        <f t="shared" si="82"/>
        <v>0</v>
      </c>
      <c r="S437" s="359">
        <f t="shared" si="83"/>
        <v>0</v>
      </c>
    </row>
    <row r="438" spans="1:19">
      <c r="A438" s="157"/>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-4.0000000000000565E-3</v>
      </c>
      <c r="R438" s="713">
        <f t="shared" si="82"/>
        <v>0</v>
      </c>
      <c r="S438" s="359">
        <f t="shared" si="83"/>
        <v>0</v>
      </c>
    </row>
    <row r="439" spans="1:19">
      <c r="A439" s="157"/>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-4.0000000000000565E-3</v>
      </c>
      <c r="R439" s="713">
        <f t="shared" si="82"/>
        <v>0</v>
      </c>
      <c r="S439" s="359">
        <f t="shared" si="83"/>
        <v>0</v>
      </c>
    </row>
    <row r="440" spans="1:19">
      <c r="A440" s="157"/>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-4.0000000000000565E-3</v>
      </c>
      <c r="R440" s="713">
        <f t="shared" si="82"/>
        <v>0</v>
      </c>
      <c r="S440" s="359">
        <f t="shared" si="83"/>
        <v>0</v>
      </c>
    </row>
    <row r="441" spans="1:19">
      <c r="A441" s="157"/>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-4.0000000000000565E-3</v>
      </c>
      <c r="R441" s="713">
        <f t="shared" si="82"/>
        <v>0</v>
      </c>
      <c r="S441" s="359">
        <f t="shared" si="83"/>
        <v>0</v>
      </c>
    </row>
    <row r="442" spans="1:19">
      <c r="A442" s="157"/>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-4.0000000000000565E-3</v>
      </c>
      <c r="R442" s="713">
        <f t="shared" si="82"/>
        <v>0</v>
      </c>
      <c r="S442" s="359">
        <f t="shared" si="83"/>
        <v>0</v>
      </c>
    </row>
    <row r="443" spans="1:19">
      <c r="A443" s="157"/>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-4.0000000000000565E-3</v>
      </c>
      <c r="R443" s="713">
        <f t="shared" si="82"/>
        <v>0</v>
      </c>
      <c r="S443" s="359">
        <f t="shared" si="83"/>
        <v>0</v>
      </c>
    </row>
    <row r="444" spans="1:19">
      <c r="A444" s="157"/>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-4.0000000000000565E-3</v>
      </c>
      <c r="R444" s="713">
        <f t="shared" si="82"/>
        <v>0</v>
      </c>
      <c r="S444" s="359">
        <f t="shared" si="83"/>
        <v>0</v>
      </c>
    </row>
    <row r="445" spans="1:19">
      <c r="A445" s="157"/>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-4.0000000000000565E-3</v>
      </c>
      <c r="R445" s="713">
        <f t="shared" si="82"/>
        <v>0</v>
      </c>
      <c r="S445" s="359">
        <f t="shared" si="83"/>
        <v>0</v>
      </c>
    </row>
    <row r="446" spans="1:19">
      <c r="A446" s="157"/>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-4.0000000000000565E-3</v>
      </c>
      <c r="R446" s="713">
        <f t="shared" si="82"/>
        <v>0</v>
      </c>
      <c r="S446" s="359">
        <f t="shared" si="83"/>
        <v>0</v>
      </c>
    </row>
    <row r="447" spans="1:19">
      <c r="A447" s="157"/>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-4.0000000000000565E-3</v>
      </c>
      <c r="R447" s="713">
        <f t="shared" si="82"/>
        <v>0</v>
      </c>
      <c r="S447" s="359">
        <f t="shared" si="83"/>
        <v>0</v>
      </c>
    </row>
    <row r="448" spans="1:19">
      <c r="A448" s="157"/>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-4.0000000000000565E-3</v>
      </c>
      <c r="R448" s="713">
        <f t="shared" si="82"/>
        <v>0</v>
      </c>
      <c r="S448" s="359">
        <f t="shared" si="83"/>
        <v>0</v>
      </c>
    </row>
    <row r="449" spans="1:19">
      <c r="A449" s="157"/>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-4.0000000000000565E-3</v>
      </c>
      <c r="R449" s="713">
        <f t="shared" si="82"/>
        <v>0</v>
      </c>
      <c r="S449" s="359">
        <f t="shared" si="83"/>
        <v>0</v>
      </c>
    </row>
    <row r="450" spans="1:19">
      <c r="A450" s="157"/>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-4.0000000000000565E-3</v>
      </c>
      <c r="R450" s="713">
        <f t="shared" si="82"/>
        <v>0</v>
      </c>
      <c r="S450" s="359">
        <f t="shared" si="83"/>
        <v>0</v>
      </c>
    </row>
    <row r="451" spans="1:19">
      <c r="A451" s="157"/>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-4.0000000000000565E-3</v>
      </c>
      <c r="R451" s="713">
        <f t="shared" si="82"/>
        <v>0</v>
      </c>
      <c r="S451" s="359">
        <f t="shared" si="83"/>
        <v>0</v>
      </c>
    </row>
    <row r="452" spans="1:19">
      <c r="A452" s="157"/>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-4.0000000000000565E-3</v>
      </c>
      <c r="R452" s="713">
        <f t="shared" si="82"/>
        <v>0</v>
      </c>
      <c r="S452" s="359">
        <f t="shared" si="83"/>
        <v>0</v>
      </c>
    </row>
    <row r="453" spans="1:19">
      <c r="A453" s="157"/>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-4.0000000000000565E-3</v>
      </c>
      <c r="R453" s="713">
        <f t="shared" si="82"/>
        <v>0</v>
      </c>
      <c r="S453" s="359">
        <f t="shared" si="83"/>
        <v>0</v>
      </c>
    </row>
    <row r="454" spans="1:19">
      <c r="A454" s="157"/>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-4.0000000000000565E-3</v>
      </c>
      <c r="R454" s="713">
        <f t="shared" si="82"/>
        <v>0</v>
      </c>
      <c r="S454" s="359">
        <f t="shared" si="83"/>
        <v>0</v>
      </c>
    </row>
    <row r="455" spans="1:19">
      <c r="A455" s="157"/>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-4.0000000000000565E-3</v>
      </c>
      <c r="R455" s="713">
        <f t="shared" si="82"/>
        <v>0</v>
      </c>
      <c r="S455" s="359">
        <f t="shared" si="83"/>
        <v>0</v>
      </c>
    </row>
    <row r="456" spans="1:19">
      <c r="A456" s="157"/>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-4.0000000000000565E-3</v>
      </c>
      <c r="R456" s="713">
        <f t="shared" si="82"/>
        <v>0</v>
      </c>
      <c r="S456" s="359">
        <f t="shared" si="83"/>
        <v>0</v>
      </c>
    </row>
    <row r="457" spans="1:19">
      <c r="A457" s="157"/>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-4.0000000000000565E-3</v>
      </c>
      <c r="R457" s="713">
        <f t="shared" si="82"/>
        <v>0</v>
      </c>
      <c r="S457" s="359">
        <f t="shared" si="83"/>
        <v>0</v>
      </c>
    </row>
    <row r="458" spans="1:19">
      <c r="A458" s="157"/>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-4.0000000000000565E-3</v>
      </c>
      <c r="R458" s="713">
        <f t="shared" si="82"/>
        <v>0</v>
      </c>
      <c r="S458" s="359">
        <f t="shared" si="83"/>
        <v>0</v>
      </c>
    </row>
    <row r="459" spans="1:19">
      <c r="A459" s="157"/>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-4.0000000000000565E-3</v>
      </c>
      <c r="R459" s="713">
        <f t="shared" si="82"/>
        <v>0</v>
      </c>
      <c r="S459" s="359">
        <f t="shared" si="83"/>
        <v>0</v>
      </c>
    </row>
    <row r="460" spans="1:19">
      <c r="A460" s="157"/>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-4.0000000000000565E-3</v>
      </c>
      <c r="R460" s="713">
        <f t="shared" si="82"/>
        <v>0</v>
      </c>
      <c r="S460" s="359">
        <f t="shared" si="83"/>
        <v>0</v>
      </c>
    </row>
    <row r="461" spans="1:19">
      <c r="A461" s="157"/>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-4.0000000000000565E-3</v>
      </c>
      <c r="R461" s="713">
        <f t="shared" si="82"/>
        <v>0</v>
      </c>
      <c r="S461" s="359">
        <f t="shared" si="83"/>
        <v>0</v>
      </c>
    </row>
    <row r="462" spans="1:19">
      <c r="A462" s="157"/>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-4.0000000000000565E-3</v>
      </c>
      <c r="R462" s="713">
        <f t="shared" si="82"/>
        <v>0</v>
      </c>
      <c r="S462" s="359">
        <f t="shared" si="83"/>
        <v>0</v>
      </c>
    </row>
    <row r="463" spans="1:19">
      <c r="A463" s="157"/>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-4.0000000000000565E-3</v>
      </c>
      <c r="R463" s="713">
        <f t="shared" si="82"/>
        <v>0</v>
      </c>
      <c r="S463" s="359">
        <f t="shared" si="83"/>
        <v>0</v>
      </c>
    </row>
    <row r="464" spans="1:19">
      <c r="A464" s="157"/>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-4.0000000000000565E-3</v>
      </c>
      <c r="R464" s="713">
        <f t="shared" si="82"/>
        <v>0</v>
      </c>
      <c r="S464" s="359">
        <f t="shared" si="83"/>
        <v>0</v>
      </c>
    </row>
    <row r="465" spans="1:19">
      <c r="A465" s="157"/>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-4.0000000000000565E-3</v>
      </c>
      <c r="R465" s="713">
        <f t="shared" si="82"/>
        <v>0</v>
      </c>
      <c r="S465" s="359">
        <f t="shared" si="83"/>
        <v>0</v>
      </c>
    </row>
    <row r="466" spans="1:19">
      <c r="A466" s="157"/>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-4.0000000000000565E-3</v>
      </c>
      <c r="R466" s="713">
        <f t="shared" si="82"/>
        <v>0</v>
      </c>
      <c r="S466" s="359">
        <f t="shared" si="83"/>
        <v>0</v>
      </c>
    </row>
    <row r="467" spans="1:19">
      <c r="A467" s="157"/>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-4.0000000000000565E-3</v>
      </c>
      <c r="R467" s="713">
        <f t="shared" si="82"/>
        <v>0</v>
      </c>
      <c r="S467" s="359">
        <f t="shared" si="83"/>
        <v>0</v>
      </c>
    </row>
    <row r="468" spans="1:19">
      <c r="A468" s="157"/>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-4.0000000000000565E-3</v>
      </c>
      <c r="R468" s="713">
        <f t="shared" si="82"/>
        <v>0</v>
      </c>
      <c r="S468" s="359">
        <f t="shared" ref="S468:S497" si="84">ROUND(R468*B468/10000,0)</f>
        <v>0</v>
      </c>
    </row>
    <row r="469" spans="1:19">
      <c r="A469" s="157"/>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-4.0000000000000565E-3</v>
      </c>
      <c r="R469" s="713">
        <f t="shared" si="82"/>
        <v>0</v>
      </c>
      <c r="S469" s="359">
        <f t="shared" si="84"/>
        <v>0</v>
      </c>
    </row>
    <row r="470" spans="1:19">
      <c r="A470" s="157"/>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-4.0000000000000565E-3</v>
      </c>
      <c r="R470" s="713">
        <f t="shared" si="82"/>
        <v>0</v>
      </c>
      <c r="S470" s="359">
        <f t="shared" si="84"/>
        <v>0</v>
      </c>
    </row>
    <row r="471" spans="1:19">
      <c r="A471" s="157"/>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-4.0000000000000565E-3</v>
      </c>
      <c r="R471" s="713">
        <f t="shared" si="82"/>
        <v>0</v>
      </c>
      <c r="S471" s="359">
        <f t="shared" si="84"/>
        <v>0</v>
      </c>
    </row>
    <row r="472" spans="1:19">
      <c r="A472" s="157"/>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-4.0000000000000565E-3</v>
      </c>
      <c r="R472" s="713">
        <f t="shared" si="82"/>
        <v>0</v>
      </c>
      <c r="S472" s="359">
        <f t="shared" si="84"/>
        <v>0</v>
      </c>
    </row>
    <row r="473" spans="1:19">
      <c r="A473" s="157"/>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-4.0000000000000565E-3</v>
      </c>
      <c r="R473" s="713">
        <f t="shared" si="82"/>
        <v>0</v>
      </c>
      <c r="S473" s="359">
        <f t="shared" si="84"/>
        <v>0</v>
      </c>
    </row>
    <row r="474" spans="1:19">
      <c r="A474" s="157"/>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-4.0000000000000565E-3</v>
      </c>
      <c r="R474" s="713">
        <f t="shared" ref="R474:R524" si="93">IF(B474="",0,ROUND($R$24*C474*E474*G474*I474*K474*M474*O474*Q474,0))</f>
        <v>0</v>
      </c>
      <c r="S474" s="359">
        <f t="shared" si="84"/>
        <v>0</v>
      </c>
    </row>
    <row r="475" spans="1:19">
      <c r="A475" s="157"/>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-4.0000000000000565E-3</v>
      </c>
      <c r="R475" s="713">
        <f t="shared" si="93"/>
        <v>0</v>
      </c>
      <c r="S475" s="359">
        <f t="shared" si="84"/>
        <v>0</v>
      </c>
    </row>
    <row r="476" spans="1:19">
      <c r="A476" s="157"/>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-4.0000000000000565E-3</v>
      </c>
      <c r="R476" s="713">
        <f t="shared" si="93"/>
        <v>0</v>
      </c>
      <c r="S476" s="359">
        <f t="shared" si="84"/>
        <v>0</v>
      </c>
    </row>
    <row r="477" spans="1:19">
      <c r="A477" s="157"/>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-4.0000000000000565E-3</v>
      </c>
      <c r="R477" s="713">
        <f t="shared" si="93"/>
        <v>0</v>
      </c>
      <c r="S477" s="359">
        <f t="shared" si="84"/>
        <v>0</v>
      </c>
    </row>
    <row r="478" spans="1:19">
      <c r="A478" s="157"/>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-4.0000000000000565E-3</v>
      </c>
      <c r="R478" s="713">
        <f t="shared" si="93"/>
        <v>0</v>
      </c>
      <c r="S478" s="359">
        <f t="shared" si="84"/>
        <v>0</v>
      </c>
    </row>
    <row r="479" spans="1:19">
      <c r="A479" s="157"/>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-4.0000000000000565E-3</v>
      </c>
      <c r="R479" s="713">
        <f t="shared" si="93"/>
        <v>0</v>
      </c>
      <c r="S479" s="359">
        <f t="shared" si="84"/>
        <v>0</v>
      </c>
    </row>
    <row r="480" spans="1:19">
      <c r="A480" s="157"/>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-4.0000000000000565E-3</v>
      </c>
      <c r="R480" s="713">
        <f t="shared" si="93"/>
        <v>0</v>
      </c>
      <c r="S480" s="359">
        <f t="shared" si="84"/>
        <v>0</v>
      </c>
    </row>
    <row r="481" spans="1:19">
      <c r="A481" s="157"/>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-4.0000000000000565E-3</v>
      </c>
      <c r="R481" s="713">
        <f t="shared" si="93"/>
        <v>0</v>
      </c>
      <c r="S481" s="359">
        <f t="shared" si="84"/>
        <v>0</v>
      </c>
    </row>
    <row r="482" spans="1:19">
      <c r="A482" s="157"/>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-4.0000000000000565E-3</v>
      </c>
      <c r="R482" s="713">
        <f t="shared" si="93"/>
        <v>0</v>
      </c>
      <c r="S482" s="359">
        <f t="shared" si="84"/>
        <v>0</v>
      </c>
    </row>
    <row r="483" spans="1:19">
      <c r="A483" s="157"/>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-4.0000000000000565E-3</v>
      </c>
      <c r="R483" s="713">
        <f t="shared" si="93"/>
        <v>0</v>
      </c>
      <c r="S483" s="359">
        <f t="shared" si="84"/>
        <v>0</v>
      </c>
    </row>
    <row r="484" spans="1:19">
      <c r="A484" s="157"/>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-4.0000000000000565E-3</v>
      </c>
      <c r="R484" s="713">
        <f t="shared" si="93"/>
        <v>0</v>
      </c>
      <c r="S484" s="359">
        <f t="shared" si="84"/>
        <v>0</v>
      </c>
    </row>
    <row r="485" spans="1:19">
      <c r="A485" s="157"/>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-4.0000000000000565E-3</v>
      </c>
      <c r="R485" s="713">
        <f t="shared" si="93"/>
        <v>0</v>
      </c>
      <c r="S485" s="359">
        <f t="shared" si="84"/>
        <v>0</v>
      </c>
    </row>
    <row r="486" spans="1:19">
      <c r="A486" s="157"/>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-4.0000000000000565E-3</v>
      </c>
      <c r="R486" s="713">
        <f t="shared" si="93"/>
        <v>0</v>
      </c>
      <c r="S486" s="359">
        <f t="shared" si="84"/>
        <v>0</v>
      </c>
    </row>
    <row r="487" spans="1:19">
      <c r="A487" s="157"/>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-4.0000000000000565E-3</v>
      </c>
      <c r="R487" s="713">
        <f t="shared" si="93"/>
        <v>0</v>
      </c>
      <c r="S487" s="359">
        <f t="shared" si="84"/>
        <v>0</v>
      </c>
    </row>
    <row r="488" spans="1:19">
      <c r="A488" s="157"/>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-4.0000000000000565E-3</v>
      </c>
      <c r="R488" s="713">
        <f t="shared" si="93"/>
        <v>0</v>
      </c>
      <c r="S488" s="359">
        <f t="shared" si="84"/>
        <v>0</v>
      </c>
    </row>
    <row r="489" spans="1:19">
      <c r="A489" s="157"/>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-4.0000000000000565E-3</v>
      </c>
      <c r="R489" s="713">
        <f t="shared" si="93"/>
        <v>0</v>
      </c>
      <c r="S489" s="359">
        <f t="shared" si="84"/>
        <v>0</v>
      </c>
    </row>
    <row r="490" spans="1:19">
      <c r="A490" s="157"/>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-4.0000000000000565E-3</v>
      </c>
      <c r="R490" s="713">
        <f t="shared" si="93"/>
        <v>0</v>
      </c>
      <c r="S490" s="359">
        <f t="shared" si="84"/>
        <v>0</v>
      </c>
    </row>
    <row r="491" spans="1:19">
      <c r="A491" s="157"/>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-4.0000000000000565E-3</v>
      </c>
      <c r="R491" s="713">
        <f t="shared" si="93"/>
        <v>0</v>
      </c>
      <c r="S491" s="359">
        <f t="shared" si="84"/>
        <v>0</v>
      </c>
    </row>
    <row r="492" spans="1:19">
      <c r="A492" s="157"/>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-4.0000000000000565E-3</v>
      </c>
      <c r="R492" s="713">
        <f t="shared" si="93"/>
        <v>0</v>
      </c>
      <c r="S492" s="359">
        <f t="shared" si="84"/>
        <v>0</v>
      </c>
    </row>
    <row r="493" spans="1:19">
      <c r="A493" s="157"/>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-4.0000000000000565E-3</v>
      </c>
      <c r="R493" s="713">
        <f t="shared" si="93"/>
        <v>0</v>
      </c>
      <c r="S493" s="359">
        <f t="shared" si="84"/>
        <v>0</v>
      </c>
    </row>
    <row r="494" spans="1:19">
      <c r="A494" s="157"/>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-4.0000000000000565E-3</v>
      </c>
      <c r="R494" s="713">
        <f t="shared" si="93"/>
        <v>0</v>
      </c>
      <c r="S494" s="359">
        <f t="shared" si="84"/>
        <v>0</v>
      </c>
    </row>
    <row r="495" spans="1:19">
      <c r="A495" s="157"/>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-4.0000000000000565E-3</v>
      </c>
      <c r="R495" s="713">
        <f t="shared" si="93"/>
        <v>0</v>
      </c>
      <c r="S495" s="359">
        <f t="shared" si="84"/>
        <v>0</v>
      </c>
    </row>
    <row r="496" spans="1:19">
      <c r="A496" s="157"/>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-4.0000000000000565E-3</v>
      </c>
      <c r="R496" s="713">
        <f t="shared" si="93"/>
        <v>0</v>
      </c>
      <c r="S496" s="359">
        <f t="shared" si="84"/>
        <v>0</v>
      </c>
    </row>
    <row r="497" spans="1:19">
      <c r="A497" s="157"/>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-4.0000000000000565E-3</v>
      </c>
      <c r="R497" s="713">
        <f t="shared" si="93"/>
        <v>0</v>
      </c>
      <c r="S497" s="359">
        <f t="shared" si="84"/>
        <v>0</v>
      </c>
    </row>
    <row r="498" spans="1:19">
      <c r="A498" s="157"/>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-4.0000000000000565E-3</v>
      </c>
      <c r="R498" s="713">
        <f t="shared" si="93"/>
        <v>0</v>
      </c>
      <c r="S498" s="359">
        <f t="shared" ref="S498:S524" si="94">ROUND(R498*B498/10000,0)</f>
        <v>0</v>
      </c>
    </row>
    <row r="499" spans="1:19">
      <c r="A499" s="157"/>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-4.0000000000000565E-3</v>
      </c>
      <c r="R499" s="713">
        <f t="shared" si="93"/>
        <v>0</v>
      </c>
      <c r="S499" s="359">
        <f t="shared" si="94"/>
        <v>0</v>
      </c>
    </row>
    <row r="500" spans="1:19">
      <c r="A500" s="157"/>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-4.0000000000000565E-3</v>
      </c>
      <c r="R500" s="713">
        <f t="shared" si="93"/>
        <v>0</v>
      </c>
      <c r="S500" s="359">
        <f t="shared" si="94"/>
        <v>0</v>
      </c>
    </row>
    <row r="501" spans="1:19">
      <c r="A501" s="157"/>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-4.0000000000000565E-3</v>
      </c>
      <c r="R501" s="713">
        <f t="shared" si="93"/>
        <v>0</v>
      </c>
      <c r="S501" s="359">
        <f t="shared" si="94"/>
        <v>0</v>
      </c>
    </row>
    <row r="502" spans="1:19">
      <c r="A502" s="157"/>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-4.0000000000000565E-3</v>
      </c>
      <c r="R502" s="713">
        <f t="shared" si="93"/>
        <v>0</v>
      </c>
      <c r="S502" s="359">
        <f t="shared" si="94"/>
        <v>0</v>
      </c>
    </row>
    <row r="503" spans="1:19">
      <c r="A503" s="157"/>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-4.0000000000000565E-3</v>
      </c>
      <c r="R503" s="713">
        <f t="shared" si="93"/>
        <v>0</v>
      </c>
      <c r="S503" s="359">
        <f t="shared" si="94"/>
        <v>0</v>
      </c>
    </row>
    <row r="504" spans="1:19">
      <c r="A504" s="157"/>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-4.0000000000000565E-3</v>
      </c>
      <c r="R504" s="713">
        <f t="shared" si="93"/>
        <v>0</v>
      </c>
      <c r="S504" s="359">
        <f t="shared" si="94"/>
        <v>0</v>
      </c>
    </row>
    <row r="505" spans="1:19">
      <c r="A505" s="157"/>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-4.0000000000000565E-3</v>
      </c>
      <c r="R505" s="713">
        <f t="shared" si="93"/>
        <v>0</v>
      </c>
      <c r="S505" s="359">
        <f t="shared" si="94"/>
        <v>0</v>
      </c>
    </row>
    <row r="506" spans="1:19">
      <c r="A506" s="157"/>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-4.0000000000000565E-3</v>
      </c>
      <c r="R506" s="713">
        <f t="shared" si="93"/>
        <v>0</v>
      </c>
      <c r="S506" s="359">
        <f t="shared" si="94"/>
        <v>0</v>
      </c>
    </row>
    <row r="507" spans="1:19">
      <c r="A507" s="157"/>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-4.0000000000000565E-3</v>
      </c>
      <c r="R507" s="713">
        <f t="shared" si="93"/>
        <v>0</v>
      </c>
      <c r="S507" s="359">
        <f t="shared" si="94"/>
        <v>0</v>
      </c>
    </row>
    <row r="508" spans="1:19">
      <c r="A508" s="157"/>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-4.0000000000000565E-3</v>
      </c>
      <c r="R508" s="713">
        <f t="shared" si="93"/>
        <v>0</v>
      </c>
      <c r="S508" s="359">
        <f t="shared" si="94"/>
        <v>0</v>
      </c>
    </row>
    <row r="509" spans="1:19">
      <c r="A509" s="157"/>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-4.0000000000000565E-3</v>
      </c>
      <c r="R509" s="713">
        <f t="shared" si="93"/>
        <v>0</v>
      </c>
      <c r="S509" s="359">
        <f t="shared" si="94"/>
        <v>0</v>
      </c>
    </row>
    <row r="510" spans="1:19">
      <c r="A510" s="157"/>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-4.0000000000000565E-3</v>
      </c>
      <c r="R510" s="713">
        <f t="shared" si="93"/>
        <v>0</v>
      </c>
      <c r="S510" s="359">
        <f t="shared" si="94"/>
        <v>0</v>
      </c>
    </row>
    <row r="511" spans="1:19">
      <c r="A511" s="157"/>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-4.0000000000000565E-3</v>
      </c>
      <c r="R511" s="713">
        <f t="shared" si="93"/>
        <v>0</v>
      </c>
      <c r="S511" s="359">
        <f t="shared" si="94"/>
        <v>0</v>
      </c>
    </row>
    <row r="512" spans="1:19">
      <c r="A512" s="157"/>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-4.0000000000000565E-3</v>
      </c>
      <c r="R512" s="713">
        <f t="shared" si="93"/>
        <v>0</v>
      </c>
      <c r="S512" s="359">
        <f t="shared" si="94"/>
        <v>0</v>
      </c>
    </row>
    <row r="513" spans="1:19">
      <c r="A513" s="157"/>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-4.0000000000000565E-3</v>
      </c>
      <c r="R513" s="713">
        <f t="shared" si="93"/>
        <v>0</v>
      </c>
      <c r="S513" s="359">
        <f t="shared" si="94"/>
        <v>0</v>
      </c>
    </row>
    <row r="514" spans="1:19">
      <c r="A514" s="157"/>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-4.0000000000000565E-3</v>
      </c>
      <c r="R514" s="713">
        <f t="shared" si="93"/>
        <v>0</v>
      </c>
      <c r="S514" s="359">
        <f t="shared" si="94"/>
        <v>0</v>
      </c>
    </row>
    <row r="515" spans="1:19">
      <c r="A515" s="157"/>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-4.0000000000000565E-3</v>
      </c>
      <c r="R515" s="713">
        <f t="shared" si="93"/>
        <v>0</v>
      </c>
      <c r="S515" s="359">
        <f t="shared" si="94"/>
        <v>0</v>
      </c>
    </row>
    <row r="516" spans="1:19">
      <c r="A516" s="157"/>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-4.0000000000000565E-3</v>
      </c>
      <c r="R516" s="713">
        <f t="shared" si="93"/>
        <v>0</v>
      </c>
      <c r="S516" s="359">
        <f t="shared" si="94"/>
        <v>0</v>
      </c>
    </row>
    <row r="517" spans="1:19">
      <c r="A517" s="157"/>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-4.0000000000000565E-3</v>
      </c>
      <c r="R517" s="713">
        <f t="shared" si="93"/>
        <v>0</v>
      </c>
      <c r="S517" s="359">
        <f t="shared" si="94"/>
        <v>0</v>
      </c>
    </row>
    <row r="518" spans="1:19">
      <c r="A518" s="157"/>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-4.0000000000000565E-3</v>
      </c>
      <c r="R518" s="713">
        <f t="shared" si="93"/>
        <v>0</v>
      </c>
      <c r="S518" s="359">
        <f t="shared" si="94"/>
        <v>0</v>
      </c>
    </row>
    <row r="519" spans="1:19">
      <c r="A519" s="157"/>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-4.0000000000000565E-3</v>
      </c>
      <c r="R519" s="713">
        <f t="shared" si="93"/>
        <v>0</v>
      </c>
      <c r="S519" s="359">
        <f t="shared" si="94"/>
        <v>0</v>
      </c>
    </row>
    <row r="520" spans="1:19">
      <c r="A520" s="157"/>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-4.0000000000000565E-3</v>
      </c>
      <c r="R520" s="713">
        <f t="shared" si="93"/>
        <v>0</v>
      </c>
      <c r="S520" s="359">
        <f t="shared" si="94"/>
        <v>0</v>
      </c>
    </row>
    <row r="521" spans="1:19">
      <c r="A521" s="157"/>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-4.0000000000000565E-3</v>
      </c>
      <c r="R521" s="713">
        <f t="shared" si="93"/>
        <v>0</v>
      </c>
      <c r="S521" s="359">
        <f t="shared" si="94"/>
        <v>0</v>
      </c>
    </row>
    <row r="522" spans="1:19">
      <c r="A522" s="157"/>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-4.0000000000000565E-3</v>
      </c>
      <c r="R522" s="713">
        <f t="shared" si="93"/>
        <v>0</v>
      </c>
      <c r="S522" s="359">
        <f t="shared" si="94"/>
        <v>0</v>
      </c>
    </row>
    <row r="523" spans="1:19">
      <c r="A523" s="157"/>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-4.0000000000000565E-3</v>
      </c>
      <c r="R523" s="713">
        <f t="shared" si="93"/>
        <v>0</v>
      </c>
      <c r="S523" s="359">
        <f t="shared" si="94"/>
        <v>0</v>
      </c>
    </row>
    <row r="524" spans="1:19">
      <c r="A524" s="157"/>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-4.0000000000000565E-3</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sheetPr>
    <tabColor rgb="FFFF0000"/>
  </sheetPr>
  <dimension ref="A1:AI512"/>
  <sheetViews>
    <sheetView view="pageBreakPreview" topLeftCell="A94" zoomScaleSheetLayoutView="100" zoomScalePageLayoutView="80" workbookViewId="0">
      <selection activeCell="C21" sqref="C21"/>
    </sheetView>
  </sheetViews>
  <sheetFormatPr defaultColWidth="12.625" defaultRowHeight="21.75" customHeight="1"/>
  <cols>
    <col min="1" max="2" width="12.625" style="2405"/>
    <col min="3"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06" t="s">
        <v>2115</v>
      </c>
      <c r="B1" s="2399"/>
      <c r="C1" s="2400" t="s">
        <v>3058</v>
      </c>
      <c r="D1" s="2399"/>
      <c r="E1" s="2399"/>
      <c r="F1" s="2401" t="s">
        <v>2116</v>
      </c>
      <c r="G1" s="2052" t="s">
        <v>3046</v>
      </c>
      <c r="H1" s="2402" t="str">
        <f>IF(G1="现房","——","估价对象范围")</f>
        <v>——</v>
      </c>
      <c r="I1" s="2403" t="s">
        <v>3095</v>
      </c>
    </row>
    <row r="2" spans="1:12" ht="21.75" customHeight="1" thickBot="1">
      <c r="A2" s="3128" t="str">
        <f>项目基本情况!S2</f>
        <v>天津市南开区红旗路与楚雄道交口西北侧房地产</v>
      </c>
      <c r="B2" s="3129"/>
      <c r="C2" s="3129"/>
      <c r="D2" s="3129"/>
      <c r="E2" s="3129"/>
      <c r="F2" s="3129"/>
      <c r="G2" s="3129"/>
      <c r="H2" s="3129"/>
      <c r="I2" s="3130"/>
    </row>
    <row r="3" spans="1:12" ht="12.75">
      <c r="A3" s="3131" t="s">
        <v>2117</v>
      </c>
      <c r="B3" s="3132"/>
      <c r="C3" s="3132"/>
      <c r="D3" s="3132"/>
      <c r="E3" s="3132"/>
      <c r="F3" s="3132"/>
      <c r="G3" s="3132"/>
      <c r="H3" s="3132"/>
      <c r="I3" s="3132"/>
    </row>
    <row r="4" spans="1:12" ht="14.25">
      <c r="A4" s="2406" t="s">
        <v>2118</v>
      </c>
      <c r="B4" s="2407" t="s">
        <v>2119</v>
      </c>
      <c r="C4" s="2408" t="s">
        <v>3099</v>
      </c>
      <c r="D4" s="2408" t="s">
        <v>3066</v>
      </c>
      <c r="E4" s="3112" t="s">
        <v>2120</v>
      </c>
      <c r="F4" s="3125"/>
      <c r="G4" s="3125"/>
      <c r="H4" s="3125"/>
      <c r="I4" s="3113"/>
      <c r="K4" s="2409" t="str">
        <f>IF(ISNUMBER(FIND("比较法",'结果表-商业'!C4)),"比较法",IF(ISNUMBER(FIND("成本法",'结果表-商业'!C4)),"成本法",IF(ISNUMBER(FIND("假设开发法",'结果表-商业'!C4)),"假设开发法",IF(ISNUMBER(FIND("收益法",'结果表-商业'!C4)),"收益法","基准地价系数修正法"))))</f>
        <v>比较法</v>
      </c>
      <c r="L4" s="240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3" t="s">
        <v>2121</v>
      </c>
      <c r="B5" s="3029">
        <v>25</v>
      </c>
      <c r="C5" s="3133"/>
      <c r="D5" s="3121"/>
      <c r="E5" s="138" t="s">
        <v>2122</v>
      </c>
      <c r="F5" s="2410"/>
      <c r="G5" s="2410"/>
      <c r="H5" s="2410"/>
      <c r="I5" s="1817"/>
    </row>
    <row r="6" spans="1:12" ht="12.75">
      <c r="A6" s="3103"/>
      <c r="B6" s="3029"/>
      <c r="C6" s="3135"/>
      <c r="D6" s="3121"/>
      <c r="E6" s="138" t="s">
        <v>2123</v>
      </c>
      <c r="F6" s="2410"/>
      <c r="G6" s="2410"/>
      <c r="H6" s="2410"/>
      <c r="I6" s="1817"/>
    </row>
    <row r="7" spans="1:12" ht="12.75">
      <c r="A7" s="3103"/>
      <c r="B7" s="3029"/>
      <c r="C7" s="3134"/>
      <c r="D7" s="3121"/>
      <c r="E7" s="138" t="s">
        <v>2124</v>
      </c>
      <c r="F7" s="2410"/>
      <c r="G7" s="2410"/>
      <c r="H7" s="2410"/>
      <c r="I7" s="1817"/>
    </row>
    <row r="8" spans="1:12" ht="12.75">
      <c r="A8" s="3103" t="s">
        <v>2125</v>
      </c>
      <c r="B8" s="3029">
        <v>15</v>
      </c>
      <c r="C8" s="3133"/>
      <c r="D8" s="3121"/>
      <c r="E8" s="138" t="s">
        <v>2126</v>
      </c>
      <c r="F8" s="2410"/>
      <c r="G8" s="2410"/>
      <c r="H8" s="2410"/>
      <c r="I8" s="1817"/>
    </row>
    <row r="9" spans="1:12" ht="12.75">
      <c r="A9" s="3103"/>
      <c r="B9" s="3029"/>
      <c r="C9" s="3134"/>
      <c r="D9" s="3121"/>
      <c r="E9" s="138" t="s">
        <v>2127</v>
      </c>
      <c r="F9" s="2410"/>
      <c r="G9" s="2410"/>
      <c r="H9" s="2410"/>
      <c r="I9" s="1817"/>
    </row>
    <row r="10" spans="1:12" ht="12.75">
      <c r="A10" s="3103" t="s">
        <v>2128</v>
      </c>
      <c r="B10" s="3029">
        <v>15</v>
      </c>
      <c r="C10" s="3133"/>
      <c r="D10" s="3121"/>
      <c r="E10" s="138" t="s">
        <v>2129</v>
      </c>
      <c r="F10" s="2410"/>
      <c r="G10" s="2410"/>
      <c r="H10" s="2410"/>
      <c r="I10" s="1817"/>
    </row>
    <row r="11" spans="1:12" ht="12.75">
      <c r="A11" s="3103"/>
      <c r="B11" s="3029"/>
      <c r="C11" s="3134"/>
      <c r="D11" s="3121"/>
      <c r="E11" s="138" t="s">
        <v>2130</v>
      </c>
      <c r="F11" s="2410"/>
      <c r="G11" s="2410"/>
      <c r="H11" s="2410"/>
      <c r="I11" s="1817"/>
    </row>
    <row r="12" spans="1:12" ht="12.75">
      <c r="A12" s="3103" t="s">
        <v>2131</v>
      </c>
      <c r="B12" s="3029">
        <v>15</v>
      </c>
      <c r="C12" s="3133"/>
      <c r="D12" s="3121"/>
      <c r="E12" s="138" t="s">
        <v>2132</v>
      </c>
      <c r="F12" s="2410"/>
      <c r="G12" s="2410"/>
      <c r="H12" s="2410"/>
      <c r="I12" s="1817"/>
    </row>
    <row r="13" spans="1:12" ht="12.75">
      <c r="A13" s="3103"/>
      <c r="B13" s="3029"/>
      <c r="C13" s="3134"/>
      <c r="D13" s="3121"/>
      <c r="E13" s="138" t="s">
        <v>2133</v>
      </c>
      <c r="F13" s="2410"/>
      <c r="G13" s="2410"/>
      <c r="H13" s="2410"/>
      <c r="I13" s="1817"/>
    </row>
    <row r="14" spans="1:12" ht="12.75">
      <c r="A14" s="3103" t="s">
        <v>2134</v>
      </c>
      <c r="B14" s="3029">
        <v>30</v>
      </c>
      <c r="C14" s="3133">
        <v>6</v>
      </c>
      <c r="D14" s="3121">
        <v>4</v>
      </c>
      <c r="E14" s="138" t="s">
        <v>2135</v>
      </c>
      <c r="F14" s="2410"/>
      <c r="G14" s="2410"/>
      <c r="H14" s="2410"/>
      <c r="I14" s="1817"/>
    </row>
    <row r="15" spans="1:12" ht="12.75">
      <c r="A15" s="3103"/>
      <c r="B15" s="3029"/>
      <c r="C15" s="3135"/>
      <c r="D15" s="3121"/>
      <c r="E15" s="138" t="s">
        <v>2136</v>
      </c>
      <c r="F15" s="2410"/>
      <c r="G15" s="2410"/>
      <c r="H15" s="2410"/>
      <c r="I15" s="1817"/>
    </row>
    <row r="16" spans="1:12" ht="12.75">
      <c r="A16" s="3103"/>
      <c r="B16" s="3029"/>
      <c r="C16" s="3134"/>
      <c r="D16" s="3121"/>
      <c r="E16" s="138" t="s">
        <v>2137</v>
      </c>
      <c r="F16" s="2410"/>
      <c r="G16" s="2410"/>
      <c r="H16" s="2410"/>
      <c r="I16" s="1817"/>
    </row>
    <row r="17" spans="1:35" ht="15">
      <c r="A17" s="2411" t="s">
        <v>2138</v>
      </c>
      <c r="B17" s="64"/>
      <c r="C17" s="139">
        <f>SUM(C5:C16)</f>
        <v>6</v>
      </c>
      <c r="D17" s="139">
        <f>SUM(D5:D16)</f>
        <v>4</v>
      </c>
      <c r="E17" s="136"/>
      <c r="F17" s="136"/>
      <c r="G17" s="136"/>
      <c r="H17" s="136"/>
      <c r="I17" s="136"/>
      <c r="K17" s="2409"/>
      <c r="L17" s="2412" t="s">
        <v>2139</v>
      </c>
      <c r="M17" s="2412" t="s">
        <v>2140</v>
      </c>
    </row>
    <row r="18" spans="1:35" ht="15.75" thickBot="1">
      <c r="A18" s="2413" t="s">
        <v>2141</v>
      </c>
      <c r="B18" s="2414"/>
      <c r="C18" s="140">
        <f>ROUND(C17/SUM(C17:D17),2)</f>
        <v>0.6</v>
      </c>
      <c r="D18" s="140">
        <f>1-C18</f>
        <v>0.4</v>
      </c>
      <c r="E18" s="136"/>
      <c r="F18" s="136"/>
      <c r="G18" s="136"/>
      <c r="H18" s="136"/>
      <c r="I18" s="136"/>
      <c r="K18" s="2409" t="s">
        <v>2142</v>
      </c>
      <c r="L18" s="2409">
        <f>IF(C1="",'数据-汇总表'!E3,SUMIF(项目类型,C1,'数据-汇总表'!E17:E26)+SUMIF(项目类型,C1,'数据-汇总表'!I17:I26))</f>
        <v>2287.46</v>
      </c>
      <c r="M18" s="2409">
        <f>IF(C1="",'数据-汇总表'!E3,SUMIF(项目类型,C1,'数据-汇总表'!E17:E26))</f>
        <v>2229.56</v>
      </c>
    </row>
    <row r="19" spans="1:35" ht="15">
      <c r="A19" s="2415" t="s">
        <v>2143</v>
      </c>
      <c r="B19" s="2416" t="s">
        <v>2144</v>
      </c>
      <c r="C19" s="141">
        <f ca="1">SUMIF(INDIRECT("'"&amp;C4&amp;"'"&amp;"!A:A"),'结果表-商业'!B19,INDIRECT("'"&amp;C4&amp;"'"&amp;"!B:B"))</f>
        <v>10197</v>
      </c>
      <c r="D19" s="142">
        <f ca="1">SUMIF(INDIRECT("'"&amp;D4&amp;"'"&amp;"!A:A"),'结果表-商业'!B19,INDIRECT("'"&amp;D4&amp;"'"&amp;"!B:B"))</f>
        <v>4994</v>
      </c>
      <c r="E19" s="2415" t="s">
        <v>2145</v>
      </c>
      <c r="F19" s="2416" t="s">
        <v>2144</v>
      </c>
      <c r="G19" s="143">
        <f ca="1">ROUND(C19*$C$18+D19*$D$18,0)</f>
        <v>8116</v>
      </c>
      <c r="H19" s="2417" t="s">
        <v>2146</v>
      </c>
      <c r="I19" s="136"/>
      <c r="K19" s="2409" t="s">
        <v>2147</v>
      </c>
      <c r="L19" s="2409">
        <f>IF(C1="",'数据-汇总表'!D3,SUMIF(项目类型,C1,'数据-汇总表'!D17:D26)+SUMIF(项目类型,C1,'数据-汇总表'!H17:H27))</f>
        <v>186.32</v>
      </c>
      <c r="M19" s="2409">
        <f>IF(C1="",'数据-汇总表'!D3,SUMIF(项目类型,C1,'数据-汇总表'!D17:D26))</f>
        <v>181.6</v>
      </c>
    </row>
    <row r="20" spans="1:35" ht="15">
      <c r="A20" s="2418"/>
      <c r="B20" s="1232" t="s">
        <v>2148</v>
      </c>
      <c r="C20" s="144">
        <f ca="1">SUMIF(INDIRECT("'"&amp;C4&amp;"'"&amp;"!A:A"),'结果表-商业'!B20,INDIRECT("'"&amp;C4&amp;"'"&amp;"!B:B"))</f>
        <v>45735</v>
      </c>
      <c r="D20" s="145">
        <f ca="1">SUMIF(INDIRECT("'"&amp;D4&amp;"'"&amp;"!A:A"),'结果表-商业'!B20,INDIRECT("'"&amp;D4&amp;"'"&amp;"!B:B"))</f>
        <v>22399</v>
      </c>
      <c r="E20" s="2418"/>
      <c r="F20" s="1232" t="s">
        <v>2148</v>
      </c>
      <c r="G20" s="146">
        <f ca="1">ROUND(C20*$C$18+D20*$D$18,0)</f>
        <v>36401</v>
      </c>
      <c r="H20" s="973" t="s">
        <v>2149</v>
      </c>
      <c r="I20" s="136"/>
    </row>
    <row r="21" spans="1:35" ht="15" customHeight="1" thickBot="1">
      <c r="A21" s="993"/>
      <c r="B21" s="2419" t="s">
        <v>2150</v>
      </c>
      <c r="C21" s="786">
        <f ca="1">ROUND(C19*10000/L19,0)</f>
        <v>547284</v>
      </c>
      <c r="D21" s="787">
        <f ca="1">ROUND(D19*10000/L19,0)</f>
        <v>268033</v>
      </c>
      <c r="E21" s="993"/>
      <c r="F21" s="2419" t="s">
        <v>2150</v>
      </c>
      <c r="G21" s="147">
        <f ca="1">ROUND(G19*10000/L19,0)</f>
        <v>435595</v>
      </c>
      <c r="H21" s="2420" t="s">
        <v>2149</v>
      </c>
      <c r="I21" s="136"/>
    </row>
    <row r="22" spans="1:35" ht="15" thickBot="1">
      <c r="A22" s="2261" t="s">
        <v>2151</v>
      </c>
      <c r="B22" s="2421"/>
      <c r="C22" s="2422"/>
      <c r="D22" s="788">
        <f ca="1">IF(C19&lt;D19,D19/C19-1,C19/D19-1)</f>
        <v>1.0418502202643172</v>
      </c>
      <c r="E22" s="136"/>
      <c r="F22" s="136"/>
      <c r="G22" s="136"/>
      <c r="H22" s="136"/>
      <c r="I22" s="136"/>
    </row>
    <row r="23" spans="1:35" ht="13.5" thickBot="1">
      <c r="A23" s="2399"/>
      <c r="B23" s="2399"/>
      <c r="C23" s="2399"/>
      <c r="D23" s="2399"/>
      <c r="E23" s="136"/>
      <c r="F23" s="136"/>
      <c r="G23" s="136"/>
      <c r="H23" s="136"/>
      <c r="I23" s="136"/>
    </row>
    <row r="24" spans="1:35" ht="14.25">
      <c r="A24" s="3142" t="s">
        <v>2152</v>
      </c>
      <c r="B24" s="2416" t="s">
        <v>2144</v>
      </c>
      <c r="C24" s="143">
        <f>IF(B30=0,0,D30)</f>
        <v>0</v>
      </c>
      <c r="D24" s="2423"/>
      <c r="E24" s="136"/>
      <c r="F24" s="136"/>
      <c r="G24" s="136"/>
      <c r="H24" s="136"/>
      <c r="I24" s="136"/>
    </row>
    <row r="25" spans="1:35" ht="14.25">
      <c r="A25" s="3143"/>
      <c r="B25" s="1232" t="s">
        <v>2148</v>
      </c>
      <c r="C25" s="148">
        <f>IF(B30=0,0,C30)</f>
        <v>0</v>
      </c>
      <c r="D25" s="2424"/>
      <c r="E25" s="136"/>
      <c r="F25" s="136"/>
      <c r="G25" s="136"/>
      <c r="H25" s="136"/>
      <c r="I25" s="136"/>
    </row>
    <row r="26" spans="1:35" ht="13.5" customHeight="1">
      <c r="A26" s="2425" t="s">
        <v>2153</v>
      </c>
      <c r="B26" s="149" t="s">
        <v>2154</v>
      </c>
      <c r="C26" s="149" t="s">
        <v>2155</v>
      </c>
      <c r="D26" s="150" t="s">
        <v>2156</v>
      </c>
      <c r="E26" s="136"/>
      <c r="F26" s="136"/>
      <c r="G26" s="136"/>
      <c r="H26" s="136"/>
      <c r="I26" s="136"/>
    </row>
    <row r="27" spans="1:35" ht="14.25">
      <c r="A27" s="2425"/>
      <c r="B27" s="149">
        <v>0</v>
      </c>
      <c r="C27" s="149">
        <v>0</v>
      </c>
      <c r="D27" s="150">
        <f>ROUND(C27*B27/10000,0)</f>
        <v>0</v>
      </c>
      <c r="E27" s="136"/>
      <c r="F27" s="136"/>
      <c r="G27" s="136"/>
      <c r="H27" s="136"/>
      <c r="I27" s="136"/>
    </row>
    <row r="28" spans="1:35" ht="14.25">
      <c r="A28" s="2425"/>
      <c r="B28" s="149"/>
      <c r="C28" s="149"/>
      <c r="D28" s="150"/>
      <c r="E28" s="136"/>
      <c r="F28" s="136"/>
      <c r="G28" s="136"/>
      <c r="H28" s="136"/>
      <c r="I28" s="136"/>
    </row>
    <row r="29" spans="1:35" ht="14.25">
      <c r="A29" s="2425"/>
      <c r="B29" s="149"/>
      <c r="C29" s="149"/>
      <c r="D29" s="150"/>
      <c r="E29" s="136"/>
      <c r="F29" s="136"/>
      <c r="G29" s="136"/>
      <c r="H29" s="136"/>
      <c r="I29" s="136"/>
    </row>
    <row r="30" spans="1:35" ht="14.25">
      <c r="A30" s="149" t="s">
        <v>2157</v>
      </c>
      <c r="B30" s="149"/>
      <c r="C30" s="149"/>
      <c r="D30" s="149"/>
      <c r="E30" s="2906" t="s">
        <v>3036</v>
      </c>
      <c r="F30" s="136"/>
      <c r="G30" s="136"/>
      <c r="H30" s="136"/>
      <c r="I30" s="136"/>
    </row>
    <row r="31" spans="1:35" s="2427" customFormat="1" ht="15" thickBot="1">
      <c r="A31" s="2426"/>
      <c r="B31" s="2426"/>
      <c r="C31" s="2426"/>
      <c r="D31" s="2426"/>
      <c r="E31" s="136"/>
      <c r="F31" s="136"/>
      <c r="G31" s="136"/>
      <c r="H31" s="136"/>
      <c r="I31" s="136"/>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2158</v>
      </c>
      <c r="B32" s="2429"/>
      <c r="C32" s="151">
        <f ca="1">IF(D32="总价",G19-C24,G20-C25)</f>
        <v>8116</v>
      </c>
      <c r="D32" s="2430" t="s">
        <v>2159</v>
      </c>
      <c r="E32" s="136"/>
      <c r="F32" s="136"/>
      <c r="G32" s="136"/>
      <c r="H32" s="136"/>
      <c r="I32" s="136"/>
    </row>
    <row r="33" spans="1:15" ht="15">
      <c r="A33" s="950" t="s">
        <v>2160</v>
      </c>
      <c r="B33" s="2431"/>
      <c r="C33" s="2432" t="s">
        <v>3096</v>
      </c>
      <c r="D33" s="2433" t="s">
        <v>3066</v>
      </c>
      <c r="E33" s="2434" t="s">
        <v>2161</v>
      </c>
      <c r="F33" s="2907" t="str">
        <f>IF(D32="楼面单价","取值（单价）","取值（总价）")</f>
        <v>取值（总价）</v>
      </c>
      <c r="G33" s="136"/>
      <c r="H33" s="136"/>
      <c r="I33" s="136"/>
    </row>
    <row r="34" spans="1:15" ht="15">
      <c r="A34" s="2436"/>
      <c r="B34" s="2437" t="s">
        <v>2162</v>
      </c>
      <c r="C34" s="155">
        <f ca="1">IF(C33="自定义",F34,C32-C35)</f>
        <v>5202</v>
      </c>
      <c r="D34" s="1048">
        <f ca="1">IF(C33="自定义",ROUND(C34/C32,3),IF(C33="收益比率",SUMIF(INDIRECT("'"&amp;D33&amp;"'"&amp;"!b:b"),"土地收益比率",INDIRECT("'"&amp;D33&amp;"'"&amp;"!c:c")),SUMIF(INDIRECT("'"&amp;D33&amp;"'"&amp;"!b:b"),"土地成本比率",INDIRECT("'"&amp;D33&amp;"'"&amp;"!c:c"))))</f>
        <v>0.64100000000000001</v>
      </c>
      <c r="E34" s="2438" t="s">
        <v>2163</v>
      </c>
      <c r="F34" s="1722"/>
      <c r="G34" s="136"/>
      <c r="H34" s="136"/>
      <c r="I34" s="136"/>
    </row>
    <row r="35" spans="1:15" ht="15.75" thickBot="1">
      <c r="A35" s="2439"/>
      <c r="B35" s="2440" t="s">
        <v>2164</v>
      </c>
      <c r="C35" s="1426">
        <f ca="1">IF(C33="自定义",F35,ROUND(C32*D35,0))</f>
        <v>2914</v>
      </c>
      <c r="D35" s="1427">
        <f ca="1">IF(C33="自定义",ROUND(C35/C32,3),IF(C33="收益比率",SUMIF(INDIRECT("'"&amp;D33&amp;"'"&amp;"!b:b"),"建筑物收益比率",INDIRECT("'"&amp;D33&amp;"'"&amp;"!c:c")),SUMIF(INDIRECT("'"&amp;D33&amp;"'"&amp;"!b:b"),"建筑物成本比率",INDIRECT("'"&amp;D33&amp;"'"&amp;"!c:c"))))</f>
        <v>0.35899999999999999</v>
      </c>
      <c r="E35" s="2441" t="s">
        <v>2165</v>
      </c>
      <c r="F35" s="161"/>
      <c r="G35" s="136"/>
      <c r="H35" s="136"/>
      <c r="I35" s="136"/>
    </row>
    <row r="36" spans="1:15" ht="15.75" thickBot="1">
      <c r="A36" s="3122" t="s">
        <v>2166</v>
      </c>
      <c r="B36" s="2442" t="s">
        <v>2167</v>
      </c>
      <c r="C36" s="152"/>
      <c r="D36" s="2443"/>
      <c r="E36" s="2444"/>
      <c r="F36" s="2445"/>
      <c r="G36" s="136"/>
      <c r="H36" s="136"/>
      <c r="I36" s="136"/>
    </row>
    <row r="37" spans="1:15" ht="15.75" thickBot="1">
      <c r="A37" s="3123"/>
      <c r="B37" s="2247" t="s">
        <v>2168</v>
      </c>
      <c r="C37" s="154"/>
      <c r="D37" s="1377"/>
      <c r="E37" s="1377"/>
      <c r="F37" s="2445"/>
      <c r="G37" s="136"/>
      <c r="H37" s="136"/>
      <c r="I37" s="136"/>
    </row>
    <row r="38" spans="1:15" ht="15.75" thickBot="1">
      <c r="A38" s="3124"/>
      <c r="B38" s="2446" t="s">
        <v>2169</v>
      </c>
      <c r="C38" s="724"/>
      <c r="D38" s="2447" t="s">
        <v>2170</v>
      </c>
      <c r="E38" s="1377"/>
      <c r="F38" s="2445"/>
      <c r="G38" s="136"/>
      <c r="H38" s="136"/>
      <c r="I38" s="136"/>
    </row>
    <row r="39" spans="1:15" ht="15">
      <c r="A39" s="2418" t="s">
        <v>2171</v>
      </c>
      <c r="B39" s="2448" t="s">
        <v>2154</v>
      </c>
      <c r="C39" s="2449" t="s">
        <v>2155</v>
      </c>
      <c r="D39" s="2449" t="s">
        <v>2174</v>
      </c>
      <c r="E39" s="2450" t="s">
        <v>2156</v>
      </c>
      <c r="F39" s="2445"/>
      <c r="G39" s="136"/>
      <c r="H39" s="136"/>
      <c r="I39" s="136"/>
    </row>
    <row r="40" spans="1:15" ht="14.25">
      <c r="A40" s="2451" t="s">
        <v>2176</v>
      </c>
      <c r="B40" s="156"/>
      <c r="C40" s="157"/>
      <c r="D40" s="157"/>
      <c r="E40" s="158"/>
      <c r="F40" s="2445"/>
      <c r="G40" s="136"/>
      <c r="H40" s="136"/>
      <c r="I40" s="136"/>
    </row>
    <row r="41" spans="1:15" ht="14.25">
      <c r="A41" s="2451" t="s">
        <v>2177</v>
      </c>
      <c r="B41" s="156"/>
      <c r="C41" s="157"/>
      <c r="D41" s="157"/>
      <c r="E41" s="158"/>
      <c r="F41" s="2445"/>
      <c r="G41" s="136"/>
      <c r="H41" s="136"/>
      <c r="I41" s="136"/>
    </row>
    <row r="42" spans="1:15" ht="15" thickBot="1">
      <c r="A42" s="2452"/>
      <c r="B42" s="159"/>
      <c r="C42" s="160"/>
      <c r="D42" s="160"/>
      <c r="E42" s="161"/>
      <c r="F42" s="2445"/>
      <c r="G42" s="136"/>
      <c r="H42" s="136"/>
      <c r="I42" s="136"/>
    </row>
    <row r="43" spans="1:15" ht="12.75">
      <c r="A43" s="2146"/>
      <c r="B43" s="2146"/>
      <c r="C43" s="2146"/>
      <c r="D43" s="2146"/>
      <c r="E43" s="2146"/>
      <c r="F43" s="2453"/>
      <c r="G43" s="2453"/>
      <c r="H43" s="2453"/>
      <c r="I43" s="2454"/>
    </row>
    <row r="44" spans="1:15" ht="18.75">
      <c r="A44" s="2455" t="s">
        <v>2178</v>
      </c>
      <c r="B44" s="2456"/>
      <c r="C44" s="2456"/>
      <c r="D44" s="2457"/>
      <c r="E44" s="2457"/>
      <c r="F44" s="2458"/>
      <c r="G44" s="2458"/>
      <c r="H44" s="2458"/>
      <c r="I44" s="2458"/>
      <c r="J44" s="2459" t="s">
        <v>2179</v>
      </c>
      <c r="K44" s="2460"/>
      <c r="L44" s="2460"/>
      <c r="M44" s="2460"/>
      <c r="N44" s="2460"/>
      <c r="O44" s="2460"/>
    </row>
    <row r="45" spans="1:15" ht="14.25" customHeight="1" thickBot="1">
      <c r="A45" s="3139" t="s">
        <v>2180</v>
      </c>
      <c r="B45" s="3140"/>
      <c r="C45" s="3141"/>
      <c r="D45" s="162">
        <f ca="1">ROUND(H101*F45,0)</f>
        <v>8116</v>
      </c>
      <c r="E45" s="163" t="s">
        <v>2181</v>
      </c>
      <c r="F45" s="164">
        <v>1</v>
      </c>
      <c r="G45" s="165" t="s">
        <v>2182</v>
      </c>
      <c r="H45" s="136"/>
      <c r="I45" s="136"/>
      <c r="J45" s="3058" t="s">
        <v>2183</v>
      </c>
      <c r="K45" s="3058"/>
      <c r="L45" s="3058"/>
      <c r="M45" s="3058"/>
      <c r="N45" s="3058"/>
      <c r="O45" s="3058"/>
    </row>
    <row r="46" spans="1:15" ht="14.25" customHeight="1">
      <c r="A46" s="3136" t="s">
        <v>2184</v>
      </c>
      <c r="B46" s="3137"/>
      <c r="C46" s="3137"/>
      <c r="D46" s="3137"/>
      <c r="E46" s="3137"/>
      <c r="F46" s="3137"/>
      <c r="G46" s="3138"/>
      <c r="H46" s="2461"/>
      <c r="I46" s="166"/>
      <c r="J46" s="2916">
        <v>1</v>
      </c>
      <c r="K46" s="3058" t="s">
        <v>2185</v>
      </c>
      <c r="L46" s="3058"/>
      <c r="M46" s="3059"/>
      <c r="N46" s="3059"/>
      <c r="O46" s="3059"/>
    </row>
    <row r="47" spans="1:15" ht="12" customHeight="1">
      <c r="A47" s="167" t="s">
        <v>2186</v>
      </c>
      <c r="B47" s="168"/>
      <c r="C47" s="169"/>
      <c r="D47" s="170" t="s">
        <v>2187</v>
      </c>
      <c r="E47" s="24" t="s">
        <v>2188</v>
      </c>
      <c r="F47" s="171" t="s">
        <v>2189</v>
      </c>
      <c r="G47" s="172" t="s">
        <v>2190</v>
      </c>
      <c r="H47" s="2461"/>
      <c r="I47" s="166"/>
      <c r="J47" s="2916">
        <v>2</v>
      </c>
      <c r="K47" s="3058" t="s">
        <v>2191</v>
      </c>
      <c r="L47" s="3058"/>
      <c r="M47" s="3060">
        <f>'数据-取费表'!B2</f>
        <v>43061</v>
      </c>
      <c r="N47" s="3060"/>
      <c r="O47" s="3060"/>
    </row>
    <row r="48" spans="1:15" ht="25.5">
      <c r="A48" s="3126" t="s">
        <v>2192</v>
      </c>
      <c r="B48" s="3127"/>
      <c r="C48" s="3127"/>
      <c r="D48" s="138">
        <f>IF(H48="情况1",0,IF(H48="情况2",D52,IF(H48="情况3",D53,IF(H48="情况4",D54))))</f>
        <v>0</v>
      </c>
      <c r="E48" s="2925" t="str">
        <f>IF(H48="情况4","(销售额-原购置价)×税（费）率","销售额×税（费）率")</f>
        <v>销售额×税（费）率</v>
      </c>
      <c r="F48" s="173" t="str">
        <f>IF(H48="情况1","免征",'数据-取费表'!B41)</f>
        <v>免征</v>
      </c>
      <c r="G48" s="2462" t="s">
        <v>2193</v>
      </c>
      <c r="H48" s="2463" t="s">
        <v>2194</v>
      </c>
      <c r="I48" s="2461"/>
      <c r="J48" s="2916">
        <v>3</v>
      </c>
      <c r="K48" s="3058" t="s">
        <v>2195</v>
      </c>
      <c r="L48" s="3058"/>
      <c r="M48" s="3061">
        <f ca="1">H101</f>
        <v>8116</v>
      </c>
      <c r="N48" s="3061"/>
      <c r="O48" s="3061"/>
    </row>
    <row r="49" spans="1:35" ht="25.5" customHeight="1">
      <c r="A49" s="174" t="s">
        <v>2196</v>
      </c>
      <c r="B49" s="3106" t="s">
        <v>2197</v>
      </c>
      <c r="C49" s="3106"/>
      <c r="D49" s="175">
        <v>0</v>
      </c>
      <c r="E49" s="23" t="s">
        <v>2198</v>
      </c>
      <c r="F49" s="28" t="s">
        <v>34</v>
      </c>
      <c r="G49" s="3087"/>
      <c r="H49" s="136"/>
      <c r="I49" s="2464"/>
      <c r="J49" s="2916">
        <v>4</v>
      </c>
      <c r="K49" s="3058" t="str">
        <f>IF(项目基本情况!E8="房地产抵押价值","房地产抵押价值","抵押担保权已注销时的房地产抵押价值")</f>
        <v>房地产抵押价值</v>
      </c>
      <c r="L49" s="3058"/>
      <c r="M49" s="3061">
        <f ca="1">IF(项目基本情况!E8="房地产抵押价值",H107,H109)</f>
        <v>8116</v>
      </c>
      <c r="N49" s="3061"/>
      <c r="O49" s="3061"/>
    </row>
    <row r="50" spans="1:35" ht="25.5" customHeight="1">
      <c r="A50" s="176"/>
      <c r="B50" s="3106" t="s">
        <v>2199</v>
      </c>
      <c r="C50" s="3106"/>
      <c r="D50" s="177"/>
      <c r="E50" s="31"/>
      <c r="F50" s="178"/>
      <c r="G50" s="3088"/>
      <c r="H50" s="136"/>
      <c r="I50" s="2464"/>
      <c r="J50" s="3058" t="s">
        <v>2200</v>
      </c>
      <c r="K50" s="3058"/>
      <c r="L50" s="3058"/>
      <c r="M50" s="3058"/>
      <c r="N50" s="3058"/>
      <c r="O50" s="3058"/>
    </row>
    <row r="51" spans="1:35" ht="12" customHeight="1">
      <c r="A51" s="179"/>
      <c r="B51" s="3106" t="s">
        <v>2201</v>
      </c>
      <c r="C51" s="3106"/>
      <c r="D51" s="180"/>
      <c r="E51" s="30"/>
      <c r="F51" s="178"/>
      <c r="G51" s="3089"/>
      <c r="H51" s="136"/>
      <c r="I51" s="2464"/>
      <c r="J51" s="2909" t="s">
        <v>2202</v>
      </c>
      <c r="K51" s="3058" t="s">
        <v>2203</v>
      </c>
      <c r="L51" s="3058"/>
      <c r="M51" s="2909" t="s">
        <v>2204</v>
      </c>
      <c r="N51" s="2909" t="s">
        <v>2205</v>
      </c>
      <c r="O51" s="2909" t="s">
        <v>2206</v>
      </c>
    </row>
    <row r="52" spans="1:35" ht="24" customHeight="1">
      <c r="A52" s="181" t="s">
        <v>2207</v>
      </c>
      <c r="B52" s="3106" t="s">
        <v>2208</v>
      </c>
      <c r="C52" s="3106"/>
      <c r="D52" s="180">
        <f ca="1">ROUND(D45*'数据-取费表'!B41/(1+'数据-取费表'!C42),0)</f>
        <v>437</v>
      </c>
      <c r="E52" s="11" t="s">
        <v>2209</v>
      </c>
      <c r="F52" s="182">
        <f>'数据-取费表'!B41</f>
        <v>5.6500000000000002E-2</v>
      </c>
      <c r="G52" s="2466"/>
      <c r="H52" s="136"/>
      <c r="I52" s="2464"/>
      <c r="J52" s="2916">
        <v>1</v>
      </c>
      <c r="K52" s="3081" t="s">
        <v>2210</v>
      </c>
      <c r="L52" s="3081"/>
      <c r="M52" s="1737">
        <f>D48</f>
        <v>0</v>
      </c>
      <c r="N52" s="2916" t="str">
        <f>E48</f>
        <v>销售额×税（费）率</v>
      </c>
      <c r="O52" s="1738" t="str">
        <f>F48</f>
        <v>免征</v>
      </c>
    </row>
    <row r="53" spans="1:35" ht="12" customHeight="1">
      <c r="A53" s="181" t="s">
        <v>2211</v>
      </c>
      <c r="B53" s="3107" t="s">
        <v>2212</v>
      </c>
      <c r="C53" s="3108"/>
      <c r="D53" s="180">
        <f ca="1">ROUND(D45*'数据-取费表'!B41/(1+'数据-取费表'!C42),0)</f>
        <v>437</v>
      </c>
      <c r="E53" s="11" t="s">
        <v>2209</v>
      </c>
      <c r="F53" s="182">
        <f>'数据-取费表'!B41</f>
        <v>5.6500000000000002E-2</v>
      </c>
      <c r="G53" s="2466"/>
      <c r="H53" s="136"/>
      <c r="I53" s="2464"/>
      <c r="J53" s="2916">
        <v>2</v>
      </c>
      <c r="K53" s="3081" t="s">
        <v>2213</v>
      </c>
      <c r="L53" s="3081"/>
      <c r="M53" s="1737">
        <f t="shared" ref="M53:O54" ca="1" si="0">D55</f>
        <v>4</v>
      </c>
      <c r="N53" s="2916" t="str">
        <f t="shared" si="0"/>
        <v>销售额×税（费）率</v>
      </c>
      <c r="O53" s="1738">
        <f t="shared" si="0"/>
        <v>5.0000000000000001E-4</v>
      </c>
    </row>
    <row r="54" spans="1:35" ht="12" customHeight="1">
      <c r="A54" s="181" t="s">
        <v>2214</v>
      </c>
      <c r="B54" s="3107" t="s">
        <v>2215</v>
      </c>
      <c r="C54" s="3108"/>
      <c r="D54" s="180">
        <f ca="1">C68</f>
        <v>437</v>
      </c>
      <c r="E54" s="30" t="s">
        <v>2216</v>
      </c>
      <c r="F54" s="182">
        <f>'数据-取费表'!B41</f>
        <v>5.6500000000000002E-2</v>
      </c>
      <c r="G54" s="2466"/>
      <c r="H54" s="2467"/>
      <c r="I54" s="2464"/>
      <c r="J54" s="2916">
        <v>3</v>
      </c>
      <c r="K54" s="3081" t="s">
        <v>2217</v>
      </c>
      <c r="L54" s="3081"/>
      <c r="M54" s="1737">
        <f t="shared" ca="1" si="0"/>
        <v>4591</v>
      </c>
      <c r="N54" s="2916" t="str">
        <f t="shared" si="0"/>
        <v>增值额×税（费）率</v>
      </c>
      <c r="O54" s="1739" t="str">
        <f t="shared" si="0"/>
        <v>——</v>
      </c>
    </row>
    <row r="55" spans="1:35" ht="24" customHeight="1">
      <c r="A55" s="3145" t="s">
        <v>2218</v>
      </c>
      <c r="B55" s="3127"/>
      <c r="C55" s="3127"/>
      <c r="D55" s="183">
        <f ca="1">IF(H55="个人住宅",0,ROUND(D45*I55,0))</f>
        <v>4</v>
      </c>
      <c r="E55" s="11" t="s">
        <v>2219</v>
      </c>
      <c r="F55" s="182">
        <f>IF(H55="正常",I55,"免征")</f>
        <v>5.0000000000000001E-4</v>
      </c>
      <c r="G55" s="2466"/>
      <c r="H55" s="2463" t="s">
        <v>2220</v>
      </c>
      <c r="I55" s="184">
        <f>'数据-取费表'!B49</f>
        <v>5.0000000000000001E-4</v>
      </c>
      <c r="J55" s="2916" t="str">
        <f>IF(H59="非个人房产","",4)</f>
        <v/>
      </c>
      <c r="K55" s="3081" t="str">
        <f>IF(H59="非个人房产","——","个人所得税")</f>
        <v>——</v>
      </c>
      <c r="L55" s="3081"/>
      <c r="M55" s="1740" t="str">
        <f>D59</f>
        <v>——</v>
      </c>
      <c r="N55" s="2917" t="str">
        <f>E59</f>
        <v>——</v>
      </c>
      <c r="O55" s="1741" t="str">
        <f>F59</f>
        <v>——</v>
      </c>
    </row>
    <row r="56" spans="1:35" ht="24.75">
      <c r="A56" s="3145" t="s">
        <v>2221</v>
      </c>
      <c r="B56" s="3127"/>
      <c r="C56" s="3127"/>
      <c r="D56" s="183">
        <f ca="1">IF(H56="个人住宅",D57,D58)</f>
        <v>4591</v>
      </c>
      <c r="E56" s="11" t="s">
        <v>2222</v>
      </c>
      <c r="F56" s="182" t="str">
        <f>IF(H56="正常",F58,"免征")</f>
        <v>——</v>
      </c>
      <c r="G56" s="2468" t="s">
        <v>2223</v>
      </c>
      <c r="H56" s="2469" t="s">
        <v>2220</v>
      </c>
      <c r="I56" s="2470"/>
      <c r="J56" s="2916" t="str">
        <f>IF(项目基本情况!K6="上海银行",IF(J55="",4,J55+1),"")</f>
        <v/>
      </c>
      <c r="K56" s="3064" t="str">
        <f>IF(项目基本情况!K6="上海银行","其他处置费用","")</f>
        <v/>
      </c>
      <c r="L56" s="3065"/>
      <c r="M56" s="1737" t="str">
        <f>IF(项目基本情况!K6="上海银行",M69,"")</f>
        <v/>
      </c>
      <c r="N56" s="3067" t="str">
        <f>IF(项目基本情况!K6="上海银行","包含处置中涉及的律师、诉讼、拍卖、评估等费用","")</f>
        <v/>
      </c>
      <c r="O56" s="3068"/>
    </row>
    <row r="57" spans="1:35" ht="12.75">
      <c r="A57" s="181" t="s">
        <v>2196</v>
      </c>
      <c r="B57" s="3112" t="s">
        <v>2224</v>
      </c>
      <c r="C57" s="3113"/>
      <c r="D57" s="185">
        <v>0</v>
      </c>
      <c r="E57" s="23" t="s">
        <v>2198</v>
      </c>
      <c r="F57" s="153"/>
      <c r="G57" s="2466"/>
      <c r="H57" s="2470"/>
      <c r="I57" s="2470"/>
      <c r="J57" s="3081">
        <f>IF(AND(J55="",J56=""),4,IF(项目基本情况!K6="上海银行",'结果表-商业'!J56+1,'结果表-商业'!J55+1))</f>
        <v>4</v>
      </c>
      <c r="K57" s="3081" t="s">
        <v>2225</v>
      </c>
      <c r="L57" s="2471" t="s">
        <v>2226</v>
      </c>
      <c r="M57" s="1742"/>
      <c r="N57" s="1743">
        <f ca="1">SUMIF(M52:M56,"&lt;9e307")</f>
        <v>4595</v>
      </c>
      <c r="O57" s="2472"/>
      <c r="P57" s="1736">
        <f ca="1">N57/M49</f>
        <v>0.56616559881715134</v>
      </c>
    </row>
    <row r="58" spans="1:35" ht="24.75">
      <c r="A58" s="181" t="s">
        <v>2207</v>
      </c>
      <c r="B58" s="3112" t="s">
        <v>2227</v>
      </c>
      <c r="C58" s="3125"/>
      <c r="D58" s="183">
        <f ca="1">IF(H58="转让取得",C81,C97)</f>
        <v>4591</v>
      </c>
      <c r="E58" s="11" t="s">
        <v>2222</v>
      </c>
      <c r="F58" s="24" t="s">
        <v>34</v>
      </c>
      <c r="G58" s="2466"/>
      <c r="H58" s="2469" t="s">
        <v>2228</v>
      </c>
      <c r="I58" s="2470"/>
      <c r="J58" s="3081"/>
      <c r="K58" s="3081"/>
      <c r="L58" s="2471" t="s">
        <v>2229</v>
      </c>
      <c r="M58" s="1744"/>
      <c r="N58" s="2473" t="str">
        <f ca="1">NUMBERSTRING(INT(N57*10000),2)&amp;"元整"</f>
        <v>肆仟伍佰玖拾伍万元整</v>
      </c>
      <c r="O58" s="2474"/>
    </row>
    <row r="59" spans="1:35" ht="24.75" thickBot="1">
      <c r="A59" s="3085" t="s">
        <v>2230</v>
      </c>
      <c r="B59" s="3086"/>
      <c r="C59" s="3086"/>
      <c r="D59" s="186" t="str">
        <f>IF(H59="非个人房产","——",IF(H59="个人住宅",0,ROUND(D45*I59,0)))</f>
        <v>——</v>
      </c>
      <c r="E59" s="187" t="str">
        <f>IF(H59="非个人房产","——","销售额×税（费）率")</f>
        <v>——</v>
      </c>
      <c r="F59" s="188" t="str">
        <f>IF(H59="非个人房产","——",IF(H59="个人住宅","免征",I59))</f>
        <v>——</v>
      </c>
      <c r="G59" s="2475" t="s">
        <v>2223</v>
      </c>
      <c r="H59" s="2469" t="s">
        <v>2231</v>
      </c>
      <c r="I59" s="189">
        <v>0.01</v>
      </c>
      <c r="J59" s="3083">
        <f>J57+1</f>
        <v>5</v>
      </c>
      <c r="K59" s="3081" t="s">
        <v>2232</v>
      </c>
      <c r="L59" s="2916" t="s">
        <v>2226</v>
      </c>
      <c r="M59" s="1745"/>
      <c r="N59" s="1746">
        <f ca="1">M49-N57</f>
        <v>3521</v>
      </c>
      <c r="O59" s="2476"/>
    </row>
    <row r="60" spans="1:35" ht="12" customHeight="1">
      <c r="A60" s="2477"/>
      <c r="B60" s="2399"/>
      <c r="C60" s="2399"/>
      <c r="D60" s="2399"/>
      <c r="E60" s="2147"/>
      <c r="F60" s="2470"/>
      <c r="G60" s="2470"/>
      <c r="H60" s="2478"/>
      <c r="I60" s="136"/>
      <c r="J60" s="3084"/>
      <c r="K60" s="3081"/>
      <c r="L60" s="2471" t="s">
        <v>2229</v>
      </c>
      <c r="M60" s="1744"/>
      <c r="N60" s="2473" t="str">
        <f ca="1">NUMBERSTRING(INT(N59*10000),2)&amp;"元整"</f>
        <v>叁仟伍佰贰拾壹万元整</v>
      </c>
      <c r="O60" s="2474"/>
    </row>
    <row r="61" spans="1:35" ht="13.5" thickBot="1">
      <c r="A61" s="3144" t="s">
        <v>2233</v>
      </c>
      <c r="B61" s="3144"/>
      <c r="C61" s="3144"/>
      <c r="D61" s="3144"/>
      <c r="E61" s="3144"/>
      <c r="F61" s="2470"/>
      <c r="G61" s="2470"/>
      <c r="H61" s="2478"/>
      <c r="I61" s="136"/>
      <c r="J61" s="2916">
        <f>J59+1</f>
        <v>6</v>
      </c>
      <c r="K61" s="3081" t="s">
        <v>2234</v>
      </c>
      <c r="L61" s="3081"/>
      <c r="M61" s="1747"/>
      <c r="N61" s="1748">
        <f ca="1">ROUND(N59*10000/'数据-汇总表'!E3,0)</f>
        <v>1227</v>
      </c>
      <c r="O61" s="2479"/>
    </row>
    <row r="62" spans="1:35" ht="12.75">
      <c r="A62" s="3101" t="s">
        <v>2235</v>
      </c>
      <c r="B62" s="3102"/>
      <c r="C62" s="2921"/>
      <c r="D62" s="2921" t="s">
        <v>2236</v>
      </c>
      <c r="E62" s="190" t="s">
        <v>2237</v>
      </c>
      <c r="F62" s="2470"/>
      <c r="G62" s="2470"/>
      <c r="H62" s="2478"/>
      <c r="I62" s="136"/>
    </row>
    <row r="63" spans="1:35" ht="12.75">
      <c r="A63" s="201" t="s">
        <v>775</v>
      </c>
      <c r="B63" s="191" t="s">
        <v>2238</v>
      </c>
      <c r="C63" s="192">
        <f ca="1">ROUND((C64+C65)/(1+'数据-取费表'!C42),0)</f>
        <v>7730</v>
      </c>
      <c r="D63" s="193"/>
      <c r="E63" s="194"/>
      <c r="F63" s="2470"/>
      <c r="G63" s="2470"/>
      <c r="H63" s="2478"/>
      <c r="I63" s="136"/>
      <c r="J63" s="3066" t="s">
        <v>2239</v>
      </c>
      <c r="K63" s="2912" t="s">
        <v>2240</v>
      </c>
      <c r="L63" s="1735">
        <f ca="1">IF(M49&gt;10000,M49*0.5%,IF(AND(M49&gt;1000,M49&lt;=10000),M49*1%,IF(AND(M49&gt;100,M49&lt;=1000),M49*3%,IF(AND(M49&gt;10,M49&lt;=100),M49*5%,M49*8%))))</f>
        <v>81.16</v>
      </c>
      <c r="M63" s="24">
        <f ca="1">ROUND(L63,1)</f>
        <v>81.2</v>
      </c>
      <c r="Z63" s="2404"/>
      <c r="AI63" s="2405"/>
    </row>
    <row r="64" spans="1:35" ht="14.25" customHeight="1">
      <c r="A64" s="195" t="s">
        <v>770</v>
      </c>
      <c r="B64" s="196" t="s">
        <v>2241</v>
      </c>
      <c r="C64" s="197">
        <f ca="1">D45</f>
        <v>8116</v>
      </c>
      <c r="D64" s="198" t="s">
        <v>32</v>
      </c>
      <c r="E64" s="199"/>
      <c r="F64" s="2470"/>
      <c r="G64" s="2470"/>
      <c r="H64" s="2478"/>
      <c r="I64" s="136"/>
      <c r="J64" s="3066"/>
      <c r="K64" s="2912" t="s">
        <v>2242</v>
      </c>
      <c r="L64" s="1735">
        <f ca="1">IF(M49&gt;2000,M49*0.5%,IF(AND(M49&gt;1000,M49&lt;=2000),M49*0.6%,IF(AND(M49&gt;500,M49&lt;=1000),M49*0.7%,IF(AND(M49&gt;200,M49&lt;=500),M49*0.8%,IF(AND(M49&gt;100,M49&lt;=200),M49*0.9%,IF(AND(M49&gt;50,M49&lt;=100),M49*1%,IF(AND(M49&gt;20,M49&lt;=50),M49*1.5%,IF(AND(M49&gt;10,M49&lt;=20),M49*2%,IF(AND(M49&gt;1,M49&lt;=10),M49*2.5%)))))))))</f>
        <v>40.58</v>
      </c>
      <c r="M64" s="24">
        <f t="shared" ref="M64:M65" ca="1" si="1">ROUND(L64,1)</f>
        <v>40.6</v>
      </c>
      <c r="N64" s="136" t="s">
        <v>2243</v>
      </c>
      <c r="Z64" s="2404"/>
      <c r="AI64" s="2405"/>
    </row>
    <row r="65" spans="1:35" ht="14.25" customHeight="1">
      <c r="A65" s="195" t="s">
        <v>771</v>
      </c>
      <c r="B65" s="196" t="s">
        <v>2244</v>
      </c>
      <c r="C65" s="200"/>
      <c r="D65" s="198"/>
      <c r="E65" s="199"/>
      <c r="F65" s="2470"/>
      <c r="G65" s="2470"/>
      <c r="H65" s="2478"/>
      <c r="I65" s="136"/>
      <c r="J65" s="3066"/>
      <c r="K65" s="2912" t="s">
        <v>2245</v>
      </c>
      <c r="L65" s="1735">
        <f ca="1">IF(M49&gt;1000,M49*0.1%,IF(AND(M49&gt;500,M49&lt;=1000),M49*0.5%,IF(AND(M49&gt;50,M49&lt;=500),M49*1%,IF(AND(M49&gt;1,M49&lt;=50),M49*1.5%))))</f>
        <v>8.1159999999999997</v>
      </c>
      <c r="M65" s="24">
        <f t="shared" ca="1" si="1"/>
        <v>8.1</v>
      </c>
      <c r="N65" s="136" t="s">
        <v>2243</v>
      </c>
      <c r="Z65" s="2404"/>
      <c r="AI65" s="2405"/>
    </row>
    <row r="66" spans="1:35" ht="14.25" customHeight="1">
      <c r="A66" s="201" t="s">
        <v>772</v>
      </c>
      <c r="B66" s="202" t="s">
        <v>2246</v>
      </c>
      <c r="C66" s="203"/>
      <c r="D66" s="204" t="s">
        <v>32</v>
      </c>
      <c r="E66" s="1759" t="s">
        <v>1372</v>
      </c>
      <c r="F66" s="2470"/>
      <c r="G66" s="2470"/>
      <c r="H66" s="2478"/>
      <c r="I66" s="136"/>
      <c r="J66" s="3066"/>
      <c r="K66" s="2912" t="s">
        <v>2247</v>
      </c>
      <c r="L66" s="1735">
        <f ca="1">M49*0.5%</f>
        <v>40.58</v>
      </c>
      <c r="M66" s="24">
        <f ca="1">IF(L66&gt;0.5,0.5,ROUND(L66,0))</f>
        <v>0.5</v>
      </c>
      <c r="N66" s="136" t="s">
        <v>2248</v>
      </c>
      <c r="Z66" s="2404"/>
      <c r="AI66" s="2405"/>
    </row>
    <row r="67" spans="1:35" ht="14.25" customHeight="1">
      <c r="A67" s="201" t="s">
        <v>773</v>
      </c>
      <c r="B67" s="202" t="s">
        <v>2249</v>
      </c>
      <c r="C67" s="205">
        <f ca="1">C63-C66</f>
        <v>7730</v>
      </c>
      <c r="D67" s="198" t="s">
        <v>32</v>
      </c>
      <c r="E67" s="199"/>
      <c r="F67" s="2470"/>
      <c r="G67" s="2470"/>
      <c r="H67" s="2478"/>
      <c r="I67" s="136"/>
      <c r="J67" s="3066"/>
      <c r="K67" s="2912" t="s">
        <v>2250</v>
      </c>
      <c r="L67" s="1735">
        <f ca="1">IF(M49&gt;=10000,(8.25+(M49-10000)*0.01%),IF(AND(M49&gt;=8000,M49&lt;10000),(7.85+(M49-8000)*0.02%),IF(AND(M49&gt;=5000,M49&lt;8000),(6.65+(M49-5000)*0.04%),IF(AND(M49&gt;=2000,M49&lt;5000),(4.25+(PM49-2000)*0.08%),IF(AND(M49&gt;=1000,M49&lt;2000),(2.75+(M49-1000)*0.15%),IF(AND(M49&gt;=100,M49&lt;1000),(0.5+(M49-100)*0.25%),IF(AND(M49&gt;0,M49&lt;100),M49*0.5%)))))))</f>
        <v>7.8731999999999998</v>
      </c>
      <c r="M67" s="24">
        <f ca="1">ROUND(L67*0.9,1)</f>
        <v>7.1</v>
      </c>
      <c r="Z67" s="2404"/>
      <c r="AI67" s="2405"/>
    </row>
    <row r="68" spans="1:35" ht="14.25" customHeight="1" thickBot="1">
      <c r="A68" s="206" t="s">
        <v>774</v>
      </c>
      <c r="B68" s="207" t="s">
        <v>2251</v>
      </c>
      <c r="C68" s="208">
        <f ca="1">IF(C67&lt;=0,0,ROUND(C67*D68,0))</f>
        <v>437</v>
      </c>
      <c r="D68" s="209">
        <f>'数据-取费表'!B41</f>
        <v>5.6500000000000002E-2</v>
      </c>
      <c r="E68" s="210"/>
      <c r="F68" s="2470"/>
      <c r="G68" s="2470"/>
      <c r="H68" s="2478"/>
      <c r="I68" s="136"/>
      <c r="J68" s="3066"/>
      <c r="K68" s="2912" t="s">
        <v>2252</v>
      </c>
      <c r="L68" s="1735">
        <f ca="1">IF(M49&gt;10000,M49*0.5%,IF(AND(M49&gt;5000,M49&lt;=10000),M49*1%,IF(AND(M49&gt;1000,M49&lt;=5000),M49*2%,IF(AND(M49&gt;200,M49&lt;=1000),M49*3%,M49*5%))))</f>
        <v>81.16</v>
      </c>
      <c r="M68" s="24">
        <f ca="1">ROUND(L68,1)</f>
        <v>81.2</v>
      </c>
      <c r="Z68" s="2404"/>
      <c r="AI68" s="2405"/>
    </row>
    <row r="69" spans="1:35" s="2427" customFormat="1" ht="16.5" customHeight="1">
      <c r="A69" s="2481"/>
      <c r="B69" s="2482"/>
      <c r="C69" s="2483"/>
      <c r="D69" s="2484"/>
      <c r="E69" s="2485"/>
      <c r="F69" s="2147"/>
      <c r="G69" s="2147"/>
      <c r="H69" s="2146"/>
      <c r="I69" s="2399"/>
      <c r="J69" s="3066"/>
      <c r="K69" s="2912" t="s">
        <v>2253</v>
      </c>
      <c r="L69" s="2486"/>
      <c r="M69" s="24">
        <f ca="1">ROUND(SUM(M63:M68),0)</f>
        <v>219</v>
      </c>
      <c r="N69" s="1736">
        <f ca="1">M69/M49</f>
        <v>2.6983735830458353E-2</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thickBot="1">
      <c r="A70" s="3110" t="s">
        <v>2254</v>
      </c>
      <c r="B70" s="3111"/>
      <c r="C70" s="3111"/>
      <c r="D70" s="3111"/>
      <c r="E70" s="3111"/>
      <c r="F70" s="3111"/>
      <c r="G70" s="3111"/>
      <c r="H70" s="3111"/>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01" t="s">
        <v>2235</v>
      </c>
      <c r="B71" s="3102"/>
      <c r="C71" s="2921"/>
      <c r="D71" s="2921" t="s">
        <v>2236</v>
      </c>
      <c r="E71" s="211" t="s">
        <v>2237</v>
      </c>
      <c r="F71" s="212"/>
      <c r="G71" s="212"/>
      <c r="H71" s="213"/>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201" t="s">
        <v>775</v>
      </c>
      <c r="B72" s="202" t="s">
        <v>2255</v>
      </c>
      <c r="C72" s="205">
        <f ca="1">ROUND(D45/(1+'数据-取费表'!C42),0)</f>
        <v>7730</v>
      </c>
      <c r="D72" s="198" t="s">
        <v>32</v>
      </c>
      <c r="E72" s="2923"/>
      <c r="F72" s="2922"/>
      <c r="G72" s="2922"/>
      <c r="H72" s="214"/>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201" t="s">
        <v>772</v>
      </c>
      <c r="B73" s="171" t="s">
        <v>2256</v>
      </c>
      <c r="C73" s="205">
        <f ca="1">C74+C78</f>
        <v>50</v>
      </c>
      <c r="D73" s="198" t="s">
        <v>32</v>
      </c>
      <c r="E73" s="2923"/>
      <c r="F73" s="2922"/>
      <c r="G73" s="2922"/>
      <c r="H73" s="214"/>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15" t="s">
        <v>770</v>
      </c>
      <c r="B74" s="196" t="s">
        <v>2257</v>
      </c>
      <c r="C74" s="198">
        <f>ROUND(IF(G77="2016年5月1日后购买",C75/(1+'数据-取费表'!C42)+C76+C77,C75+C76+C77),0)</f>
        <v>0</v>
      </c>
      <c r="D74" s="198" t="s">
        <v>32</v>
      </c>
      <c r="E74" s="2923"/>
      <c r="F74" s="2922"/>
      <c r="G74" s="2922"/>
      <c r="H74" s="214"/>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15" t="s">
        <v>776</v>
      </c>
      <c r="B75" s="196" t="s">
        <v>2258</v>
      </c>
      <c r="C75" s="216"/>
      <c r="D75" s="198" t="s">
        <v>32</v>
      </c>
      <c r="E75" s="217" t="s">
        <v>2259</v>
      </c>
      <c r="F75" s="2492" t="s">
        <v>2260</v>
      </c>
      <c r="G75" s="217" t="s">
        <v>2261</v>
      </c>
      <c r="H75" s="218"/>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15" t="s">
        <v>777</v>
      </c>
      <c r="B76" s="219" t="s">
        <v>2262</v>
      </c>
      <c r="C76" s="198">
        <f>IF(F75="购房发票",ROUND(C75*H75*D76,0),0)</f>
        <v>0</v>
      </c>
      <c r="D76" s="220">
        <v>0.05</v>
      </c>
      <c r="E76" s="3107" t="s">
        <v>2263</v>
      </c>
      <c r="F76" s="3106"/>
      <c r="G76" s="3106"/>
      <c r="H76" s="3109"/>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15" t="s">
        <v>778</v>
      </c>
      <c r="B77" s="196" t="s">
        <v>2264</v>
      </c>
      <c r="C77" s="198">
        <f>ROUND(IF(G77="个人住宅",0,IF(G77="2016年5月1日前购买",C75*D77,C75*D77/(1+'数据-取费表'!C42))),0)</f>
        <v>0</v>
      </c>
      <c r="D77" s="221">
        <f>'数据-取费表'!B48+'数据-取费表'!B49</f>
        <v>3.0499999999999999E-2</v>
      </c>
      <c r="E77" s="2913" t="s">
        <v>2265</v>
      </c>
      <c r="F77" s="222"/>
      <c r="G77" s="2494" t="s">
        <v>2266</v>
      </c>
      <c r="H77" s="2924" t="str">
        <f>IF(G77="个人买卖住房","免征印花税"," ")</f>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15" t="s">
        <v>771</v>
      </c>
      <c r="B78" s="196" t="s">
        <v>2267</v>
      </c>
      <c r="C78" s="223">
        <f ca="1">ROUND(D45*D78/(1+'数据-取费表'!C42),0)</f>
        <v>50</v>
      </c>
      <c r="D78" s="224">
        <f>'数据-取费表'!B43</f>
        <v>6.5000000000000006E-3</v>
      </c>
      <c r="E78" s="3098" t="s">
        <v>2268</v>
      </c>
      <c r="F78" s="3099"/>
      <c r="G78" s="3099"/>
      <c r="H78" s="310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773</v>
      </c>
      <c r="B79" s="202" t="s">
        <v>2269</v>
      </c>
      <c r="C79" s="205">
        <f ca="1">C72-C73</f>
        <v>7680</v>
      </c>
      <c r="D79" s="198" t="s">
        <v>32</v>
      </c>
      <c r="E79" s="2923"/>
      <c r="F79" s="2922"/>
      <c r="G79" s="2922"/>
      <c r="H79" s="214"/>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202" t="s">
        <v>2270</v>
      </c>
      <c r="C80" s="225">
        <f ca="1">IF(C79&lt;=0,0,C79/C73)</f>
        <v>153.6</v>
      </c>
      <c r="D80" s="198" t="s">
        <v>32</v>
      </c>
      <c r="E80" s="2913" t="str">
        <f ca="1">IF(C80&gt;=200%,"增值额超过扣除项目金额200%",IF(C80&gt;=100%,"增值额超过扣除项目金额100%，未超过200%",IF(C80&gt;=50%,"增值额超过扣除项目金额50%，未超过100%",IF(C80&lt;50%,"增值额未超过扣除项目金额50%"))))</f>
        <v>增值额超过扣除项目金额200%</v>
      </c>
      <c r="F80" s="2922"/>
      <c r="G80" s="2922"/>
      <c r="H80" s="214"/>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7" t="s">
        <v>2271</v>
      </c>
      <c r="C81" s="226">
        <f ca="1">ROUND(IF(C79&lt;=0,0,IF(C80&gt;=200%,C79*60%-C73*35%,IF(C80&gt;=100%,C79*50%-C73*15%,IF(C80&gt;=50%,C79*40%-C73*5%,IF(C80&lt;50%,C79*30%,0))))),0)</f>
        <v>4591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10" t="s">
        <v>2272</v>
      </c>
      <c r="B83" s="3111"/>
      <c r="C83" s="3111"/>
      <c r="D83" s="3111"/>
      <c r="E83" s="3111"/>
      <c r="F83" s="3111"/>
      <c r="G83" s="3111"/>
      <c r="H83" s="3111"/>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01" t="s">
        <v>2235</v>
      </c>
      <c r="B84" s="3102"/>
      <c r="C84" s="2921"/>
      <c r="D84" s="2921" t="s">
        <v>2236</v>
      </c>
      <c r="E84" s="211" t="s">
        <v>2237</v>
      </c>
      <c r="F84" s="212"/>
      <c r="G84" s="212"/>
      <c r="H84" s="231"/>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201" t="s">
        <v>775</v>
      </c>
      <c r="B85" s="202" t="s">
        <v>2255</v>
      </c>
      <c r="C85" s="205">
        <f ca="1">ROUND(D45/(1+'数据-取费表'!C42),0)</f>
        <v>7730</v>
      </c>
      <c r="D85" s="198" t="s">
        <v>32</v>
      </c>
      <c r="E85" s="2923"/>
      <c r="F85" s="2922"/>
      <c r="G85" s="2922"/>
      <c r="H85" s="232"/>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201" t="s">
        <v>772</v>
      </c>
      <c r="B86" s="171" t="s">
        <v>2256</v>
      </c>
      <c r="C86" s="205">
        <f ca="1">IF(H88="仅含出让金",C87+C90+C91+C92+C93+C94,C87+C91+C92+C93+C94)</f>
        <v>50</v>
      </c>
      <c r="D86" s="233"/>
      <c r="E86" s="2923"/>
      <c r="F86" s="2922"/>
      <c r="G86" s="2922"/>
      <c r="H86" s="232"/>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15" t="s">
        <v>770</v>
      </c>
      <c r="B87" s="196" t="s">
        <v>2273</v>
      </c>
      <c r="C87" s="223">
        <f>C88+C89</f>
        <v>0</v>
      </c>
      <c r="D87" s="224"/>
      <c r="E87" s="2918"/>
      <c r="F87" s="2919"/>
      <c r="G87" s="2919"/>
      <c r="H87" s="292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15" t="s">
        <v>776</v>
      </c>
      <c r="B88" s="196" t="s">
        <v>2274</v>
      </c>
      <c r="C88" s="234"/>
      <c r="D88" s="224"/>
      <c r="E88" s="235" t="s">
        <v>2275</v>
      </c>
      <c r="F88" s="2919"/>
      <c r="G88" s="236" t="s">
        <v>2276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15" t="s">
        <v>777</v>
      </c>
      <c r="B89" s="196" t="s">
        <v>2264</v>
      </c>
      <c r="C89" s="223">
        <f>ROUND(C88*D89,0)</f>
        <v>0</v>
      </c>
      <c r="D89" s="224">
        <f>'数据-取费表'!B48+'数据-取费表'!B49</f>
        <v>3.0499999999999999E-2</v>
      </c>
      <c r="E89" s="235" t="s">
        <v>2277</v>
      </c>
      <c r="F89" s="2919"/>
      <c r="G89" s="2919"/>
      <c r="H89" s="292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15" t="s">
        <v>771</v>
      </c>
      <c r="B90" s="196" t="s">
        <v>2278</v>
      </c>
      <c r="C90" s="234"/>
      <c r="D90" s="224"/>
      <c r="E90" s="235" t="str">
        <f>IF(H88="-","土地取得成本中已包含该笔费用"," ")</f>
        <v/>
      </c>
      <c r="F90" s="2919"/>
      <c r="G90" s="2919"/>
      <c r="H90" s="292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15" t="s">
        <v>2279</v>
      </c>
      <c r="B91" s="196" t="s">
        <v>2280</v>
      </c>
      <c r="C91" s="223">
        <f>IF(H91="——",成本法!C33,I91)</f>
        <v>0</v>
      </c>
      <c r="D91" s="224"/>
      <c r="E91" s="3098" t="s">
        <v>2281</v>
      </c>
      <c r="F91" s="3099"/>
      <c r="G91" s="3099"/>
      <c r="H91" s="2499" t="s">
        <v>2282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15" t="s">
        <v>2283</v>
      </c>
      <c r="B92" s="196" t="s">
        <v>2284</v>
      </c>
      <c r="C92" s="223">
        <f>ROUND((C87+C90+C91)*D92,0)</f>
        <v>0</v>
      </c>
      <c r="D92" s="224">
        <v>0.1</v>
      </c>
      <c r="E92" s="3098" t="s">
        <v>2285</v>
      </c>
      <c r="F92" s="3099"/>
      <c r="G92" s="3099"/>
      <c r="H92" s="310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15" t="s">
        <v>2286</v>
      </c>
      <c r="B93" s="196" t="s">
        <v>2267</v>
      </c>
      <c r="C93" s="223">
        <f ca="1">ROUND(D45*D93/(1+'数据-取费表'!C42),0)</f>
        <v>50</v>
      </c>
      <c r="D93" s="224">
        <f>'数据-取费表'!B43</f>
        <v>6.5000000000000006E-3</v>
      </c>
      <c r="E93" s="3098" t="s">
        <v>2268</v>
      </c>
      <c r="F93" s="3099"/>
      <c r="G93" s="3099"/>
      <c r="H93" s="310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15" t="s">
        <v>2287</v>
      </c>
      <c r="B94" s="196" t="s">
        <v>2288</v>
      </c>
      <c r="C94" s="234">
        <f>ROUND((C87+C90+C91)*D94,0)</f>
        <v>0</v>
      </c>
      <c r="D94" s="224">
        <v>0.2</v>
      </c>
      <c r="E94" s="3146" t="s">
        <v>2289</v>
      </c>
      <c r="F94" s="3147"/>
      <c r="G94" s="3147"/>
      <c r="H94" s="3148"/>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773</v>
      </c>
      <c r="B95" s="202" t="s">
        <v>2269</v>
      </c>
      <c r="C95" s="205">
        <f ca="1">ROUND(C85-C86,0)</f>
        <v>7680</v>
      </c>
      <c r="D95" s="198" t="s">
        <v>32</v>
      </c>
      <c r="E95" s="2923"/>
      <c r="F95" s="2922"/>
      <c r="G95" s="2922"/>
      <c r="H95" s="232"/>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202" t="s">
        <v>2270</v>
      </c>
      <c r="C96" s="225">
        <f ca="1">IF(C95&lt;=0,0,C95/C86)</f>
        <v>153.6</v>
      </c>
      <c r="D96" s="198" t="s">
        <v>32</v>
      </c>
      <c r="E96" s="2913" t="str">
        <f ca="1">IF(C96&gt;=200%,"增值额超过扣除项目金额200%",IF(C96&gt;=100%,"增值额超过扣除项目金额100%，未超过200%",IF(C96&gt;=50%,"增值额超过扣除项目金额50%，未超过100%",IF(C96&lt;50%,"增值额未超过扣除项目金额50%"))))</f>
        <v>增值额超过扣除项目金额200%</v>
      </c>
      <c r="F96" s="2922"/>
      <c r="G96" s="2922"/>
      <c r="H96" s="232"/>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7" t="s">
        <v>2271</v>
      </c>
      <c r="C97" s="226">
        <f ca="1">ROUND(IF(C95&lt;=0,0,IF(C96&gt;=200%,C95*60%-C86*35%,IF(C96&gt;=100%,C95*50%-C86*15%,IF(C96&gt;=50%,C95*40%-C86*5%,IF(C96&lt;50%,C95*30%,0))))),0)</f>
        <v>4591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7"/>
      <c r="F98" s="2147"/>
      <c r="G98" s="2147"/>
      <c r="H98" s="2146"/>
      <c r="I98" s="136"/>
    </row>
    <row r="99" spans="1:35" ht="21.75" customHeight="1" thickBot="1">
      <c r="A99" s="2455" t="s">
        <v>2290</v>
      </c>
      <c r="B99" s="2399"/>
      <c r="C99" s="2399"/>
      <c r="D99" s="2399"/>
      <c r="E99" s="2147"/>
      <c r="F99" s="2147"/>
      <c r="G99" s="2147"/>
      <c r="H99" s="2146"/>
      <c r="I99" s="136"/>
    </row>
    <row r="100" spans="1:35" ht="18.75" customHeight="1">
      <c r="A100" s="3050" t="s">
        <v>2291</v>
      </c>
      <c r="B100" s="3051"/>
      <c r="C100" s="3051"/>
      <c r="D100" s="3082"/>
      <c r="E100" s="3051" t="s">
        <v>2292</v>
      </c>
      <c r="F100" s="3051"/>
      <c r="G100" s="3051"/>
      <c r="H100" s="3082"/>
      <c r="I100" s="136"/>
    </row>
    <row r="101" spans="1:35" ht="18.75" customHeight="1">
      <c r="A101" s="3090" t="s">
        <v>2293</v>
      </c>
      <c r="B101" s="3091"/>
      <c r="C101" s="733" t="str">
        <f>C4</f>
        <v>比较法-商业</v>
      </c>
      <c r="D101" s="734" t="str">
        <f>D4</f>
        <v>收益法-商业</v>
      </c>
      <c r="E101" s="3062" t="s">
        <v>2294</v>
      </c>
      <c r="F101" s="3063"/>
      <c r="G101" s="2501" t="s">
        <v>2295</v>
      </c>
      <c r="H101" s="1038">
        <f ca="1">H118</f>
        <v>8116</v>
      </c>
      <c r="I101" s="136"/>
    </row>
    <row r="102" spans="1:35" ht="18.75" customHeight="1">
      <c r="A102" s="3092" t="s">
        <v>2296</v>
      </c>
      <c r="B102" s="2501" t="s">
        <v>2295</v>
      </c>
      <c r="C102" s="733">
        <f ca="1">C19</f>
        <v>10197</v>
      </c>
      <c r="D102" s="734">
        <f ca="1">D19</f>
        <v>4994</v>
      </c>
      <c r="E102" s="3062"/>
      <c r="F102" s="3063"/>
      <c r="G102" s="2501" t="s">
        <v>2297</v>
      </c>
      <c r="H102" s="369">
        <f ca="1">I118</f>
        <v>36402</v>
      </c>
      <c r="I102" s="136"/>
    </row>
    <row r="103" spans="1:35" ht="42.75" customHeight="1">
      <c r="A103" s="3092"/>
      <c r="B103" s="2501" t="s">
        <v>2297</v>
      </c>
      <c r="C103" s="735">
        <f ca="1">C20</f>
        <v>45735</v>
      </c>
      <c r="D103" s="736">
        <f ca="1">D20</f>
        <v>22399</v>
      </c>
      <c r="E103" s="3056" t="s">
        <v>2298</v>
      </c>
      <c r="F103" s="3057"/>
      <c r="G103" s="2502" t="s">
        <v>2299</v>
      </c>
      <c r="H103" s="1038">
        <f>IF(D36="正常操作",H104+H105+H106,H105+H106)</f>
        <v>0</v>
      </c>
      <c r="I103" s="136"/>
    </row>
    <row r="104" spans="1:35" ht="18.75" customHeight="1">
      <c r="A104" s="3092" t="s">
        <v>2300</v>
      </c>
      <c r="B104" s="2503" t="s">
        <v>2295</v>
      </c>
      <c r="C104" s="737">
        <f ca="1">H118</f>
        <v>8116</v>
      </c>
      <c r="D104" s="738"/>
      <c r="E104" s="2247" t="s">
        <v>2301</v>
      </c>
      <c r="F104" s="2239"/>
      <c r="G104" s="2502" t="s">
        <v>2299</v>
      </c>
      <c r="H104" s="1039">
        <f>IF(D36="同一抵押权人同一抵押物续贷",C36&amp;"（未扣减，详见特别提示）",C36)</f>
        <v>0</v>
      </c>
      <c r="I104" s="136"/>
    </row>
    <row r="105" spans="1:35" ht="18.75" customHeight="1" thickBot="1">
      <c r="A105" s="3104"/>
      <c r="B105" s="2504" t="s">
        <v>2297</v>
      </c>
      <c r="C105" s="739">
        <f ca="1">I118</f>
        <v>36402</v>
      </c>
      <c r="D105" s="740"/>
      <c r="E105" s="2247" t="s">
        <v>2302</v>
      </c>
      <c r="F105" s="2239"/>
      <c r="G105" s="2502" t="s">
        <v>2299</v>
      </c>
      <c r="H105" s="1039">
        <f>C37</f>
        <v>0</v>
      </c>
      <c r="I105" s="136"/>
    </row>
    <row r="106" spans="1:35" ht="18.75" customHeight="1">
      <c r="A106" s="2399" t="s">
        <v>2303</v>
      </c>
      <c r="B106" s="2399"/>
      <c r="C106" s="2399"/>
      <c r="D106" s="2399"/>
      <c r="E106" s="2505" t="s">
        <v>2304</v>
      </c>
      <c r="F106" s="2239"/>
      <c r="G106" s="2502" t="s">
        <v>2299</v>
      </c>
      <c r="H106" s="1039">
        <f>C38</f>
        <v>0</v>
      </c>
      <c r="I106" s="136"/>
    </row>
    <row r="107" spans="1:35" ht="18.75" customHeight="1">
      <c r="A107" s="136"/>
      <c r="B107" s="136"/>
      <c r="C107" s="136"/>
      <c r="D107" s="136"/>
      <c r="E107" s="3093" t="str">
        <f>IF(项目基本情况!E8="已注销","——","3.房地产抵押价值")</f>
        <v>3.房地产抵押价值</v>
      </c>
      <c r="F107" s="3063"/>
      <c r="G107" s="2501" t="s">
        <v>2295</v>
      </c>
      <c r="H107" s="1038">
        <f ca="1">IF(E107="——","——",H101-H103)</f>
        <v>8116</v>
      </c>
      <c r="I107" s="136"/>
    </row>
    <row r="108" spans="1:35" ht="18.75" customHeight="1">
      <c r="A108" s="136"/>
      <c r="B108" s="136"/>
      <c r="C108" s="136"/>
      <c r="D108" s="136"/>
      <c r="E108" s="3093"/>
      <c r="F108" s="3063"/>
      <c r="G108" s="2501" t="s">
        <v>2297</v>
      </c>
      <c r="H108" s="369">
        <f ca="1">ROUND(H107*10000/'数据-汇总表'!E3,0)</f>
        <v>2828</v>
      </c>
      <c r="I108" s="136"/>
    </row>
    <row r="109" spans="1:35" ht="18.75" customHeight="1">
      <c r="A109" s="136"/>
      <c r="B109" s="136"/>
      <c r="C109" s="136"/>
      <c r="D109" s="136"/>
      <c r="E109" s="3093" t="str">
        <f>IF(项目基本情况!E8="已注销及未注销","4.抵押担保权已注销时的房地产抵押价值",IF(项目基本情况!E8="已注销","3.抵押担保权已注销时的房地产抵押价值","——"))</f>
        <v>——</v>
      </c>
      <c r="F109" s="3063"/>
      <c r="G109" s="2501" t="s">
        <v>2295</v>
      </c>
      <c r="H109" s="346" t="str">
        <f>IF(E109="——","——",H101-H105-H106)</f>
        <v>——</v>
      </c>
      <c r="I109" s="136"/>
    </row>
    <row r="110" spans="1:35" ht="18.75" customHeight="1">
      <c r="A110" s="136"/>
      <c r="B110" s="136"/>
      <c r="C110" s="136"/>
      <c r="D110" s="136"/>
      <c r="E110" s="3093"/>
      <c r="F110" s="3063"/>
      <c r="G110" s="2501" t="s">
        <v>2297</v>
      </c>
      <c r="H110" s="369" t="str">
        <f>IF(H109="——","——",ROUND(H109*10000/'数据-汇总表'!E3,0))</f>
        <v>——</v>
      </c>
      <c r="I110" s="136"/>
    </row>
    <row r="111" spans="1:35" ht="18.75" customHeight="1">
      <c r="A111" s="136"/>
      <c r="B111" s="136"/>
      <c r="C111" s="136"/>
      <c r="D111" s="136"/>
      <c r="E111" s="3094" t="str">
        <f>IF(项目基本情况!E9="抵押净值",IF(OR(项目基本情况!E8="已注销",项目基本情况!E8="房地产抵押价值"),"4.抵押净值","5.抵押净值"),"——")</f>
        <v>——</v>
      </c>
      <c r="F111" s="3095"/>
      <c r="G111" s="2501" t="s">
        <v>2295</v>
      </c>
      <c r="H111" s="1038" t="str">
        <f>IF(E111="——","——",N59)</f>
        <v>——</v>
      </c>
      <c r="I111" s="136"/>
    </row>
    <row r="112" spans="1:35" ht="18.75" customHeight="1" thickBot="1">
      <c r="A112" s="136"/>
      <c r="B112" s="136"/>
      <c r="C112" s="136"/>
      <c r="D112" s="136"/>
      <c r="E112" s="3096"/>
      <c r="F112" s="3097"/>
      <c r="G112" s="2506" t="s">
        <v>2297</v>
      </c>
      <c r="H112" s="787" t="str">
        <f>IF(E111="——","——",N61)</f>
        <v>——</v>
      </c>
      <c r="I112" s="136"/>
    </row>
    <row r="113" spans="1:11" ht="18.75" customHeight="1">
      <c r="A113" s="136"/>
      <c r="B113" s="136"/>
      <c r="C113" s="136"/>
      <c r="D113" s="136"/>
      <c r="E113" s="3105" t="s">
        <v>2303</v>
      </c>
      <c r="F113" s="3105"/>
      <c r="G113" s="3105"/>
      <c r="H113" s="3105"/>
      <c r="I113" s="136"/>
    </row>
    <row r="114" spans="1:11" ht="3.75" customHeight="1">
      <c r="A114" s="2399"/>
      <c r="B114" s="2399"/>
      <c r="C114" s="2399"/>
      <c r="D114" s="2399"/>
      <c r="E114" s="2477"/>
      <c r="F114" s="2477"/>
      <c r="G114" s="2477"/>
      <c r="H114" s="2477"/>
      <c r="I114" s="2399"/>
    </row>
    <row r="115" spans="1:11" ht="18.75" customHeight="1">
      <c r="A115" s="3118" t="s">
        <v>2305</v>
      </c>
      <c r="B115" s="3119"/>
      <c r="C115" s="3119"/>
      <c r="D115" s="3119"/>
      <c r="E115" s="3119"/>
      <c r="F115" s="3119"/>
      <c r="G115" s="3119"/>
      <c r="H115" s="3119"/>
      <c r="I115" s="3120"/>
    </row>
    <row r="116" spans="1:11" ht="27" customHeight="1">
      <c r="A116" s="3029" t="s">
        <v>2306</v>
      </c>
      <c r="B116" s="3072" t="s">
        <v>3118</v>
      </c>
      <c r="C116" s="3072" t="s">
        <v>3119</v>
      </c>
      <c r="D116" s="3078" t="s">
        <v>2307</v>
      </c>
      <c r="E116" s="3079"/>
      <c r="F116" s="3114" t="s">
        <v>3176</v>
      </c>
      <c r="G116" s="3114"/>
      <c r="H116" s="3029" t="s">
        <v>2308</v>
      </c>
      <c r="I116" s="3029"/>
    </row>
    <row r="117" spans="1:11" ht="18.75" customHeight="1">
      <c r="A117" s="3029"/>
      <c r="B117" s="3073"/>
      <c r="C117" s="3073"/>
      <c r="D117" s="2908" t="s">
        <v>2309</v>
      </c>
      <c r="E117" s="2908" t="s">
        <v>2310</v>
      </c>
      <c r="F117" s="2908" t="s">
        <v>2309</v>
      </c>
      <c r="G117" s="2908" t="s">
        <v>2311</v>
      </c>
      <c r="H117" s="2908" t="s">
        <v>2309</v>
      </c>
      <c r="I117" s="2908" t="s">
        <v>2311</v>
      </c>
    </row>
    <row r="118" spans="1:11" ht="24.75" customHeight="1">
      <c r="A118" s="2507" t="str">
        <f>项目基本情况!S2</f>
        <v>天津市南开区红旗路与楚雄道交口西北侧房地产</v>
      </c>
      <c r="B118" s="2908">
        <f>M18</f>
        <v>2229.56</v>
      </c>
      <c r="C118" s="2908">
        <f>M19</f>
        <v>181.6</v>
      </c>
      <c r="D118" s="2908">
        <f ca="1">ROUND(IF(D32="总价",C34,E118*B118/10000),0)</f>
        <v>5202</v>
      </c>
      <c r="E118" s="2908">
        <f ca="1">ROUND(IF(C33="自定义",IF(D32="楼面单价",C34,D118*10000/B118),I118-G118),0)</f>
        <v>23332</v>
      </c>
      <c r="F118" s="2908">
        <f ca="1">ROUND(IF(D32="总价",C35,G118*B118/10000),0)</f>
        <v>2914</v>
      </c>
      <c r="G118" s="2908">
        <f ca="1">ROUND(IF(D32="楼面单价",C35,F118*10000/B118),0)</f>
        <v>13070</v>
      </c>
      <c r="H118" s="2908">
        <f ca="1">ROUND(IF(D32="总价",C32,I118*B118/10000),0)</f>
        <v>8116</v>
      </c>
      <c r="I118" s="2908">
        <f ca="1">ROUND(IF(D32="楼面单价",C32,H118*10000/B118),0)</f>
        <v>36402</v>
      </c>
    </row>
    <row r="119" spans="1:11" ht="18.75" customHeight="1">
      <c r="A119" s="3029" t="s">
        <v>2312</v>
      </c>
      <c r="B119" s="3029"/>
      <c r="C119" s="3029"/>
      <c r="D119" s="3074" t="str">
        <f ca="1">NUMBERSTRING(INT(D118*10000),2)&amp;"元整"</f>
        <v>伍仟贰佰零贰万元整</v>
      </c>
      <c r="E119" s="3075"/>
      <c r="F119" s="3074" t="str">
        <f ca="1">NUMBERSTRING(INT(F118*10000),2)&amp;"元整"</f>
        <v>贰仟玖佰壹拾肆万元整</v>
      </c>
      <c r="G119" s="3075"/>
      <c r="H119" s="3074" t="str">
        <f ca="1">NUMBERSTRING(INT(H118*10000),2)&amp;"元整"</f>
        <v>捌仟壹佰壹拾陆万元整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04" t="str">
        <f>IF(D120=0,"故，本次评估不存在"&amp;A120,"故，本次评估"&amp;A120&amp;"为人民币"&amp;D120&amp;"万元整。")</f>
        <v>故，本次评估不存在估价师知悉的法定优先受偿款</v>
      </c>
    </row>
    <row r="121" spans="1:11" ht="18.75" customHeight="1">
      <c r="A121" s="3115" t="s">
        <v>2312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8116</v>
      </c>
      <c r="E122" s="3070"/>
      <c r="F122" s="3070"/>
      <c r="G122" s="3070"/>
      <c r="H122" s="3070"/>
      <c r="I122" s="3071"/>
    </row>
    <row r="123" spans="1:11" ht="18.75" customHeight="1">
      <c r="A123" s="3029" t="s">
        <v>2312</v>
      </c>
      <c r="B123" s="3029"/>
      <c r="C123" s="3029"/>
      <c r="D123" s="3074" t="str">
        <f ca="1">NUMBERSTRING(INT(D122*10000),2)&amp;"元整"</f>
        <v>捌仟壹佰壹拾陆万元整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2312</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2312</v>
      </c>
      <c r="B127" s="3029"/>
      <c r="C127" s="3029"/>
      <c r="D127" s="3074" t="e">
        <f>NUMBERSTRING(INT(D126*10000),2)&amp;"元整"</f>
        <v>#VALUE!</v>
      </c>
      <c r="E127" s="3076"/>
      <c r="F127" s="3076"/>
      <c r="G127" s="3076"/>
      <c r="H127" s="3076"/>
      <c r="I127" s="3075"/>
    </row>
    <row r="128" spans="1:11" ht="21.75" customHeight="1">
      <c r="A128" s="3077" t="s">
        <v>2313</v>
      </c>
      <c r="B128" s="3077"/>
      <c r="C128" s="3077"/>
      <c r="D128" s="3077"/>
      <c r="E128" s="3077"/>
      <c r="F128" s="3077"/>
      <c r="G128" s="3077"/>
      <c r="H128" s="3077"/>
      <c r="I128" s="3077"/>
    </row>
    <row r="129" spans="1:35" ht="21.75" customHeight="1">
      <c r="A129" s="2508" t="s">
        <v>2314</v>
      </c>
      <c r="B129" s="2509"/>
      <c r="C129" s="2510" t="s">
        <v>2315</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2316</v>
      </c>
      <c r="G135" s="2525"/>
      <c r="H135" s="2525"/>
      <c r="I135" s="2526" t="s">
        <v>2317</v>
      </c>
    </row>
    <row r="136" spans="1:35" ht="21.75" customHeight="1">
      <c r="A136" s="792"/>
      <c r="B136" s="252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2319</v>
      </c>
    </row>
    <row r="139" spans="1:35" ht="21.75" customHeight="1">
      <c r="A139" s="792"/>
      <c r="B139" s="2527" t="s">
        <v>2320</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2319</v>
      </c>
    </row>
    <row r="142" spans="1:35" ht="21.75" customHeight="1">
      <c r="A142" s="792"/>
      <c r="B142" s="2527"/>
      <c r="C142" s="2528"/>
      <c r="D142" s="2529"/>
      <c r="E142" s="2529"/>
      <c r="F142" s="2321"/>
      <c r="G142" s="792"/>
      <c r="H142" s="792"/>
      <c r="I142" s="792"/>
    </row>
    <row r="143" spans="1:35" s="137" customFormat="1" ht="21.75" customHeight="1">
      <c r="A143" s="792"/>
      <c r="B143" s="2527"/>
      <c r="C143" s="2528"/>
      <c r="D143" s="2529"/>
      <c r="E143" s="2529"/>
      <c r="F143" s="232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1613</v>
      </c>
    </row>
    <row r="2" spans="1:1">
      <c r="A2" s="1932"/>
    </row>
    <row r="3" spans="1:1" ht="18">
      <c r="A3" s="1933" t="str">
        <f>项目基本情况!B5&amp;"："</f>
        <v>天津丽津嘉业房地产有限公司：</v>
      </c>
    </row>
    <row r="4" spans="1:1" ht="36">
      <c r="A4" s="1934" t="str">
        <f>"受贵公司委托，我公司对"&amp;项目基本情况!S1&amp;"进行了预评估。"</f>
        <v>受贵公司委托，我公司对天津市南开区红旗路与楚雄道交口西北侧房地产抵押价值进行了预评估。</v>
      </c>
    </row>
    <row r="5" spans="1:1" ht="18.75">
      <c r="A5" s="1935" t="s">
        <v>1614</v>
      </c>
    </row>
    <row r="6" spans="1:1" ht="18.75">
      <c r="A6" s="1936" t="s">
        <v>1615</v>
      </c>
    </row>
    <row r="7" spans="1:1" ht="72">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红旗路与楚雄道交口西北侧房地产，为天津市王顶堤工贸集团有限公司所有。根据《房地产权证》[房地证津字第104051500052号]，估价对象（分摊）出让国有建设用地使用权面积为2337.9平方米，建筑面积为28703.6平方米。</v>
      </c>
    </row>
    <row r="8" spans="1:1" ht="57.75">
      <c r="A8" s="1937" t="s">
        <v>1616</v>
      </c>
    </row>
    <row r="9" spans="1:1" ht="18.75">
      <c r="A9" s="1936" t="s">
        <v>1617</v>
      </c>
    </row>
    <row r="10" spans="1:1" ht="72">
      <c r="A10" s="193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红旗路与楚雄道交口西北侧房地产,属天津市王顶堤工贸集团有限公司开发建设的商业项目，该项目尚在开发建设中。根据《房地产权证》[房地证津字第104051500052号]，估价对象（分摊）出让国有建设用地使用权面积为2337.9平方米，规划建筑面积为28703.6平方米。</v>
      </c>
    </row>
    <row r="11" spans="1:1" ht="76.5">
      <c r="A11" s="1937" t="s">
        <v>1618</v>
      </c>
    </row>
    <row r="12" spans="1:1" ht="18.75">
      <c r="A12" s="1935" t="s">
        <v>1619</v>
      </c>
    </row>
    <row r="13" spans="1:1" ht="38.25" customHeight="1">
      <c r="A13" s="1938"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39" t="s">
        <v>1620</v>
      </c>
    </row>
    <row r="15" spans="1:1" ht="18">
      <c r="A15" s="1940" t="str">
        <f>TEXT(项目基本情况!D3,"yyyy年m月d日;;")&amp;IF(项目基本情况!D3=项目基本情况!B3,"（评估专业人员实地查勘之日）","")</f>
        <v>2017年11月22日（评估专业人员实地查勘之日）</v>
      </c>
    </row>
    <row r="16" spans="1:1" ht="18.75">
      <c r="A16" s="1939" t="s">
        <v>1621</v>
      </c>
    </row>
    <row r="17" spans="1:1" ht="75">
      <c r="A17" s="1934" t="s">
        <v>1622</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其他商服用地，土地取得方式为出让，出让国有建设用地使用权剩余土地使用年限为办公41.28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商服用地，实际开发程度为宗地红线外“七通”（即通路、通电、通讯、通上水、通下水、通热、燃气）、红线内场地平整条件下，剩余土地使用年限为办公41.28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4" t="str">
        <f>IF(项目基本情况!B9="房地产市场价值","——",IF(项目基本情况!E9="——","",定义!C57))</f>
        <v/>
      </c>
    </row>
    <row r="23" spans="1:1" ht="18.75">
      <c r="A23" s="1939" t="s">
        <v>1611</v>
      </c>
    </row>
    <row r="24" spans="1:1" ht="18">
      <c r="A24" s="1941" t="str">
        <f>"本次评估采用的主估价方法为"&amp;'结果表-公寓'!K4&amp;"和"&amp;'结果表-公寓'!L4&amp;"。"</f>
        <v>本次评估采用的主估价方法为比较法和收益法。</v>
      </c>
    </row>
    <row r="25" spans="1:1" ht="18">
      <c r="A25" s="1941"/>
    </row>
    <row r="26" spans="1:1" ht="18.75">
      <c r="A26" s="1942" t="s">
        <v>1612</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1" zoomScale="90" zoomScaleNormal="90" workbookViewId="0">
      <selection activeCell="L17" sqref="L17"/>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565" t="s">
        <v>2637</v>
      </c>
      <c r="C1" s="1620" t="s">
        <v>2525</v>
      </c>
      <c r="D1" s="1607" t="s">
        <v>3058</v>
      </c>
      <c r="E1" s="2637"/>
      <c r="F1" s="2567" t="s">
        <v>3132</v>
      </c>
      <c r="G1" s="1617" t="s">
        <v>2638</v>
      </c>
      <c r="H1" s="1616"/>
      <c r="I1" s="1616"/>
      <c r="J1" s="1616"/>
      <c r="K1" s="1618"/>
      <c r="L1" s="1619"/>
      <c r="M1" s="1620"/>
      <c r="N1" s="1620"/>
      <c r="O1" s="1620"/>
      <c r="P1" s="2638"/>
      <c r="Q1" s="2639"/>
      <c r="R1" s="2639"/>
      <c r="S1" s="2639"/>
      <c r="T1" s="2639"/>
      <c r="U1" s="2639"/>
      <c r="V1" s="2639"/>
      <c r="W1" s="2639"/>
      <c r="X1" s="2639"/>
      <c r="Y1" s="2639"/>
      <c r="Z1" s="2639"/>
      <c r="AA1" s="2639"/>
      <c r="AB1" s="2639"/>
      <c r="AC1" s="2640"/>
    </row>
    <row r="2" spans="1:29" s="396" customFormat="1" ht="28.5" customHeight="1" thickTop="1">
      <c r="A2" s="1603" t="s">
        <v>2322</v>
      </c>
      <c r="B2" s="1403">
        <f>IF(C2="——",ROUND(C49*D3/10000,0),ROUND(C49*D3/10000,0)-D2)</f>
        <v>10197</v>
      </c>
      <c r="C2" s="2569" t="s">
        <v>70</v>
      </c>
      <c r="D2" s="1350" t="e">
        <f ca="1">SUMIF(INDIRECT("'"&amp;F2&amp;"'"&amp;"!A:A"),"承租人权益价值",INDIRECT("'"&amp;F2&amp;"'"&amp;"!c:c"))</f>
        <v>#REF!</v>
      </c>
      <c r="E2" s="2570" t="s">
        <v>2323</v>
      </c>
      <c r="F2" s="2571"/>
      <c r="G2" s="1118"/>
      <c r="H2" s="1118"/>
      <c r="I2" s="1118"/>
      <c r="J2" s="1118"/>
      <c r="K2" s="1118"/>
      <c r="L2" s="1121"/>
      <c r="M2" s="1122"/>
      <c r="N2" s="1122"/>
      <c r="O2" s="1122"/>
      <c r="P2" s="2641"/>
      <c r="Q2" s="1122"/>
      <c r="R2" s="1122"/>
      <c r="S2" s="1122"/>
      <c r="T2" s="1122"/>
      <c r="U2" s="1122"/>
      <c r="V2" s="1122"/>
      <c r="W2" s="1122"/>
      <c r="X2" s="1122"/>
      <c r="Y2" s="1122"/>
      <c r="Z2" s="1122"/>
      <c r="AA2" s="1122"/>
      <c r="AB2" s="1122"/>
      <c r="AC2" s="2642"/>
    </row>
    <row r="3" spans="1:29" s="396" customFormat="1" ht="28.5" customHeight="1" thickBot="1">
      <c r="A3" s="245" t="s">
        <v>2324</v>
      </c>
      <c r="B3" s="607">
        <f>IF(C2="——",C49,ROUND(B2*10000/D3,0))</f>
        <v>45735</v>
      </c>
      <c r="C3" s="398" t="s">
        <v>2639</v>
      </c>
      <c r="D3" s="397">
        <f>IF(D1="",'数据-汇总表'!E3,SUMIF('数据-汇总表'!$C19:$C33,D1,'数据-汇总表'!$E19:$E33))</f>
        <v>2229.56</v>
      </c>
      <c r="E3" s="2643"/>
      <c r="F3" s="1119"/>
      <c r="G3" s="1118"/>
      <c r="H3" s="1118"/>
      <c r="I3" s="1118"/>
      <c r="J3" s="1118"/>
      <c r="K3" s="1120"/>
      <c r="L3" s="1121"/>
      <c r="M3" s="1122"/>
      <c r="N3" s="1122"/>
      <c r="O3" s="1122"/>
      <c r="P3" s="2641"/>
      <c r="Q3" s="1122"/>
      <c r="R3" s="1122"/>
      <c r="S3" s="1122"/>
      <c r="T3" s="1122"/>
      <c r="U3" s="1122"/>
      <c r="V3" s="1122"/>
      <c r="W3" s="1122"/>
      <c r="X3" s="1122"/>
      <c r="Y3" s="1122"/>
      <c r="Z3" s="1122"/>
      <c r="AA3" s="1122"/>
      <c r="AB3" s="1122"/>
      <c r="AC3" s="2643"/>
    </row>
    <row r="4" spans="1:29" ht="15">
      <c r="A4" s="399" t="s">
        <v>2640</v>
      </c>
      <c r="B4" s="400"/>
      <c r="C4" s="3171" t="s">
        <v>2641</v>
      </c>
      <c r="D4" s="3172"/>
      <c r="E4" s="3173" t="s">
        <v>2642</v>
      </c>
      <c r="F4" s="3174"/>
      <c r="G4" s="3171" t="s">
        <v>2643</v>
      </c>
      <c r="H4" s="3172"/>
      <c r="I4" s="3171" t="s">
        <v>2644</v>
      </c>
      <c r="J4" s="3172"/>
      <c r="K4" s="608" t="s">
        <v>2645</v>
      </c>
      <c r="L4" s="1123"/>
      <c r="M4" s="1124"/>
      <c r="N4" s="1124"/>
      <c r="O4" s="1124"/>
      <c r="P4" s="3175" t="s">
        <v>2646</v>
      </c>
      <c r="Q4" s="3176"/>
      <c r="R4" s="3157" t="s">
        <v>2642</v>
      </c>
      <c r="S4" s="3158"/>
      <c r="T4" s="3157" t="s">
        <v>2643</v>
      </c>
      <c r="U4" s="3158"/>
      <c r="V4" s="3183" t="s">
        <v>2644</v>
      </c>
      <c r="W4" s="3183"/>
      <c r="X4" s="1799"/>
      <c r="Y4" s="3157" t="s">
        <v>2646</v>
      </c>
      <c r="Z4" s="3158"/>
      <c r="AA4" s="3152" t="s">
        <v>2642</v>
      </c>
      <c r="AB4" s="3183" t="s">
        <v>2643</v>
      </c>
      <c r="AC4" s="3152" t="s">
        <v>2644</v>
      </c>
    </row>
    <row r="5" spans="1:29" ht="15">
      <c r="A5" s="402"/>
      <c r="B5" s="403"/>
      <c r="C5" s="3230" t="s">
        <v>2537</v>
      </c>
      <c r="D5" s="3164"/>
      <c r="E5" s="3161" t="s">
        <v>3126</v>
      </c>
      <c r="F5" s="3162"/>
      <c r="G5" s="3167" t="s">
        <v>3133</v>
      </c>
      <c r="H5" s="3164"/>
      <c r="I5" s="3167" t="s">
        <v>3135</v>
      </c>
      <c r="J5" s="3164"/>
      <c r="K5" s="608"/>
      <c r="L5" s="1123"/>
      <c r="M5" s="1124"/>
      <c r="N5" s="1124"/>
      <c r="O5" s="1124"/>
      <c r="P5" s="3177"/>
      <c r="Q5" s="3178"/>
      <c r="R5" s="3159"/>
      <c r="S5" s="3160"/>
      <c r="T5" s="3159"/>
      <c r="U5" s="3160"/>
      <c r="V5" s="3183"/>
      <c r="W5" s="3183"/>
      <c r="X5" s="1799"/>
      <c r="Y5" s="3159"/>
      <c r="Z5" s="3160"/>
      <c r="AA5" s="3153"/>
      <c r="AB5" s="3183"/>
      <c r="AC5" s="3153"/>
    </row>
    <row r="6" spans="1:29" ht="15.75" thickBot="1">
      <c r="A6" s="404"/>
      <c r="B6" s="405"/>
      <c r="C6" s="3168" t="s">
        <v>3134</v>
      </c>
      <c r="D6" s="3169"/>
      <c r="E6" s="3165" t="s">
        <v>3127</v>
      </c>
      <c r="F6" s="3166"/>
      <c r="G6" s="3168" t="s">
        <v>3134</v>
      </c>
      <c r="H6" s="3169"/>
      <c r="I6" s="3167" t="s">
        <v>3213</v>
      </c>
      <c r="J6" s="3164"/>
      <c r="K6" s="608" t="s">
        <v>2542</v>
      </c>
      <c r="L6" s="1123"/>
      <c r="M6" s="1124"/>
      <c r="N6" s="1124"/>
      <c r="O6" s="1124"/>
      <c r="P6" s="3179"/>
      <c r="Q6" s="3180"/>
      <c r="R6" s="3159"/>
      <c r="S6" s="3160"/>
      <c r="T6" s="3181"/>
      <c r="U6" s="3182"/>
      <c r="V6" s="3183"/>
      <c r="W6" s="3183"/>
      <c r="X6" s="1799"/>
      <c r="Y6" s="3181"/>
      <c r="Z6" s="3182"/>
      <c r="AA6" s="3154"/>
      <c r="AB6" s="3183"/>
      <c r="AC6" s="3154"/>
    </row>
    <row r="7" spans="1:29" s="115" customFormat="1" ht="15.75" thickBot="1">
      <c r="A7" s="406" t="s">
        <v>2543</v>
      </c>
      <c r="B7" s="407"/>
      <c r="C7" s="408">
        <f>'数据-取费表'!B2</f>
        <v>43061</v>
      </c>
      <c r="D7" s="409">
        <v>100</v>
      </c>
      <c r="E7" s="410">
        <v>43059</v>
      </c>
      <c r="F7" s="411">
        <f>SUMIF(58:58,YEAR(E7)&amp;"-"&amp;MONTH(E7),59:59)</f>
        <v>100</v>
      </c>
      <c r="G7" s="410">
        <v>43047</v>
      </c>
      <c r="H7" s="409">
        <f>SUMIF(58:58,YEAR(G7)&amp;"-"&amp;MONTH(G7),59:59)</f>
        <v>100</v>
      </c>
      <c r="I7" s="410">
        <v>43056</v>
      </c>
      <c r="J7" s="409">
        <f>SUMIF(58:58,YEAR(I7)&amp;"-"&amp;MONTH(I7),59:59)</f>
        <v>100</v>
      </c>
      <c r="K7" s="609"/>
      <c r="L7" s="1125"/>
      <c r="M7" s="1126"/>
      <c r="N7" s="1126"/>
      <c r="O7" s="1126"/>
      <c r="P7" s="3155" t="s">
        <v>2544</v>
      </c>
      <c r="Q7" s="3184"/>
      <c r="R7" s="767" t="s">
        <v>17</v>
      </c>
      <c r="S7" s="768">
        <f t="shared" ref="S7:S15" si="0">F7</f>
        <v>100</v>
      </c>
      <c r="T7" s="767" t="s">
        <v>17</v>
      </c>
      <c r="U7" s="768">
        <f t="shared" ref="U7:U15" si="1">H7</f>
        <v>100</v>
      </c>
      <c r="V7" s="767" t="s">
        <v>17</v>
      </c>
      <c r="W7" s="768">
        <f t="shared" ref="W7:W15" si="2">J7</f>
        <v>100</v>
      </c>
      <c r="X7" s="769"/>
      <c r="Y7" s="3155" t="s">
        <v>2544</v>
      </c>
      <c r="Z7" s="3156"/>
      <c r="AA7" s="770">
        <f>D7/F7</f>
        <v>1</v>
      </c>
      <c r="AB7" s="770">
        <f>D7/H7</f>
        <v>1</v>
      </c>
      <c r="AC7" s="770">
        <f>D7/J7</f>
        <v>1</v>
      </c>
    </row>
    <row r="8" spans="1:29" s="115" customFormat="1" ht="15.75" thickBot="1">
      <c r="A8" s="406" t="s">
        <v>2545</v>
      </c>
      <c r="B8" s="407"/>
      <c r="C8" s="412" t="s">
        <v>2647</v>
      </c>
      <c r="D8" s="409">
        <v>100</v>
      </c>
      <c r="E8" s="412" t="s">
        <v>2582</v>
      </c>
      <c r="F8" s="411">
        <f>SUMIF(61:61,E8,62:62)-SUMIF(61:61,C8,62:62)+100</f>
        <v>100</v>
      </c>
      <c r="G8" s="412" t="s">
        <v>2582</v>
      </c>
      <c r="H8" s="409">
        <f>SUMIF(61:61,G8,62:62)-SUMIF(61:61,C8,62:62)+100</f>
        <v>100</v>
      </c>
      <c r="I8" s="412" t="s">
        <v>2582</v>
      </c>
      <c r="J8" s="409">
        <f>SUMIF(61:61,I8,62:62)-SUMIF(61:61,C8,62:62)+100</f>
        <v>100</v>
      </c>
      <c r="K8" s="609"/>
      <c r="L8" s="1125"/>
      <c r="M8" s="1126"/>
      <c r="N8" s="1126"/>
      <c r="O8" s="1126"/>
      <c r="P8" s="3155" t="s">
        <v>2547</v>
      </c>
      <c r="Q8" s="3156"/>
      <c r="R8" s="767" t="s">
        <v>17</v>
      </c>
      <c r="S8" s="768">
        <f t="shared" si="0"/>
        <v>100</v>
      </c>
      <c r="T8" s="767" t="s">
        <v>17</v>
      </c>
      <c r="U8" s="768">
        <f t="shared" si="1"/>
        <v>100</v>
      </c>
      <c r="V8" s="767" t="s">
        <v>17</v>
      </c>
      <c r="W8" s="768">
        <f t="shared" si="2"/>
        <v>100</v>
      </c>
      <c r="X8" s="769"/>
      <c r="Y8" s="3155" t="s">
        <v>2547</v>
      </c>
      <c r="Z8" s="3156"/>
      <c r="AA8" s="770">
        <f t="shared" ref="AA8:AA46" si="3">D8/F8</f>
        <v>1</v>
      </c>
      <c r="AB8" s="770">
        <f t="shared" ref="AB8:AB46" si="4">D8/H8</f>
        <v>1</v>
      </c>
      <c r="AC8" s="770">
        <f t="shared" ref="AC8:AC46" si="5">D8/J8</f>
        <v>1</v>
      </c>
    </row>
    <row r="9" spans="1:29" s="115" customFormat="1" ht="15" thickBot="1">
      <c r="A9" s="413" t="s">
        <v>2548</v>
      </c>
      <c r="B9" s="2953" t="s">
        <v>2549</v>
      </c>
      <c r="C9" s="2930" t="s">
        <v>3131</v>
      </c>
      <c r="D9" s="133">
        <v>100</v>
      </c>
      <c r="E9" s="415" t="s">
        <v>1378</v>
      </c>
      <c r="F9" s="416">
        <f>SUMIF(63:63,E9,64:64)-SUMIF(63:63,C9,64:64)+100</f>
        <v>100</v>
      </c>
      <c r="G9" s="412" t="s">
        <v>3214</v>
      </c>
      <c r="H9" s="133">
        <f>SUMIF(63:63,G9,64:64)-SUMIF(63:63,C9,64:64)+100</f>
        <v>100</v>
      </c>
      <c r="I9" s="415" t="s">
        <v>1378</v>
      </c>
      <c r="J9" s="133">
        <f>SUMIF(63:63,I9,64:64)-SUMIF(63:63,C9,64:64)+100</f>
        <v>100</v>
      </c>
      <c r="K9" s="609"/>
      <c r="L9" s="1125"/>
      <c r="M9" s="1126"/>
      <c r="N9" s="1126"/>
      <c r="O9" s="1126"/>
      <c r="P9" s="3170" t="s">
        <v>2550</v>
      </c>
      <c r="Q9" s="1781" t="str">
        <f t="shared" ref="Q9:Q15" si="6">B9</f>
        <v>用途</v>
      </c>
      <c r="R9" s="767" t="s">
        <v>17</v>
      </c>
      <c r="S9" s="768">
        <f t="shared" si="0"/>
        <v>100</v>
      </c>
      <c r="T9" s="767" t="s">
        <v>17</v>
      </c>
      <c r="U9" s="768">
        <f t="shared" si="1"/>
        <v>100</v>
      </c>
      <c r="V9" s="767" t="s">
        <v>17</v>
      </c>
      <c r="W9" s="768">
        <f t="shared" si="2"/>
        <v>100</v>
      </c>
      <c r="X9" s="769"/>
      <c r="Y9" s="3029" t="s">
        <v>2551</v>
      </c>
      <c r="Z9" s="55" t="str">
        <f t="shared" ref="Z9:Z15" si="7">Q9</f>
        <v>用途</v>
      </c>
      <c r="AA9" s="770">
        <f t="shared" si="3"/>
        <v>1</v>
      </c>
      <c r="AB9" s="770">
        <f t="shared" si="4"/>
        <v>1</v>
      </c>
      <c r="AC9" s="770">
        <f t="shared" si="5"/>
        <v>1</v>
      </c>
    </row>
    <row r="10" spans="1:29" s="425" customFormat="1" ht="27">
      <c r="A10" s="419"/>
      <c r="B10" s="420" t="s">
        <v>2552</v>
      </c>
      <c r="C10" s="421" t="s">
        <v>3069</v>
      </c>
      <c r="D10" s="134">
        <v>100</v>
      </c>
      <c r="E10" s="422" t="s">
        <v>3069</v>
      </c>
      <c r="F10" s="423">
        <f>SUMIF(65:65,E10,66:66)-SUMIF(65:65,C10,66:66)+100</f>
        <v>100</v>
      </c>
      <c r="G10" s="421" t="s">
        <v>3069</v>
      </c>
      <c r="H10" s="134">
        <f>SUMIF(65:65,G10,66:66)-SUMIF(65:65,C10,66:66)+100</f>
        <v>100</v>
      </c>
      <c r="I10" s="421" t="s">
        <v>3069</v>
      </c>
      <c r="J10" s="134">
        <f>SUMIF(65:65,I10,66:66)-SUMIF(65:65,C10,66:66)+100</f>
        <v>100</v>
      </c>
      <c r="K10" s="610">
        <v>1</v>
      </c>
      <c r="L10" s="1128"/>
      <c r="M10" s="1129"/>
      <c r="N10" s="1129"/>
      <c r="O10" s="1129"/>
      <c r="P10" s="3170"/>
      <c r="Q10" s="1781"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75" thickBot="1">
      <c r="A11" s="426"/>
      <c r="B11" s="2951" t="s">
        <v>2553</v>
      </c>
      <c r="C11" s="427">
        <f>'数据-汇总表'!I4</f>
        <v>12.07</v>
      </c>
      <c r="D11" s="134">
        <v>100</v>
      </c>
      <c r="E11" s="428">
        <v>2</v>
      </c>
      <c r="F11" s="423">
        <f>LOOKUP(E11,68:68,69:69)-LOOKUP(C11,68:68,69:69)+100</f>
        <v>110</v>
      </c>
      <c r="G11" s="427">
        <v>2.73</v>
      </c>
      <c r="H11" s="134">
        <f>LOOKUP(G11,68:68,69:69)-LOOKUP(C11,68:68,69:69)+100</f>
        <v>110</v>
      </c>
      <c r="I11" s="427">
        <v>4.5999999999999996</v>
      </c>
      <c r="J11" s="134">
        <f>LOOKUP(I11,68:68,69:69)-LOOKUP(C11,68:68,69:69)+100</f>
        <v>108</v>
      </c>
      <c r="K11" s="610">
        <v>1</v>
      </c>
      <c r="L11" s="1131"/>
      <c r="M11" s="1124"/>
      <c r="N11" s="1124"/>
      <c r="O11" s="1124"/>
      <c r="P11" s="3170"/>
      <c r="Q11" s="1781" t="str">
        <f t="shared" si="6"/>
        <v>容积率</v>
      </c>
      <c r="R11" s="767" t="s">
        <v>17</v>
      </c>
      <c r="S11" s="768">
        <f t="shared" si="0"/>
        <v>110</v>
      </c>
      <c r="T11" s="767" t="s">
        <v>17</v>
      </c>
      <c r="U11" s="768">
        <f t="shared" si="1"/>
        <v>110</v>
      </c>
      <c r="V11" s="767" t="s">
        <v>17</v>
      </c>
      <c r="W11" s="768">
        <f t="shared" si="2"/>
        <v>108</v>
      </c>
      <c r="X11" s="769"/>
      <c r="Y11" s="3029"/>
      <c r="Z11" s="55" t="str">
        <f t="shared" si="7"/>
        <v>容积率</v>
      </c>
      <c r="AA11" s="770">
        <f t="shared" si="3"/>
        <v>0.90909090909090906</v>
      </c>
      <c r="AB11" s="770">
        <f t="shared" si="4"/>
        <v>0.90909090909090906</v>
      </c>
      <c r="AC11" s="770">
        <f t="shared" si="5"/>
        <v>0.92592592592592593</v>
      </c>
    </row>
    <row r="12" spans="1:29" s="115" customFormat="1" ht="15" hidden="1">
      <c r="A12" s="429"/>
      <c r="B12" s="2583"/>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170"/>
      <c r="Q12" s="1781">
        <f t="shared" si="6"/>
        <v>0</v>
      </c>
      <c r="R12" s="767" t="s">
        <v>17</v>
      </c>
      <c r="S12" s="768">
        <f t="shared" si="0"/>
        <v>100</v>
      </c>
      <c r="T12" s="767" t="s">
        <v>17</v>
      </c>
      <c r="U12" s="768">
        <f t="shared" si="1"/>
        <v>100</v>
      </c>
      <c r="V12" s="767" t="s">
        <v>17</v>
      </c>
      <c r="W12" s="768">
        <f t="shared" si="2"/>
        <v>100</v>
      </c>
      <c r="X12" s="769"/>
      <c r="Y12" s="3029"/>
      <c r="Z12" s="55">
        <f t="shared" si="7"/>
        <v>0</v>
      </c>
      <c r="AA12" s="770">
        <f>D12/F12</f>
        <v>1</v>
      </c>
      <c r="AB12" s="770">
        <f>D12/H12</f>
        <v>1</v>
      </c>
      <c r="AC12" s="770">
        <f>D12/J12</f>
        <v>1</v>
      </c>
    </row>
    <row r="13" spans="1:29" ht="15" hidden="1">
      <c r="A13" s="426"/>
      <c r="B13" s="2583"/>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170"/>
      <c r="Q13" s="1781">
        <f t="shared" si="6"/>
        <v>0</v>
      </c>
      <c r="R13" s="767" t="s">
        <v>17</v>
      </c>
      <c r="S13" s="768">
        <f t="shared" si="0"/>
        <v>100</v>
      </c>
      <c r="T13" s="767" t="s">
        <v>17</v>
      </c>
      <c r="U13" s="768">
        <f t="shared" si="1"/>
        <v>100</v>
      </c>
      <c r="V13" s="767" t="s">
        <v>17</v>
      </c>
      <c r="W13" s="768">
        <f t="shared" si="2"/>
        <v>100</v>
      </c>
      <c r="X13" s="769"/>
      <c r="Y13" s="3029"/>
      <c r="Z13" s="55">
        <f t="shared" si="7"/>
        <v>0</v>
      </c>
      <c r="AA13" s="770">
        <f t="shared" si="3"/>
        <v>1</v>
      </c>
      <c r="AB13" s="770">
        <f t="shared" si="4"/>
        <v>1</v>
      </c>
      <c r="AC13" s="770">
        <f t="shared" si="5"/>
        <v>1</v>
      </c>
    </row>
    <row r="14" spans="1:29" ht="15.75" hidden="1" thickBot="1">
      <c r="A14" s="434"/>
      <c r="B14" s="2585"/>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170"/>
      <c r="Q14" s="1781">
        <f t="shared" si="6"/>
        <v>0</v>
      </c>
      <c r="R14" s="767" t="s">
        <v>17</v>
      </c>
      <c r="S14" s="768">
        <f t="shared" si="0"/>
        <v>100</v>
      </c>
      <c r="T14" s="767" t="s">
        <v>17</v>
      </c>
      <c r="U14" s="768">
        <f t="shared" si="1"/>
        <v>100</v>
      </c>
      <c r="V14" s="767" t="s">
        <v>17</v>
      </c>
      <c r="W14" s="768">
        <f t="shared" si="2"/>
        <v>100</v>
      </c>
      <c r="X14" s="769"/>
      <c r="Y14" s="3029"/>
      <c r="Z14" s="55">
        <f t="shared" si="7"/>
        <v>0</v>
      </c>
      <c r="AA14" s="770">
        <f t="shared" si="3"/>
        <v>1</v>
      </c>
      <c r="AB14" s="770">
        <f t="shared" si="4"/>
        <v>1</v>
      </c>
      <c r="AC14" s="770">
        <f t="shared" si="5"/>
        <v>1</v>
      </c>
    </row>
    <row r="15" spans="1:29" ht="71.25">
      <c r="A15" s="438" t="s">
        <v>2554</v>
      </c>
      <c r="B15" s="69" t="s">
        <v>2648</v>
      </c>
      <c r="C15" s="258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4</v>
      </c>
      <c r="L15" s="1133"/>
      <c r="M15" s="1124"/>
      <c r="N15" s="1124"/>
      <c r="O15" s="1124"/>
      <c r="P15" s="3197" t="s">
        <v>2555</v>
      </c>
      <c r="Q15" s="1796" t="str">
        <f t="shared" si="6"/>
        <v>商业繁华度</v>
      </c>
      <c r="R15" s="771" t="s">
        <v>17</v>
      </c>
      <c r="S15" s="772">
        <f t="shared" si="0"/>
        <v>100</v>
      </c>
      <c r="T15" s="771" t="s">
        <v>17</v>
      </c>
      <c r="U15" s="772">
        <f t="shared" si="1"/>
        <v>100</v>
      </c>
      <c r="V15" s="771" t="s">
        <v>17</v>
      </c>
      <c r="W15" s="772">
        <f t="shared" si="2"/>
        <v>100</v>
      </c>
      <c r="X15" s="1799"/>
      <c r="Y15" s="3190" t="s">
        <v>2555</v>
      </c>
      <c r="Z15" s="1800" t="str">
        <f t="shared" si="7"/>
        <v>商业繁华度</v>
      </c>
      <c r="AA15" s="1797">
        <f t="shared" si="3"/>
        <v>1</v>
      </c>
      <c r="AB15" s="1797">
        <f t="shared" si="4"/>
        <v>1</v>
      </c>
      <c r="AC15" s="1797">
        <f t="shared" si="5"/>
        <v>1</v>
      </c>
    </row>
    <row r="16" spans="1:29" ht="15">
      <c r="A16" s="426"/>
      <c r="B16" s="444"/>
      <c r="C16" s="445" t="s">
        <v>3071</v>
      </c>
      <c r="D16" s="446"/>
      <c r="E16" s="445" t="s">
        <v>3071</v>
      </c>
      <c r="F16" s="447"/>
      <c r="G16" s="445" t="s">
        <v>3071</v>
      </c>
      <c r="H16" s="448"/>
      <c r="I16" s="445" t="s">
        <v>3071</v>
      </c>
      <c r="J16" s="446"/>
      <c r="K16" s="613"/>
      <c r="L16" s="1133"/>
      <c r="M16" s="1124"/>
      <c r="N16" s="1124"/>
      <c r="O16" s="1124"/>
      <c r="P16" s="3198"/>
      <c r="Q16" s="1796"/>
      <c r="R16" s="771"/>
      <c r="S16" s="772"/>
      <c r="T16" s="771"/>
      <c r="U16" s="772"/>
      <c r="V16" s="771"/>
      <c r="W16" s="772"/>
      <c r="X16" s="1799"/>
      <c r="Y16" s="3191"/>
      <c r="Z16" s="1800"/>
      <c r="AA16" s="1797">
        <v>1</v>
      </c>
      <c r="AB16" s="1797">
        <v>1</v>
      </c>
      <c r="AC16" s="1797">
        <v>1</v>
      </c>
    </row>
    <row r="17" spans="1:29" ht="85.5">
      <c r="A17" s="426"/>
      <c r="B17" s="449" t="s">
        <v>2094</v>
      </c>
      <c r="C17" s="259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3</v>
      </c>
      <c r="L17" s="1133"/>
      <c r="M17" s="1124"/>
      <c r="N17" s="1124"/>
      <c r="O17" s="1124"/>
      <c r="P17" s="3198"/>
      <c r="Q17" s="1796" t="str">
        <f>B17</f>
        <v>交通便捷度</v>
      </c>
      <c r="R17" s="771" t="s">
        <v>17</v>
      </c>
      <c r="S17" s="772">
        <f>F17</f>
        <v>100</v>
      </c>
      <c r="T17" s="771" t="s">
        <v>17</v>
      </c>
      <c r="U17" s="772">
        <f>H17</f>
        <v>100</v>
      </c>
      <c r="V17" s="771" t="s">
        <v>17</v>
      </c>
      <c r="W17" s="772">
        <f>J17</f>
        <v>100</v>
      </c>
      <c r="X17" s="1799"/>
      <c r="Y17" s="3191"/>
      <c r="Z17" s="1800" t="str">
        <f>Q17</f>
        <v>交通便捷度</v>
      </c>
      <c r="AA17" s="1797">
        <f t="shared" si="3"/>
        <v>1</v>
      </c>
      <c r="AB17" s="1797">
        <f t="shared" si="4"/>
        <v>1</v>
      </c>
      <c r="AC17" s="1797">
        <f t="shared" si="5"/>
        <v>1</v>
      </c>
    </row>
    <row r="18" spans="1:29" ht="15">
      <c r="A18" s="426"/>
      <c r="B18" s="454"/>
      <c r="C18" s="2591" t="s">
        <v>3071</v>
      </c>
      <c r="D18" s="448"/>
      <c r="E18" s="2593" t="s">
        <v>3071</v>
      </c>
      <c r="F18" s="451"/>
      <c r="G18" s="2593" t="s">
        <v>3071</v>
      </c>
      <c r="H18" s="446"/>
      <c r="I18" s="2593" t="s">
        <v>3071</v>
      </c>
      <c r="J18" s="446"/>
      <c r="K18" s="613"/>
      <c r="L18" s="1133"/>
      <c r="M18" s="1124"/>
      <c r="N18" s="1124"/>
      <c r="O18" s="1124"/>
      <c r="P18" s="3198"/>
      <c r="Q18" s="1796"/>
      <c r="R18" s="771"/>
      <c r="S18" s="772"/>
      <c r="T18" s="771"/>
      <c r="U18" s="772"/>
      <c r="V18" s="771"/>
      <c r="W18" s="772"/>
      <c r="X18" s="1799"/>
      <c r="Y18" s="3191"/>
      <c r="Z18" s="1800"/>
      <c r="AA18" s="1797">
        <v>1</v>
      </c>
      <c r="AB18" s="1797">
        <v>1</v>
      </c>
      <c r="AC18" s="1797">
        <v>1</v>
      </c>
    </row>
    <row r="19" spans="1:29" ht="42.75">
      <c r="A19" s="426"/>
      <c r="B19" s="449" t="s">
        <v>2649</v>
      </c>
      <c r="C19" s="259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3"/>
      <c r="M19" s="1124"/>
      <c r="N19" s="1124"/>
      <c r="O19" s="1124"/>
      <c r="P19" s="3198"/>
      <c r="Q19" s="1796" t="str">
        <f>B19</f>
        <v>公共配套设施</v>
      </c>
      <c r="R19" s="771" t="s">
        <v>17</v>
      </c>
      <c r="S19" s="772">
        <f>F19</f>
        <v>100</v>
      </c>
      <c r="T19" s="771" t="s">
        <v>17</v>
      </c>
      <c r="U19" s="772">
        <f>H19</f>
        <v>100</v>
      </c>
      <c r="V19" s="771" t="s">
        <v>17</v>
      </c>
      <c r="W19" s="772">
        <f>J19</f>
        <v>100</v>
      </c>
      <c r="X19" s="1799"/>
      <c r="Y19" s="3191"/>
      <c r="Z19" s="1800" t="str">
        <f>Q19</f>
        <v>公共配套设施</v>
      </c>
      <c r="AA19" s="1797">
        <f t="shared" si="3"/>
        <v>1</v>
      </c>
      <c r="AB19" s="1797">
        <f t="shared" si="4"/>
        <v>1</v>
      </c>
      <c r="AC19" s="1797">
        <f t="shared" si="5"/>
        <v>1</v>
      </c>
    </row>
    <row r="20" spans="1:29" ht="15">
      <c r="A20" s="426"/>
      <c r="B20" s="454"/>
      <c r="C20" s="445" t="s">
        <v>3071</v>
      </c>
      <c r="D20" s="446"/>
      <c r="E20" s="445" t="s">
        <v>3071</v>
      </c>
      <c r="F20" s="447"/>
      <c r="G20" s="445" t="s">
        <v>3071</v>
      </c>
      <c r="H20" s="446"/>
      <c r="I20" s="445" t="s">
        <v>3071</v>
      </c>
      <c r="J20" s="446"/>
      <c r="K20" s="613"/>
      <c r="L20" s="1133"/>
      <c r="M20" s="1124"/>
      <c r="N20" s="1124"/>
      <c r="O20" s="1124"/>
      <c r="P20" s="3198"/>
      <c r="Q20" s="1796"/>
      <c r="R20" s="771"/>
      <c r="S20" s="772"/>
      <c r="T20" s="771"/>
      <c r="U20" s="772"/>
      <c r="V20" s="771"/>
      <c r="W20" s="772"/>
      <c r="X20" s="1799"/>
      <c r="Y20" s="3191"/>
      <c r="Z20" s="1800"/>
      <c r="AA20" s="1797">
        <v>1</v>
      </c>
      <c r="AB20" s="1797">
        <v>1</v>
      </c>
      <c r="AC20" s="1797">
        <v>1</v>
      </c>
    </row>
    <row r="21" spans="1:29" ht="28.5">
      <c r="A21" s="426"/>
      <c r="B21" s="1369" t="s">
        <v>2650</v>
      </c>
      <c r="C21" s="259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3"/>
      <c r="M21" s="1124"/>
      <c r="N21" s="1124"/>
      <c r="O21" s="1124"/>
      <c r="P21" s="3198"/>
      <c r="Q21" s="1796" t="str">
        <f>B21</f>
        <v>基础设施水平</v>
      </c>
      <c r="R21" s="771" t="s">
        <v>17</v>
      </c>
      <c r="S21" s="772">
        <f>F21</f>
        <v>100</v>
      </c>
      <c r="T21" s="771" t="s">
        <v>17</v>
      </c>
      <c r="U21" s="772">
        <f>H21</f>
        <v>100</v>
      </c>
      <c r="V21" s="771" t="s">
        <v>17</v>
      </c>
      <c r="W21" s="772">
        <f>J21</f>
        <v>100</v>
      </c>
      <c r="X21" s="1799"/>
      <c r="Y21" s="3191"/>
      <c r="Z21" s="1800" t="str">
        <f>Q21</f>
        <v>基础设施水平</v>
      </c>
      <c r="AA21" s="1797">
        <f t="shared" ref="AA21" si="8">D21/F21</f>
        <v>1</v>
      </c>
      <c r="AB21" s="1797">
        <f t="shared" ref="AB21" si="9">D21/H21</f>
        <v>1</v>
      </c>
      <c r="AC21" s="1797">
        <f t="shared" ref="AC21" si="10">D21/J21</f>
        <v>1</v>
      </c>
    </row>
    <row r="22" spans="1:29" ht="15">
      <c r="A22" s="426"/>
      <c r="B22" s="1369"/>
      <c r="C22" s="2591" t="s">
        <v>3072</v>
      </c>
      <c r="D22" s="446"/>
      <c r="E22" s="2591" t="s">
        <v>3072</v>
      </c>
      <c r="F22" s="447"/>
      <c r="G22" s="2591" t="s">
        <v>3072</v>
      </c>
      <c r="H22" s="446"/>
      <c r="I22" s="2591" t="s">
        <v>3072</v>
      </c>
      <c r="J22" s="446"/>
      <c r="K22" s="1368"/>
      <c r="L22" s="1133"/>
      <c r="M22" s="1124"/>
      <c r="N22" s="1124"/>
      <c r="O22" s="1124"/>
      <c r="P22" s="3198"/>
      <c r="Q22" s="1796"/>
      <c r="R22" s="771"/>
      <c r="S22" s="772"/>
      <c r="T22" s="771"/>
      <c r="U22" s="772"/>
      <c r="V22" s="771"/>
      <c r="W22" s="772"/>
      <c r="X22" s="1799"/>
      <c r="Y22" s="3191"/>
      <c r="Z22" s="1800"/>
      <c r="AA22" s="1797">
        <v>1</v>
      </c>
      <c r="AB22" s="1797">
        <v>1</v>
      </c>
      <c r="AC22" s="1797">
        <v>1</v>
      </c>
    </row>
    <row r="23" spans="1:29" ht="57">
      <c r="A23" s="426"/>
      <c r="B23" s="449" t="s">
        <v>2099</v>
      </c>
      <c r="C23" s="264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3"/>
      <c r="M23" s="1124"/>
      <c r="N23" s="1124"/>
      <c r="O23" s="1124"/>
      <c r="P23" s="3198"/>
      <c r="Q23" s="1796" t="str">
        <f>B23</f>
        <v>自然及人文环境</v>
      </c>
      <c r="R23" s="771" t="s">
        <v>17</v>
      </c>
      <c r="S23" s="772">
        <f>F23</f>
        <v>100</v>
      </c>
      <c r="T23" s="771" t="s">
        <v>17</v>
      </c>
      <c r="U23" s="772">
        <f>H23</f>
        <v>100</v>
      </c>
      <c r="V23" s="771" t="s">
        <v>17</v>
      </c>
      <c r="W23" s="772">
        <f>J23</f>
        <v>100</v>
      </c>
      <c r="X23" s="1799"/>
      <c r="Y23" s="3191"/>
      <c r="Z23" s="1800" t="str">
        <f>Q23</f>
        <v>自然及人文环境</v>
      </c>
      <c r="AA23" s="1797">
        <f t="shared" si="3"/>
        <v>1</v>
      </c>
      <c r="AB23" s="1797">
        <f t="shared" si="4"/>
        <v>1</v>
      </c>
      <c r="AC23" s="1797">
        <f t="shared" si="5"/>
        <v>1</v>
      </c>
    </row>
    <row r="24" spans="1:29" ht="15">
      <c r="A24" s="426"/>
      <c r="B24" s="454"/>
      <c r="C24" s="445" t="s">
        <v>3071</v>
      </c>
      <c r="D24" s="446"/>
      <c r="E24" s="445" t="s">
        <v>3071</v>
      </c>
      <c r="F24" s="447"/>
      <c r="G24" s="445" t="s">
        <v>3071</v>
      </c>
      <c r="H24" s="446"/>
      <c r="I24" s="445" t="s">
        <v>3071</v>
      </c>
      <c r="J24" s="446"/>
      <c r="K24" s="613"/>
      <c r="L24" s="1133"/>
      <c r="M24" s="1124"/>
      <c r="N24" s="1124"/>
      <c r="O24" s="1124"/>
      <c r="P24" s="3198"/>
      <c r="Q24" s="1796"/>
      <c r="R24" s="771"/>
      <c r="S24" s="772"/>
      <c r="T24" s="771"/>
      <c r="U24" s="772"/>
      <c r="V24" s="771"/>
      <c r="W24" s="772"/>
      <c r="X24" s="1799"/>
      <c r="Y24" s="3191"/>
      <c r="Z24" s="1800"/>
      <c r="AA24" s="1797">
        <v>1</v>
      </c>
      <c r="AB24" s="1797">
        <v>1</v>
      </c>
      <c r="AC24" s="1797">
        <v>1</v>
      </c>
    </row>
    <row r="25" spans="1:29" ht="15">
      <c r="A25" s="426"/>
      <c r="B25" s="420" t="s">
        <v>2651</v>
      </c>
      <c r="C25" s="614" t="s">
        <v>3136</v>
      </c>
      <c r="D25" s="433">
        <v>100</v>
      </c>
      <c r="E25" s="614" t="s">
        <v>3136</v>
      </c>
      <c r="F25" s="459">
        <f>SUMIF(86:86,E25,87:87)-SUMIF(86:86,C25,87:87)+100</f>
        <v>100</v>
      </c>
      <c r="G25" s="614" t="s">
        <v>3136</v>
      </c>
      <c r="H25" s="433">
        <f>SUMIF(86:86,G25,87:87)-SUMIF(86:86,C25,87:87)+100</f>
        <v>100</v>
      </c>
      <c r="I25" s="614" t="s">
        <v>3136</v>
      </c>
      <c r="J25" s="433">
        <f>SUMIF(86:86,I25,87:87)-SUMIF(86:86,C25,87:87)+100</f>
        <v>100</v>
      </c>
      <c r="K25" s="610">
        <v>2</v>
      </c>
      <c r="L25" s="1133"/>
      <c r="M25" s="1124"/>
      <c r="N25" s="1124"/>
      <c r="O25" s="1124"/>
      <c r="P25" s="3198"/>
      <c r="Q25" s="1796" t="str">
        <f t="shared" ref="Q25:Q46" si="11">B25</f>
        <v>临街状况</v>
      </c>
      <c r="R25" s="771" t="s">
        <v>17</v>
      </c>
      <c r="S25" s="772">
        <f>F25</f>
        <v>100</v>
      </c>
      <c r="T25" s="771" t="s">
        <v>17</v>
      </c>
      <c r="U25" s="772">
        <f>H25</f>
        <v>100</v>
      </c>
      <c r="V25" s="771" t="s">
        <v>17</v>
      </c>
      <c r="W25" s="772">
        <f>J25</f>
        <v>100</v>
      </c>
      <c r="X25" s="1799"/>
      <c r="Y25" s="3191"/>
      <c r="Z25" s="1800" t="str">
        <f>Q25</f>
        <v>临街状况</v>
      </c>
      <c r="AA25" s="1797">
        <f t="shared" si="3"/>
        <v>1</v>
      </c>
      <c r="AB25" s="1797">
        <f t="shared" si="4"/>
        <v>1</v>
      </c>
      <c r="AC25" s="1797">
        <f t="shared" si="5"/>
        <v>1</v>
      </c>
    </row>
    <row r="26" spans="1:29" ht="15">
      <c r="A26" s="426"/>
      <c r="B26" s="1371" t="s">
        <v>2652</v>
      </c>
      <c r="C26" s="2941" t="s">
        <v>3140</v>
      </c>
      <c r="D26" s="433">
        <v>100</v>
      </c>
      <c r="E26" s="2941" t="s">
        <v>3140</v>
      </c>
      <c r="F26" s="459">
        <f>SUMIF(88:88,E26,89:89)-SUMIF(88:88,C26,89:89)+100</f>
        <v>100</v>
      </c>
      <c r="G26" s="2941" t="s">
        <v>3140</v>
      </c>
      <c r="H26" s="433">
        <f>SUMIF(88:88,G26,89:89)-SUMIF(88:88,C26,89:89)+100</f>
        <v>100</v>
      </c>
      <c r="I26" s="2941" t="s">
        <v>3140</v>
      </c>
      <c r="J26" s="433">
        <f>SUMIF(88:88,I26,89:89)-SUMIF(88:88,C26,89:89)+100</f>
        <v>100</v>
      </c>
      <c r="K26" s="611"/>
      <c r="L26" s="1133"/>
      <c r="M26" s="1124"/>
      <c r="N26" s="1124"/>
      <c r="O26" s="1124"/>
      <c r="P26" s="3198"/>
      <c r="Q26" s="1796" t="str">
        <f t="shared" si="11"/>
        <v>平面位置/可视性</v>
      </c>
      <c r="R26" s="771" t="s">
        <v>17</v>
      </c>
      <c r="S26" s="772">
        <f>F26</f>
        <v>100</v>
      </c>
      <c r="T26" s="771" t="s">
        <v>17</v>
      </c>
      <c r="U26" s="772">
        <f>H26</f>
        <v>100</v>
      </c>
      <c r="V26" s="771" t="s">
        <v>17</v>
      </c>
      <c r="W26" s="772">
        <f>J26</f>
        <v>100</v>
      </c>
      <c r="X26" s="1799"/>
      <c r="Y26" s="3191"/>
      <c r="Z26" s="1800" t="str">
        <f>Q26</f>
        <v>平面位置/可视性</v>
      </c>
      <c r="AA26" s="1797">
        <f t="shared" si="3"/>
        <v>1</v>
      </c>
      <c r="AB26" s="1797">
        <f t="shared" si="4"/>
        <v>1</v>
      </c>
      <c r="AC26" s="1797">
        <f t="shared" si="5"/>
        <v>1</v>
      </c>
    </row>
    <row r="27" spans="1:29" s="115" customFormat="1" ht="15">
      <c r="A27" s="429"/>
      <c r="B27" s="449" t="s">
        <v>2653</v>
      </c>
      <c r="C27" s="2645" t="s">
        <v>3070</v>
      </c>
      <c r="D27" s="460">
        <v>100</v>
      </c>
      <c r="E27" s="2645" t="s">
        <v>3070</v>
      </c>
      <c r="F27" s="462">
        <f>SUMIF(90:90,E27,91:91)-SUMIF(90:90,C27,91:91)+100</f>
        <v>100</v>
      </c>
      <c r="G27" s="2645" t="s">
        <v>3070</v>
      </c>
      <c r="H27" s="460">
        <f>SUMIF(90:90,G27,91:91)-SUMIF(90:90,C27,91:91)+100</f>
        <v>100</v>
      </c>
      <c r="I27" s="2645" t="s">
        <v>3070</v>
      </c>
      <c r="J27" s="460">
        <f>SUMIF(90:90,I27,91:91)-SUMIF(90:90,C27,91:91)+100</f>
        <v>100</v>
      </c>
      <c r="K27" s="610">
        <v>2</v>
      </c>
      <c r="L27" s="1125"/>
      <c r="M27" s="1126"/>
      <c r="N27" s="1126"/>
      <c r="O27" s="1126"/>
      <c r="P27" s="3198"/>
      <c r="Q27" s="1781" t="str">
        <f t="shared" si="11"/>
        <v>人流量</v>
      </c>
      <c r="R27" s="767" t="s">
        <v>17</v>
      </c>
      <c r="S27" s="768">
        <f>F27</f>
        <v>100</v>
      </c>
      <c r="T27" s="767" t="s">
        <v>17</v>
      </c>
      <c r="U27" s="768">
        <f>H27</f>
        <v>100</v>
      </c>
      <c r="V27" s="767" t="s">
        <v>17</v>
      </c>
      <c r="W27" s="768">
        <f>J27</f>
        <v>100</v>
      </c>
      <c r="X27" s="769"/>
      <c r="Y27" s="3191"/>
      <c r="Z27" s="55" t="str">
        <f>Q27</f>
        <v>人流量</v>
      </c>
      <c r="AA27" s="1797">
        <f>D27/F27</f>
        <v>1</v>
      </c>
      <c r="AB27" s="1797">
        <f>D27/H27</f>
        <v>1</v>
      </c>
      <c r="AC27" s="1797">
        <f>D27/J27</f>
        <v>1</v>
      </c>
    </row>
    <row r="28" spans="1:29" ht="15.75" thickBot="1">
      <c r="A28" s="426"/>
      <c r="B28" s="2951" t="s">
        <v>2654</v>
      </c>
      <c r="C28" s="614" t="s">
        <v>3212</v>
      </c>
      <c r="D28" s="433">
        <v>100</v>
      </c>
      <c r="E28" s="614" t="s">
        <v>3212</v>
      </c>
      <c r="F28" s="459">
        <f>SUMIF(92:92,E28,93:93)-SUMIF(92:92,C28,93:93)+100</f>
        <v>100</v>
      </c>
      <c r="G28" s="614" t="s">
        <v>3212</v>
      </c>
      <c r="H28" s="433">
        <f>SUMIF(92:92,G28,93:93)-SUMIF(92:92,C28,93:93)+100</f>
        <v>100</v>
      </c>
      <c r="I28" s="614" t="s">
        <v>3212</v>
      </c>
      <c r="J28" s="433">
        <f>SUMIF(92:92,I28,93:93)-SUMIF(92:92,C28,93:93)+100</f>
        <v>100</v>
      </c>
      <c r="K28" s="611"/>
      <c r="L28" s="1133"/>
      <c r="M28" s="1124"/>
      <c r="N28" s="1124"/>
      <c r="O28" s="1124"/>
      <c r="P28" s="3198"/>
      <c r="Q28" s="1796" t="str">
        <f t="shared" si="11"/>
        <v>楼层</v>
      </c>
      <c r="R28" s="771" t="s">
        <v>17</v>
      </c>
      <c r="S28" s="772">
        <f t="shared" ref="S28:S46" si="12">F28</f>
        <v>100</v>
      </c>
      <c r="T28" s="771" t="s">
        <v>17</v>
      </c>
      <c r="U28" s="772">
        <f t="shared" ref="U28:U46" si="13">H28</f>
        <v>100</v>
      </c>
      <c r="V28" s="771" t="s">
        <v>17</v>
      </c>
      <c r="W28" s="772">
        <f t="shared" ref="W28:W46" si="14">J28</f>
        <v>100</v>
      </c>
      <c r="X28" s="1799"/>
      <c r="Y28" s="3191"/>
      <c r="Z28" s="1800" t="str">
        <f t="shared" ref="Z28:Z46" si="15">Q28</f>
        <v>楼层</v>
      </c>
      <c r="AA28" s="1797">
        <f t="shared" si="3"/>
        <v>1</v>
      </c>
      <c r="AB28" s="1797">
        <f t="shared" si="4"/>
        <v>1</v>
      </c>
      <c r="AC28" s="1797">
        <f t="shared" si="5"/>
        <v>1</v>
      </c>
    </row>
    <row r="29" spans="1:29" ht="15" hidden="1">
      <c r="A29" s="426"/>
      <c r="B29" s="1371"/>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198"/>
      <c r="Q29" s="1796">
        <f t="shared" si="11"/>
        <v>0</v>
      </c>
      <c r="R29" s="771" t="s">
        <v>17</v>
      </c>
      <c r="S29" s="772">
        <f t="shared" si="12"/>
        <v>100</v>
      </c>
      <c r="T29" s="771" t="s">
        <v>17</v>
      </c>
      <c r="U29" s="772">
        <f t="shared" si="13"/>
        <v>100</v>
      </c>
      <c r="V29" s="771" t="s">
        <v>17</v>
      </c>
      <c r="W29" s="772">
        <f t="shared" si="14"/>
        <v>100</v>
      </c>
      <c r="X29" s="1799"/>
      <c r="Y29" s="3191"/>
      <c r="Z29" s="1800">
        <f t="shared" si="15"/>
        <v>0</v>
      </c>
      <c r="AA29" s="1797">
        <f t="shared" si="3"/>
        <v>1</v>
      </c>
      <c r="AB29" s="1797">
        <f t="shared" si="4"/>
        <v>1</v>
      </c>
      <c r="AC29" s="1797">
        <f t="shared" si="5"/>
        <v>1</v>
      </c>
    </row>
    <row r="30" spans="1:29" ht="15" hidden="1">
      <c r="A30" s="426"/>
      <c r="B30" s="1371"/>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198"/>
      <c r="Q30" s="1796">
        <f t="shared" si="11"/>
        <v>0</v>
      </c>
      <c r="R30" s="771" t="s">
        <v>17</v>
      </c>
      <c r="S30" s="772">
        <f t="shared" si="12"/>
        <v>100</v>
      </c>
      <c r="T30" s="771" t="s">
        <v>17</v>
      </c>
      <c r="U30" s="772">
        <f t="shared" si="13"/>
        <v>100</v>
      </c>
      <c r="V30" s="771" t="s">
        <v>17</v>
      </c>
      <c r="W30" s="772">
        <f t="shared" si="14"/>
        <v>100</v>
      </c>
      <c r="X30" s="1799"/>
      <c r="Y30" s="3191"/>
      <c r="Z30" s="1800">
        <f t="shared" si="15"/>
        <v>0</v>
      </c>
      <c r="AA30" s="1797">
        <f t="shared" si="3"/>
        <v>1</v>
      </c>
      <c r="AB30" s="1797">
        <f t="shared" si="4"/>
        <v>1</v>
      </c>
      <c r="AC30" s="1797">
        <f t="shared" si="5"/>
        <v>1</v>
      </c>
    </row>
    <row r="31" spans="1:29" ht="15.75" hidden="1" thickBot="1">
      <c r="A31" s="434"/>
      <c r="B31" s="1371"/>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198"/>
      <c r="Q31" s="1796">
        <f t="shared" si="11"/>
        <v>0</v>
      </c>
      <c r="R31" s="771" t="s">
        <v>17</v>
      </c>
      <c r="S31" s="772">
        <f t="shared" si="12"/>
        <v>100</v>
      </c>
      <c r="T31" s="771" t="s">
        <v>17</v>
      </c>
      <c r="U31" s="772">
        <f t="shared" si="13"/>
        <v>100</v>
      </c>
      <c r="V31" s="771" t="s">
        <v>17</v>
      </c>
      <c r="W31" s="772">
        <f t="shared" si="14"/>
        <v>100</v>
      </c>
      <c r="X31" s="1799"/>
      <c r="Y31" s="3191"/>
      <c r="Z31" s="1800">
        <f t="shared" si="15"/>
        <v>0</v>
      </c>
      <c r="AA31" s="1797">
        <f t="shared" si="3"/>
        <v>1</v>
      </c>
      <c r="AB31" s="1797">
        <f t="shared" si="4"/>
        <v>1</v>
      </c>
      <c r="AC31" s="1797">
        <f t="shared" si="5"/>
        <v>1</v>
      </c>
    </row>
    <row r="32" spans="1:29" ht="15">
      <c r="A32" s="438" t="s">
        <v>2558</v>
      </c>
      <c r="B32" s="71" t="s">
        <v>2655</v>
      </c>
      <c r="C32" s="2599" t="s">
        <v>3058</v>
      </c>
      <c r="D32" s="465">
        <v>100</v>
      </c>
      <c r="E32" s="2599" t="s">
        <v>3058</v>
      </c>
      <c r="F32" s="459">
        <f>SUMIF(100:100,E32,101:101)-SUMIF(100:100,C32,101:101)+100</f>
        <v>100</v>
      </c>
      <c r="G32" s="2599" t="s">
        <v>3058</v>
      </c>
      <c r="H32" s="433">
        <f>SUMIF(100:100,G32,101:101)-SUMIF(100:100,C32,101:101)+100</f>
        <v>100</v>
      </c>
      <c r="I32" s="2599" t="s">
        <v>3058</v>
      </c>
      <c r="J32" s="465">
        <f>SUMIF(100:100,I32,101:101)-SUMIF(100:100,C32,101:101)+100</f>
        <v>100</v>
      </c>
      <c r="K32" s="610">
        <v>5</v>
      </c>
      <c r="L32" s="1133"/>
      <c r="M32" s="1124"/>
      <c r="N32" s="1124"/>
      <c r="O32" s="1124"/>
      <c r="P32" s="3192" t="s">
        <v>2560</v>
      </c>
      <c r="Q32" s="1796" t="str">
        <f t="shared" si="11"/>
        <v>商业类型</v>
      </c>
      <c r="R32" s="771" t="s">
        <v>17</v>
      </c>
      <c r="S32" s="772">
        <f t="shared" si="12"/>
        <v>100</v>
      </c>
      <c r="T32" s="771" t="s">
        <v>17</v>
      </c>
      <c r="U32" s="772">
        <f t="shared" si="13"/>
        <v>100</v>
      </c>
      <c r="V32" s="771" t="s">
        <v>17</v>
      </c>
      <c r="W32" s="772">
        <f t="shared" si="14"/>
        <v>100</v>
      </c>
      <c r="X32" s="1799"/>
      <c r="Y32" s="3195" t="s">
        <v>2560</v>
      </c>
      <c r="Z32" s="1800" t="str">
        <f t="shared" si="15"/>
        <v>商业类型</v>
      </c>
      <c r="AA32" s="1797">
        <f t="shared" si="3"/>
        <v>1</v>
      </c>
      <c r="AB32" s="1797">
        <f t="shared" si="4"/>
        <v>1</v>
      </c>
      <c r="AC32" s="1797">
        <f t="shared" si="5"/>
        <v>1</v>
      </c>
    </row>
    <row r="33" spans="1:29" s="469" customFormat="1" ht="15" hidden="1">
      <c r="A33" s="466"/>
      <c r="B33" s="420" t="s">
        <v>2561</v>
      </c>
      <c r="C33" s="467">
        <f>'数据-汇总表'!E3</f>
        <v>28703.600000000002</v>
      </c>
      <c r="D33" s="134">
        <v>100</v>
      </c>
      <c r="E33" s="467">
        <f>'数据-汇总表'!G3</f>
        <v>0</v>
      </c>
      <c r="F33" s="423">
        <f>LOOKUP(E33,103:103,104:104)-LOOKUP(C33,103:103,104:104)+100</f>
        <v>100</v>
      </c>
      <c r="G33" s="467">
        <f>'数据-汇总表'!I3</f>
        <v>12.28</v>
      </c>
      <c r="H33" s="134">
        <f>LOOKUP(G33,103:103,104:104)-LOOKUP(C33,103:103,104:104)+100</f>
        <v>100</v>
      </c>
      <c r="I33" s="467">
        <f>'数据-汇总表'!K3</f>
        <v>0</v>
      </c>
      <c r="J33" s="134">
        <f>LOOKUP(I33,103:103,104:104)-LOOKUP(C33,103:103,104:104)+100</f>
        <v>100</v>
      </c>
      <c r="K33" s="611"/>
      <c r="L33" s="1131"/>
      <c r="M33" s="1134"/>
      <c r="N33" s="1134"/>
      <c r="O33" s="1134"/>
      <c r="P33" s="3193"/>
      <c r="Q33" s="773" t="str">
        <f t="shared" si="11"/>
        <v>项目建筑规模</v>
      </c>
      <c r="R33" s="774" t="s">
        <v>17</v>
      </c>
      <c r="S33" s="775">
        <f t="shared" si="12"/>
        <v>100</v>
      </c>
      <c r="T33" s="774" t="s">
        <v>17</v>
      </c>
      <c r="U33" s="775">
        <f t="shared" si="13"/>
        <v>100</v>
      </c>
      <c r="V33" s="774" t="s">
        <v>17</v>
      </c>
      <c r="W33" s="775">
        <f t="shared" si="14"/>
        <v>100</v>
      </c>
      <c r="X33" s="776"/>
      <c r="Y33" s="3195"/>
      <c r="Z33" s="777" t="str">
        <f t="shared" si="15"/>
        <v>项目建筑规模</v>
      </c>
      <c r="AA33" s="1797">
        <f t="shared" si="3"/>
        <v>1</v>
      </c>
      <c r="AB33" s="1797">
        <f t="shared" si="4"/>
        <v>1</v>
      </c>
      <c r="AC33" s="1797">
        <f t="shared" si="5"/>
        <v>1</v>
      </c>
    </row>
    <row r="34" spans="1:29" ht="15">
      <c r="A34" s="470"/>
      <c r="B34" s="420" t="s">
        <v>2562</v>
      </c>
      <c r="C34" s="2600" t="s">
        <v>3061</v>
      </c>
      <c r="D34" s="433">
        <v>100</v>
      </c>
      <c r="E34" s="2600" t="s">
        <v>3061</v>
      </c>
      <c r="F34" s="459">
        <f>SUMIF(105:105,E34,106:106)-SUMIF(105:105,C34,106:106)+100</f>
        <v>100</v>
      </c>
      <c r="G34" s="2600" t="s">
        <v>3061</v>
      </c>
      <c r="H34" s="433">
        <f>SUMIF(105:105,G34,106:106)-SUMIF(105:105,C34,106:106)+100</f>
        <v>100</v>
      </c>
      <c r="I34" s="2600" t="s">
        <v>3061</v>
      </c>
      <c r="J34" s="433">
        <f>SUMIF(105:105,I34,106:106)-SUMIF(105:105,C34,106:106)+100</f>
        <v>100</v>
      </c>
      <c r="K34" s="610">
        <v>1</v>
      </c>
      <c r="L34" s="1133"/>
      <c r="M34" s="1124"/>
      <c r="N34" s="1124"/>
      <c r="O34" s="1124"/>
      <c r="P34" s="3193"/>
      <c r="Q34" s="1796" t="str">
        <f t="shared" si="11"/>
        <v>建筑结构</v>
      </c>
      <c r="R34" s="771" t="s">
        <v>17</v>
      </c>
      <c r="S34" s="772">
        <f t="shared" si="12"/>
        <v>100</v>
      </c>
      <c r="T34" s="771" t="s">
        <v>17</v>
      </c>
      <c r="U34" s="772">
        <f t="shared" si="13"/>
        <v>100</v>
      </c>
      <c r="V34" s="771" t="s">
        <v>17</v>
      </c>
      <c r="W34" s="772">
        <f t="shared" si="14"/>
        <v>100</v>
      </c>
      <c r="X34" s="1799"/>
      <c r="Y34" s="3195"/>
      <c r="Z34" s="1800" t="str">
        <f t="shared" si="15"/>
        <v>建筑结构</v>
      </c>
      <c r="AA34" s="1797">
        <f t="shared" si="3"/>
        <v>1</v>
      </c>
      <c r="AB34" s="1797">
        <f t="shared" si="4"/>
        <v>1</v>
      </c>
      <c r="AC34" s="1797">
        <f t="shared" si="5"/>
        <v>1</v>
      </c>
    </row>
    <row r="35" spans="1:29" ht="15">
      <c r="A35" s="470"/>
      <c r="B35" s="420" t="s">
        <v>2656</v>
      </c>
      <c r="C35" s="2596" t="s">
        <v>3087</v>
      </c>
      <c r="D35" s="433">
        <v>100</v>
      </c>
      <c r="E35" s="2596" t="s">
        <v>3087</v>
      </c>
      <c r="F35" s="459">
        <f>SUMIF(107:107,E35,108:108)-SUMIF(107:107,C35,108:108)+100</f>
        <v>100</v>
      </c>
      <c r="G35" s="2596" t="s">
        <v>3087</v>
      </c>
      <c r="H35" s="433">
        <f>SUMIF(107:107,G35,108:108)-SUMIF(107:107,C35,108:108)+100</f>
        <v>100</v>
      </c>
      <c r="I35" s="2596" t="s">
        <v>3087</v>
      </c>
      <c r="J35" s="433">
        <f>SUMIF(107:107,I35,108:108)-SUMIF(107:107,C35,108:108)+100</f>
        <v>100</v>
      </c>
      <c r="K35" s="610">
        <v>1</v>
      </c>
      <c r="L35" s="1133"/>
      <c r="M35" s="1124"/>
      <c r="N35" s="1124"/>
      <c r="O35" s="1124"/>
      <c r="P35" s="3193"/>
      <c r="Q35" s="1796" t="str">
        <f t="shared" si="11"/>
        <v>公共部分装修</v>
      </c>
      <c r="R35" s="771" t="s">
        <v>17</v>
      </c>
      <c r="S35" s="772">
        <f t="shared" si="12"/>
        <v>100</v>
      </c>
      <c r="T35" s="771" t="s">
        <v>17</v>
      </c>
      <c r="U35" s="772">
        <f t="shared" si="13"/>
        <v>100</v>
      </c>
      <c r="V35" s="771" t="s">
        <v>17</v>
      </c>
      <c r="W35" s="772">
        <f t="shared" si="14"/>
        <v>100</v>
      </c>
      <c r="X35" s="1799"/>
      <c r="Y35" s="3195"/>
      <c r="Z35" s="1800" t="str">
        <f t="shared" si="15"/>
        <v>公共部分装修</v>
      </c>
      <c r="AA35" s="1797">
        <f t="shared" si="3"/>
        <v>1</v>
      </c>
      <c r="AB35" s="1797">
        <f t="shared" si="4"/>
        <v>1</v>
      </c>
      <c r="AC35" s="1797">
        <f t="shared" si="5"/>
        <v>1</v>
      </c>
    </row>
    <row r="36" spans="1:29" ht="15">
      <c r="A36" s="470"/>
      <c r="B36" s="420" t="s">
        <v>2657</v>
      </c>
      <c r="C36" s="472">
        <f>'数据-取费表'!Y6</f>
        <v>0.93</v>
      </c>
      <c r="D36" s="433">
        <v>100</v>
      </c>
      <c r="E36" s="472">
        <v>1</v>
      </c>
      <c r="F36" s="459">
        <f>LOOKUP(E36,110:110,111:111)-LOOKUP(C36,110:110,111:111)+100</f>
        <v>100</v>
      </c>
      <c r="G36" s="472">
        <v>1</v>
      </c>
      <c r="H36" s="459">
        <f>LOOKUP(G36,110:110,111:111)-LOOKUP(C36,110:110,111:111)+100</f>
        <v>100</v>
      </c>
      <c r="I36" s="472">
        <f>ROUND(1-(2017-2016)/60,2)</f>
        <v>0.98</v>
      </c>
      <c r="J36" s="433">
        <f>LOOKUP(I36,110:110,111:111)-LOOKUP(C36,110:110,111:111)+100</f>
        <v>100</v>
      </c>
      <c r="K36" s="610">
        <v>1</v>
      </c>
      <c r="L36" s="1133"/>
      <c r="M36" s="1124"/>
      <c r="N36" s="1124"/>
      <c r="O36" s="1124"/>
      <c r="P36" s="3193"/>
      <c r="Q36" s="1796" t="str">
        <f t="shared" si="11"/>
        <v>成新度</v>
      </c>
      <c r="R36" s="771" t="s">
        <v>17</v>
      </c>
      <c r="S36" s="772">
        <f t="shared" si="12"/>
        <v>100</v>
      </c>
      <c r="T36" s="771" t="s">
        <v>17</v>
      </c>
      <c r="U36" s="772">
        <f t="shared" si="13"/>
        <v>100</v>
      </c>
      <c r="V36" s="771" t="s">
        <v>17</v>
      </c>
      <c r="W36" s="772">
        <f t="shared" si="14"/>
        <v>100</v>
      </c>
      <c r="X36" s="1799"/>
      <c r="Y36" s="3195"/>
      <c r="Z36" s="1800" t="str">
        <f t="shared" si="15"/>
        <v>成新度</v>
      </c>
      <c r="AA36" s="1797">
        <f t="shared" si="3"/>
        <v>1</v>
      </c>
      <c r="AB36" s="1797">
        <f t="shared" si="4"/>
        <v>1</v>
      </c>
      <c r="AC36" s="1797">
        <f t="shared" si="5"/>
        <v>1</v>
      </c>
    </row>
    <row r="37" spans="1:29" s="115" customFormat="1" ht="15">
      <c r="A37" s="471"/>
      <c r="B37" s="420" t="s">
        <v>2658</v>
      </c>
      <c r="C37" s="2596" t="s">
        <v>3072</v>
      </c>
      <c r="D37" s="134">
        <v>100</v>
      </c>
      <c r="E37" s="2596" t="s">
        <v>3072</v>
      </c>
      <c r="F37" s="459">
        <f>SUMIF(112:112,E37,113:113)-SUMIF(112:112,C37,113:113)+100</f>
        <v>100</v>
      </c>
      <c r="G37" s="2596" t="s">
        <v>3072</v>
      </c>
      <c r="H37" s="433">
        <f>SUMIF(112:112,G37,113:113)-SUMIF(112:112,C37,113:113)+100</f>
        <v>100</v>
      </c>
      <c r="I37" s="2596" t="s">
        <v>3072</v>
      </c>
      <c r="J37" s="433">
        <f>SUMIF(112:112,I37,113:113)-SUMIF(112:112,C37,113:113)+100</f>
        <v>100</v>
      </c>
      <c r="K37" s="610">
        <v>2</v>
      </c>
      <c r="L37" s="1125"/>
      <c r="M37" s="1126"/>
      <c r="N37" s="1126"/>
      <c r="O37" s="1126"/>
      <c r="P37" s="3193"/>
      <c r="Q37" s="1781" t="str">
        <f t="shared" si="11"/>
        <v>市政基础设施</v>
      </c>
      <c r="R37" s="767" t="s">
        <v>17</v>
      </c>
      <c r="S37" s="768">
        <f t="shared" si="12"/>
        <v>100</v>
      </c>
      <c r="T37" s="767" t="s">
        <v>17</v>
      </c>
      <c r="U37" s="768">
        <f t="shared" si="13"/>
        <v>100</v>
      </c>
      <c r="V37" s="767" t="s">
        <v>17</v>
      </c>
      <c r="W37" s="768">
        <f t="shared" si="14"/>
        <v>100</v>
      </c>
      <c r="X37" s="769"/>
      <c r="Y37" s="3195"/>
      <c r="Z37" s="55" t="str">
        <f t="shared" si="15"/>
        <v>市政基础设施</v>
      </c>
      <c r="AA37" s="770">
        <f t="shared" si="3"/>
        <v>1</v>
      </c>
      <c r="AB37" s="770">
        <f t="shared" si="4"/>
        <v>1</v>
      </c>
      <c r="AC37" s="770">
        <f t="shared" si="5"/>
        <v>1</v>
      </c>
    </row>
    <row r="38" spans="1:29" ht="15">
      <c r="A38" s="470"/>
      <c r="B38" s="420" t="s">
        <v>2659</v>
      </c>
      <c r="C38" s="2596" t="s">
        <v>3159</v>
      </c>
      <c r="D38" s="433">
        <v>100</v>
      </c>
      <c r="E38" s="2596" t="s">
        <v>3159</v>
      </c>
      <c r="F38" s="459">
        <f>SUMIF(114:114,E38,115:115)-SUMIF(114:114,C38,115:115)+100</f>
        <v>100</v>
      </c>
      <c r="G38" s="2596" t="s">
        <v>3159</v>
      </c>
      <c r="H38" s="433">
        <f>SUMIF(114:114,G38,115:115)-SUMIF(114:114,C38,115:115)+100</f>
        <v>100</v>
      </c>
      <c r="I38" s="2596" t="s">
        <v>3159</v>
      </c>
      <c r="J38" s="433">
        <f>SUMIF(114:114,I38,115:115)-SUMIF(114:114,C38,115:115)+100</f>
        <v>100</v>
      </c>
      <c r="K38" s="610">
        <v>5</v>
      </c>
      <c r="L38" s="1133"/>
      <c r="M38" s="1124"/>
      <c r="N38" s="1124"/>
      <c r="O38" s="1124"/>
      <c r="P38" s="3193" t="s">
        <v>2560</v>
      </c>
      <c r="Q38" s="1796" t="str">
        <f t="shared" si="11"/>
        <v>业态</v>
      </c>
      <c r="R38" s="771" t="s">
        <v>17</v>
      </c>
      <c r="S38" s="772">
        <f t="shared" si="12"/>
        <v>100</v>
      </c>
      <c r="T38" s="771" t="s">
        <v>17</v>
      </c>
      <c r="U38" s="772">
        <f t="shared" si="13"/>
        <v>100</v>
      </c>
      <c r="V38" s="771" t="s">
        <v>17</v>
      </c>
      <c r="W38" s="772">
        <f t="shared" si="14"/>
        <v>100</v>
      </c>
      <c r="X38" s="1799"/>
      <c r="Y38" s="3195" t="s">
        <v>2560</v>
      </c>
      <c r="Z38" s="1800" t="str">
        <f t="shared" si="15"/>
        <v>业态</v>
      </c>
      <c r="AA38" s="1797">
        <f t="shared" si="3"/>
        <v>1</v>
      </c>
      <c r="AB38" s="1797">
        <f t="shared" si="4"/>
        <v>1</v>
      </c>
      <c r="AC38" s="1797">
        <f t="shared" si="5"/>
        <v>1</v>
      </c>
    </row>
    <row r="39" spans="1:29" ht="15">
      <c r="A39" s="470"/>
      <c r="B39" s="420" t="s">
        <v>2660</v>
      </c>
      <c r="C39" s="2596" t="s">
        <v>3162</v>
      </c>
      <c r="D39" s="433">
        <v>100</v>
      </c>
      <c r="E39" s="2596" t="s">
        <v>3162</v>
      </c>
      <c r="F39" s="459">
        <f>SUMIF(116:116,E39,117:117)-SUMIF(116:116,C39,117:117)+100</f>
        <v>100</v>
      </c>
      <c r="G39" s="2596" t="s">
        <v>3162</v>
      </c>
      <c r="H39" s="433">
        <f>SUMIF(116:116,G39,117:117)-SUMIF(116:116,C39,117:117)+100</f>
        <v>100</v>
      </c>
      <c r="I39" s="2596" t="s">
        <v>3162</v>
      </c>
      <c r="J39" s="433">
        <f>SUMIF(116:116,I39,117:117)-SUMIF(116:116,C39,117:117)+100</f>
        <v>100</v>
      </c>
      <c r="K39" s="610">
        <v>2</v>
      </c>
      <c r="L39" s="1133"/>
      <c r="M39" s="1124"/>
      <c r="N39" s="1124"/>
      <c r="O39" s="1124"/>
      <c r="P39" s="3193"/>
      <c r="Q39" s="1796" t="str">
        <f t="shared" si="11"/>
        <v>层高</v>
      </c>
      <c r="R39" s="771" t="s">
        <v>17</v>
      </c>
      <c r="S39" s="772">
        <f t="shared" si="12"/>
        <v>100</v>
      </c>
      <c r="T39" s="771" t="s">
        <v>17</v>
      </c>
      <c r="U39" s="772">
        <f t="shared" si="13"/>
        <v>100</v>
      </c>
      <c r="V39" s="771" t="s">
        <v>17</v>
      </c>
      <c r="W39" s="772">
        <f t="shared" si="14"/>
        <v>100</v>
      </c>
      <c r="X39" s="1799"/>
      <c r="Y39" s="3195"/>
      <c r="Z39" s="1800" t="str">
        <f t="shared" si="15"/>
        <v>层高</v>
      </c>
      <c r="AA39" s="1797">
        <f t="shared" si="3"/>
        <v>1</v>
      </c>
      <c r="AB39" s="1797">
        <f t="shared" si="4"/>
        <v>1</v>
      </c>
      <c r="AC39" s="1797">
        <f t="shared" si="5"/>
        <v>1</v>
      </c>
    </row>
    <row r="40" spans="1:29" ht="15" hidden="1">
      <c r="A40" s="470"/>
      <c r="B40" s="420" t="s">
        <v>2661</v>
      </c>
      <c r="C40" s="615"/>
      <c r="D40" s="433">
        <v>100</v>
      </c>
      <c r="E40" s="615"/>
      <c r="F40" s="459">
        <f>SUMIF(118:118,E40,119:119)-SUMIF(118:118,C40,119:119)+100</f>
        <v>100</v>
      </c>
      <c r="G40" s="615"/>
      <c r="H40" s="433">
        <f>SUMIF(118:118,G40,119:119)-SUMIF(118:118,C40,119:119)+100</f>
        <v>100</v>
      </c>
      <c r="I40" s="615"/>
      <c r="J40" s="433">
        <f>SUMIF(118:118,I40,119:119)-SUMIF(118:118,C40,119:119)+100</f>
        <v>100</v>
      </c>
      <c r="K40" s="611"/>
      <c r="L40" s="1133"/>
      <c r="M40" s="1124"/>
      <c r="N40" s="1124"/>
      <c r="O40" s="1124"/>
      <c r="P40" s="3193"/>
      <c r="Q40" s="1796" t="str">
        <f t="shared" si="11"/>
        <v>单套建筑面积</v>
      </c>
      <c r="R40" s="771" t="s">
        <v>17</v>
      </c>
      <c r="S40" s="772">
        <f t="shared" si="12"/>
        <v>100</v>
      </c>
      <c r="T40" s="771" t="s">
        <v>17</v>
      </c>
      <c r="U40" s="772">
        <f t="shared" si="13"/>
        <v>100</v>
      </c>
      <c r="V40" s="771" t="s">
        <v>17</v>
      </c>
      <c r="W40" s="772">
        <f t="shared" si="14"/>
        <v>100</v>
      </c>
      <c r="X40" s="1799"/>
      <c r="Y40" s="3195"/>
      <c r="Z40" s="1800" t="str">
        <f t="shared" si="15"/>
        <v>单套建筑面积</v>
      </c>
      <c r="AA40" s="1797">
        <f t="shared" si="3"/>
        <v>1</v>
      </c>
      <c r="AB40" s="1797">
        <f t="shared" si="4"/>
        <v>1</v>
      </c>
      <c r="AC40" s="1797">
        <f t="shared" si="5"/>
        <v>1</v>
      </c>
    </row>
    <row r="41" spans="1:29" s="469" customFormat="1" ht="15">
      <c r="A41" s="466"/>
      <c r="B41" s="1798" t="s">
        <v>2662</v>
      </c>
      <c r="C41" s="614" t="s">
        <v>3165</v>
      </c>
      <c r="D41" s="433">
        <v>100</v>
      </c>
      <c r="E41" s="614" t="s">
        <v>3165</v>
      </c>
      <c r="F41" s="459">
        <f>SUMIF(120:120,E41,121:121)-SUMIF(120:120,C41,121:121)+100</f>
        <v>100</v>
      </c>
      <c r="G41" s="614" t="s">
        <v>3165</v>
      </c>
      <c r="H41" s="433">
        <f>SUMIF(120:120,G41,121:121)-SUMIF(120:120,C41,121:121)+100</f>
        <v>100</v>
      </c>
      <c r="I41" s="614" t="s">
        <v>3165</v>
      </c>
      <c r="J41" s="433">
        <f>SUMIF(120:120,I41,121:121)-SUMIF(120:120,C41,121:121)+100</f>
        <v>100</v>
      </c>
      <c r="K41" s="610">
        <v>1</v>
      </c>
      <c r="L41" s="1131"/>
      <c r="M41" s="1134"/>
      <c r="N41" s="1134"/>
      <c r="O41" s="1134"/>
      <c r="P41" s="3193"/>
      <c r="Q41" s="773" t="str">
        <f t="shared" si="11"/>
        <v>进深比</v>
      </c>
      <c r="R41" s="774" t="s">
        <v>17</v>
      </c>
      <c r="S41" s="775">
        <f t="shared" si="12"/>
        <v>100</v>
      </c>
      <c r="T41" s="774" t="s">
        <v>17</v>
      </c>
      <c r="U41" s="775">
        <f t="shared" si="13"/>
        <v>100</v>
      </c>
      <c r="V41" s="774" t="s">
        <v>17</v>
      </c>
      <c r="W41" s="775">
        <f t="shared" si="14"/>
        <v>100</v>
      </c>
      <c r="X41" s="776"/>
      <c r="Y41" s="3195"/>
      <c r="Z41" s="777" t="str">
        <f t="shared" si="15"/>
        <v>进深比</v>
      </c>
      <c r="AA41" s="1797">
        <f t="shared" si="3"/>
        <v>1</v>
      </c>
      <c r="AB41" s="1797">
        <f t="shared" si="4"/>
        <v>1</v>
      </c>
      <c r="AC41" s="1797">
        <f t="shared" si="5"/>
        <v>1</v>
      </c>
    </row>
    <row r="42" spans="1:29" ht="15.75" thickBot="1">
      <c r="A42" s="470"/>
      <c r="B42" s="420" t="s">
        <v>2663</v>
      </c>
      <c r="C42" s="2596" t="s">
        <v>3090</v>
      </c>
      <c r="D42" s="433">
        <v>100</v>
      </c>
      <c r="E42" s="2596" t="s">
        <v>3090</v>
      </c>
      <c r="F42" s="459">
        <f>SUMIF(122:122,E42,123:123)-SUMIF(122:122,C42,123:123)+100</f>
        <v>100</v>
      </c>
      <c r="G42" s="2596" t="s">
        <v>3090</v>
      </c>
      <c r="H42" s="433">
        <f>SUMIF(122:122,G42,123:123)-SUMIF(122:122,C42,123:123)+100</f>
        <v>100</v>
      </c>
      <c r="I42" s="2596" t="s">
        <v>3090</v>
      </c>
      <c r="J42" s="433">
        <f>SUMIF(122:122,I42,123:123)-SUMIF(122:122,C42,123:123)+100</f>
        <v>100</v>
      </c>
      <c r="K42" s="610">
        <v>2</v>
      </c>
      <c r="L42" s="1133"/>
      <c r="M42" s="1124"/>
      <c r="N42" s="1124"/>
      <c r="O42" s="1124"/>
      <c r="P42" s="3193"/>
      <c r="Q42" s="1796" t="str">
        <f t="shared" si="11"/>
        <v>内部装修</v>
      </c>
      <c r="R42" s="771" t="s">
        <v>17</v>
      </c>
      <c r="S42" s="772">
        <f t="shared" si="12"/>
        <v>100</v>
      </c>
      <c r="T42" s="771" t="s">
        <v>17</v>
      </c>
      <c r="U42" s="772">
        <f t="shared" si="13"/>
        <v>100</v>
      </c>
      <c r="V42" s="771" t="s">
        <v>17</v>
      </c>
      <c r="W42" s="772">
        <f t="shared" si="14"/>
        <v>100</v>
      </c>
      <c r="X42" s="1799"/>
      <c r="Y42" s="3195"/>
      <c r="Z42" s="1800" t="str">
        <f t="shared" si="15"/>
        <v>内部装修</v>
      </c>
      <c r="AA42" s="1797">
        <f t="shared" si="3"/>
        <v>1</v>
      </c>
      <c r="AB42" s="1797">
        <f t="shared" si="4"/>
        <v>1</v>
      </c>
      <c r="AC42" s="1797">
        <f t="shared" si="5"/>
        <v>1</v>
      </c>
    </row>
    <row r="43" spans="1:29" ht="15.75" hidden="1" thickBot="1">
      <c r="A43" s="470"/>
      <c r="B43" s="420" t="s">
        <v>2571</v>
      </c>
      <c r="C43" s="2596"/>
      <c r="D43" s="433">
        <v>100</v>
      </c>
      <c r="E43" s="2596"/>
      <c r="F43" s="459">
        <f>SUMIF(124:124,E43,125:125)-SUMIF(124:124,C43,125:125)+100</f>
        <v>100</v>
      </c>
      <c r="G43" s="2596"/>
      <c r="H43" s="433">
        <f>SUMIF(124:124,G43,125:125)-SUMIF(124:124,C43,125:125)+100</f>
        <v>100</v>
      </c>
      <c r="I43" s="2596"/>
      <c r="J43" s="433">
        <f>SUMIF(124:124,I43,125:125)-SUMIF(124:124,C43,125:125)+100</f>
        <v>100</v>
      </c>
      <c r="K43" s="610"/>
      <c r="L43" s="1133"/>
      <c r="M43" s="1124"/>
      <c r="N43" s="1124"/>
      <c r="O43" s="1124"/>
      <c r="P43" s="3193"/>
      <c r="Q43" s="1796" t="str">
        <f t="shared" si="11"/>
        <v>内部装修维护情况</v>
      </c>
      <c r="R43" s="771" t="s">
        <v>17</v>
      </c>
      <c r="S43" s="772">
        <f t="shared" si="12"/>
        <v>100</v>
      </c>
      <c r="T43" s="771" t="s">
        <v>17</v>
      </c>
      <c r="U43" s="772">
        <f t="shared" si="13"/>
        <v>100</v>
      </c>
      <c r="V43" s="771" t="s">
        <v>17</v>
      </c>
      <c r="W43" s="772">
        <f t="shared" si="14"/>
        <v>100</v>
      </c>
      <c r="X43" s="1799"/>
      <c r="Y43" s="3195"/>
      <c r="Z43" s="1800" t="str">
        <f t="shared" si="15"/>
        <v>内部装修维护情况</v>
      </c>
      <c r="AA43" s="1797">
        <f t="shared" si="3"/>
        <v>1</v>
      </c>
      <c r="AB43" s="1797">
        <f t="shared" si="4"/>
        <v>1</v>
      </c>
      <c r="AC43" s="1797">
        <f t="shared" si="5"/>
        <v>1</v>
      </c>
    </row>
    <row r="44" spans="1:29" s="115" customFormat="1" ht="15" hidden="1">
      <c r="A44" s="471"/>
      <c r="B44" s="1371"/>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193"/>
      <c r="Q44" s="1781">
        <f t="shared" si="11"/>
        <v>0</v>
      </c>
      <c r="R44" s="767" t="s">
        <v>17</v>
      </c>
      <c r="S44" s="768">
        <f t="shared" si="12"/>
        <v>100</v>
      </c>
      <c r="T44" s="767" t="s">
        <v>17</v>
      </c>
      <c r="U44" s="768">
        <f t="shared" si="13"/>
        <v>100</v>
      </c>
      <c r="V44" s="767" t="s">
        <v>17</v>
      </c>
      <c r="W44" s="768">
        <f t="shared" si="14"/>
        <v>100</v>
      </c>
      <c r="X44" s="769"/>
      <c r="Y44" s="3195"/>
      <c r="Z44" s="55">
        <f t="shared" si="15"/>
        <v>0</v>
      </c>
      <c r="AA44" s="770">
        <f t="shared" si="3"/>
        <v>1</v>
      </c>
      <c r="AB44" s="770">
        <f t="shared" si="4"/>
        <v>1</v>
      </c>
      <c r="AC44" s="770">
        <f t="shared" si="5"/>
        <v>1</v>
      </c>
    </row>
    <row r="45" spans="1:29" ht="15" hidden="1">
      <c r="A45" s="470"/>
      <c r="B45" s="1371"/>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193"/>
      <c r="Q45" s="1796">
        <f t="shared" si="11"/>
        <v>0</v>
      </c>
      <c r="R45" s="771" t="s">
        <v>17</v>
      </c>
      <c r="S45" s="772">
        <f t="shared" si="12"/>
        <v>100</v>
      </c>
      <c r="T45" s="771" t="s">
        <v>17</v>
      </c>
      <c r="U45" s="772">
        <f t="shared" si="13"/>
        <v>100</v>
      </c>
      <c r="V45" s="771" t="s">
        <v>17</v>
      </c>
      <c r="W45" s="772">
        <f t="shared" si="14"/>
        <v>100</v>
      </c>
      <c r="X45" s="1799"/>
      <c r="Y45" s="3195"/>
      <c r="Z45" s="1800">
        <f t="shared" si="15"/>
        <v>0</v>
      </c>
      <c r="AA45" s="1797">
        <f t="shared" si="3"/>
        <v>1</v>
      </c>
      <c r="AB45" s="1797">
        <f t="shared" si="4"/>
        <v>1</v>
      </c>
      <c r="AC45" s="1797">
        <f t="shared" si="5"/>
        <v>1</v>
      </c>
    </row>
    <row r="46" spans="1:29" ht="15.75" hidden="1" thickBot="1">
      <c r="A46" s="476"/>
      <c r="B46" s="2585"/>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194"/>
      <c r="Q46" s="1796">
        <f t="shared" si="11"/>
        <v>0</v>
      </c>
      <c r="R46" s="771" t="s">
        <v>17</v>
      </c>
      <c r="S46" s="772">
        <f t="shared" si="12"/>
        <v>100</v>
      </c>
      <c r="T46" s="771" t="s">
        <v>17</v>
      </c>
      <c r="U46" s="772">
        <f t="shared" si="13"/>
        <v>100</v>
      </c>
      <c r="V46" s="771" t="s">
        <v>17</v>
      </c>
      <c r="W46" s="772">
        <f t="shared" si="14"/>
        <v>100</v>
      </c>
      <c r="X46" s="1799"/>
      <c r="Y46" s="3196"/>
      <c r="Z46" s="1800">
        <f t="shared" si="15"/>
        <v>0</v>
      </c>
      <c r="AA46" s="1797">
        <f t="shared" si="3"/>
        <v>1</v>
      </c>
      <c r="AB46" s="1797">
        <f t="shared" si="4"/>
        <v>1</v>
      </c>
      <c r="AC46" s="1797">
        <f t="shared" si="5"/>
        <v>1</v>
      </c>
    </row>
    <row r="47" spans="1:29" ht="15">
      <c r="A47" s="477" t="s">
        <v>2572</v>
      </c>
      <c r="B47" s="478"/>
      <c r="C47" s="1392" t="s">
        <v>1</v>
      </c>
      <c r="D47" s="1393"/>
      <c r="E47" s="1394">
        <f>ROUND((45000+55000)/2,0)</f>
        <v>50000</v>
      </c>
      <c r="F47" s="1395"/>
      <c r="G47" s="1396">
        <f>ROUND((40000+60000)/2,0)</f>
        <v>50000</v>
      </c>
      <c r="H47" s="1397"/>
      <c r="I47" s="1394">
        <v>50000</v>
      </c>
      <c r="J47" s="1397"/>
      <c r="K47" s="780"/>
      <c r="L47" s="1136"/>
      <c r="M47" s="1137"/>
      <c r="N47" s="1124"/>
      <c r="O47" s="1137"/>
      <c r="P47" s="3188" t="str">
        <f>A47</f>
        <v>成交单价（元/平方米）</v>
      </c>
      <c r="Q47" s="3188"/>
      <c r="R47" s="3183">
        <f>E47</f>
        <v>50000</v>
      </c>
      <c r="S47" s="3183"/>
      <c r="T47" s="3183">
        <f>G47</f>
        <v>50000</v>
      </c>
      <c r="U47" s="3183"/>
      <c r="V47" s="3183">
        <f>I47</f>
        <v>50000</v>
      </c>
      <c r="W47" s="3183"/>
      <c r="X47" s="756"/>
      <c r="Y47" s="778"/>
      <c r="Z47" s="756"/>
      <c r="AA47" s="756"/>
      <c r="AB47" s="756"/>
      <c r="AC47" s="756"/>
    </row>
    <row r="48" spans="1:29" ht="15.75" thickBot="1">
      <c r="A48" s="484" t="s">
        <v>2664</v>
      </c>
      <c r="B48" s="485"/>
      <c r="C48" s="1398">
        <f>R49</f>
        <v>45735</v>
      </c>
      <c r="D48" s="1399"/>
      <c r="E48" s="1400">
        <f>R48</f>
        <v>45455</v>
      </c>
      <c r="F48" s="1400"/>
      <c r="G48" s="1398">
        <f>T48</f>
        <v>45455</v>
      </c>
      <c r="H48" s="1399"/>
      <c r="I48" s="1400">
        <f>V48</f>
        <v>46296</v>
      </c>
      <c r="J48" s="1399"/>
      <c r="K48" s="781"/>
      <c r="L48" s="1136"/>
      <c r="M48" s="1137"/>
      <c r="N48" s="1124"/>
      <c r="O48" s="1137"/>
      <c r="P48" s="3188" t="str">
        <f>A48</f>
        <v>比较价值（元/平方米）</v>
      </c>
      <c r="Q48" s="3188"/>
      <c r="R48" s="3189">
        <f>IF(F1="售价",ROUND(PRODUCT(R47,AA7:AA46),0),ROUND(PRODUCT(R47,AA7:AA46),1))</f>
        <v>45455</v>
      </c>
      <c r="S48" s="3189"/>
      <c r="T48" s="3189">
        <f>IF(F1="售价",ROUND(PRODUCT(T47,AB7:AB46),0),ROUND(PRODUCT(T47,AB7:AB46),1))</f>
        <v>45455</v>
      </c>
      <c r="U48" s="3189"/>
      <c r="V48" s="3189">
        <f>IF(F1="售价",ROUND(PRODUCT(V47,AC7:AC46),0),ROUND(PRODUCT(V47,AC7:AC46),1))</f>
        <v>46296</v>
      </c>
      <c r="W48" s="3189"/>
      <c r="X48" s="756"/>
      <c r="Y48" s="756"/>
      <c r="Z48" s="756"/>
      <c r="AA48" s="756"/>
      <c r="AB48" s="756"/>
      <c r="AC48" s="756"/>
    </row>
    <row r="49" spans="1:29" ht="15.75" thickBot="1">
      <c r="A49" s="490" t="s">
        <v>2665</v>
      </c>
      <c r="B49" s="491"/>
      <c r="C49" s="1402">
        <f>R49</f>
        <v>45735</v>
      </c>
      <c r="D49" s="1402"/>
      <c r="E49" s="1402"/>
      <c r="F49" s="1402"/>
      <c r="G49" s="1402"/>
      <c r="H49" s="1402"/>
      <c r="I49" s="1402"/>
      <c r="J49" s="1402"/>
      <c r="K49" s="782"/>
      <c r="L49" s="1136"/>
      <c r="M49" s="1137"/>
      <c r="N49" s="1124"/>
      <c r="O49" s="1137"/>
      <c r="P49" s="3185" t="str">
        <f>A49</f>
        <v>估价对象XX用房的比较价值（楼面单价，元/平方米）</v>
      </c>
      <c r="Q49" s="3186"/>
      <c r="R49" s="3187">
        <f>IF(F1="售价",ROUND(AVERAGE(R48:V48),0),ROUND(AVERAGE(R48:V48),1))</f>
        <v>45735</v>
      </c>
      <c r="S49" s="3187"/>
      <c r="T49" s="3187"/>
      <c r="U49" s="3187"/>
      <c r="V49" s="3187"/>
      <c r="W49" s="3187"/>
      <c r="X49" s="756"/>
      <c r="Y49" s="756"/>
      <c r="Z49" s="756"/>
      <c r="AA49" s="756"/>
      <c r="AB49" s="756"/>
      <c r="AC49" s="756"/>
    </row>
    <row r="50" spans="1:29">
      <c r="A50" s="1137"/>
      <c r="B50" s="1137"/>
      <c r="C50" s="1137"/>
      <c r="D50" s="1137"/>
      <c r="E50" s="1137"/>
      <c r="F50" s="1137"/>
      <c r="G50" s="1140"/>
      <c r="H50" s="1137"/>
      <c r="I50" s="1137"/>
      <c r="J50" s="1137"/>
      <c r="K50" s="1098"/>
      <c r="L50" s="1099"/>
      <c r="M50" s="1137"/>
      <c r="N50" s="1137"/>
      <c r="O50" s="1137"/>
      <c r="P50" s="672"/>
      <c r="Q50" s="756"/>
      <c r="R50" s="756"/>
      <c r="S50" s="756"/>
      <c r="T50" s="756"/>
      <c r="U50" s="756"/>
      <c r="V50" s="756"/>
      <c r="W50" s="756"/>
      <c r="X50" s="756"/>
      <c r="Y50" s="756"/>
      <c r="Z50" s="756"/>
      <c r="AA50" s="756"/>
      <c r="AB50" s="756"/>
      <c r="AC50" s="756"/>
    </row>
    <row r="51" spans="1:29">
      <c r="A51" s="1137"/>
      <c r="B51" s="1137"/>
      <c r="C51" s="1137"/>
      <c r="D51" s="1137"/>
      <c r="E51" s="1137"/>
      <c r="F51" s="1137"/>
      <c r="G51" s="1137"/>
      <c r="H51" s="1137"/>
      <c r="I51" s="1137"/>
      <c r="J51" s="1137"/>
      <c r="K51" s="1098"/>
      <c r="L51" s="1099"/>
      <c r="M51" s="1137"/>
      <c r="N51" s="1137"/>
      <c r="O51" s="1137"/>
      <c r="P51" s="672"/>
      <c r="Q51" s="756"/>
      <c r="R51" s="756"/>
      <c r="S51" s="756"/>
      <c r="T51" s="756"/>
      <c r="U51" s="756"/>
      <c r="V51" s="756"/>
      <c r="W51" s="756"/>
      <c r="X51" s="756"/>
      <c r="Y51" s="756"/>
      <c r="Z51" s="756"/>
      <c r="AA51" s="756"/>
      <c r="AB51" s="756"/>
      <c r="AC51" s="756"/>
    </row>
    <row r="52" spans="1:29" ht="13.5" customHeight="1">
      <c r="A52" s="1137"/>
      <c r="B52" s="1137"/>
      <c r="C52" s="495" t="s">
        <v>2666</v>
      </c>
      <c r="D52" s="496"/>
      <c r="E52" s="497">
        <f>IF(E47&lt;E48,E48/E47-1,E47/E48-1)</f>
        <v>9.9989000109999004E-2</v>
      </c>
      <c r="F52" s="498" t="str">
        <f>IF(OR(E52&gt;=0.3,E52&lt;=-0.3),"超过30%","")</f>
        <v/>
      </c>
      <c r="G52" s="497">
        <f>IF(G47&lt;G48,G48/G47-1,G47/G48-1)</f>
        <v>9.9989000109999004E-2</v>
      </c>
      <c r="H52" s="498" t="str">
        <f>IF(OR(G52&gt;=0.3,G52&lt;=-0.3),"超过30%","")</f>
        <v/>
      </c>
      <c r="I52" s="497">
        <f>IF(I47&lt;I48,I48/I47-1,I47/I48-1)</f>
        <v>8.0006912044237044E-2</v>
      </c>
      <c r="J52" s="498" t="str">
        <f>IF(OR(I52&gt;=0.3,I52&lt;=-0.3),"超过30%","")</f>
        <v/>
      </c>
      <c r="K52" s="1098"/>
      <c r="L52" s="1099"/>
      <c r="M52" s="1137"/>
      <c r="N52" s="1137"/>
      <c r="O52" s="1137"/>
      <c r="P52" s="672"/>
      <c r="Q52" s="756"/>
      <c r="R52" s="756"/>
      <c r="S52" s="756"/>
      <c r="T52" s="756"/>
      <c r="U52" s="756"/>
      <c r="V52" s="756"/>
      <c r="W52" s="756"/>
      <c r="X52" s="756"/>
      <c r="Y52" s="756"/>
      <c r="Z52" s="756"/>
      <c r="AA52" s="756"/>
      <c r="AB52" s="756"/>
      <c r="AC52" s="756"/>
    </row>
    <row r="53" spans="1:29" ht="13.5" customHeight="1">
      <c r="A53" s="1137"/>
      <c r="B53" s="1137"/>
      <c r="C53" s="495" t="s">
        <v>2667</v>
      </c>
      <c r="D53" s="499"/>
      <c r="E53" s="497">
        <f>IF(E48&lt;G48,G48/E48-1,E48/G48-1)</f>
        <v>0</v>
      </c>
      <c r="F53" s="498" t="str">
        <f>IF(OR(E53&gt;=0.2,E53&lt;=-0.2),"超过20%","")</f>
        <v/>
      </c>
      <c r="G53" s="497">
        <f>IF(G48&lt;I48,I48/G48-1,G48/I48-1)</f>
        <v>1.8501814981850107E-2</v>
      </c>
      <c r="H53" s="498" t="str">
        <f>IF(OR(G53&gt;=0.2,G53&lt;=-0.2),"超过20%","")</f>
        <v/>
      </c>
      <c r="I53" s="497">
        <f>IF(I48&lt;E48,E48/I48-1,I48/E48-1)</f>
        <v>1.8501814981850107E-2</v>
      </c>
      <c r="J53" s="498" t="str">
        <f>IF(OR(I53&gt;=0.2,I53&lt;=-0.2),"超过20%","")</f>
        <v/>
      </c>
      <c r="K53" s="1098"/>
      <c r="L53" s="1099"/>
      <c r="M53" s="1137"/>
      <c r="N53" s="1137"/>
      <c r="O53" s="1137"/>
      <c r="P53" s="672"/>
      <c r="Q53" s="756"/>
      <c r="R53" s="756"/>
      <c r="S53" s="756"/>
      <c r="T53" s="756"/>
      <c r="U53" s="756"/>
      <c r="V53" s="756"/>
      <c r="W53" s="756"/>
      <c r="X53" s="756"/>
      <c r="Y53" s="756"/>
      <c r="Z53" s="756"/>
      <c r="AA53" s="756"/>
      <c r="AB53" s="756"/>
      <c r="AC53" s="756"/>
    </row>
    <row r="54" spans="1:29" s="500" customFormat="1" ht="13.5" customHeight="1">
      <c r="A54" s="1138"/>
      <c r="B54" s="1138"/>
      <c r="C54" s="495" t="s">
        <v>2668</v>
      </c>
      <c r="D54" s="499"/>
      <c r="E54" s="497">
        <f>IF(E47&lt;G47,G47/E47-1,E47/G47-1)</f>
        <v>0</v>
      </c>
      <c r="F54" s="498" t="str">
        <f>IF(OR(E54&gt;=0.3,E54&lt;=-0.3),"超过30%","")</f>
        <v/>
      </c>
      <c r="G54" s="497">
        <f>IF(G47&lt;I47,I47/G47-1,G47/I47-1)</f>
        <v>0</v>
      </c>
      <c r="H54" s="498" t="str">
        <f>IF(OR(G54&gt;=0.3,G54&lt;=-0.3),"超过30%","")</f>
        <v/>
      </c>
      <c r="I54" s="497">
        <f>IF(I47&lt;E47,E47/I47-1,I47/E47-1)</f>
        <v>0</v>
      </c>
      <c r="J54" s="498" t="str">
        <f>IF(OR(I54&gt;=0.3,I54&lt;=-0.3),"超过30%","")</f>
        <v/>
      </c>
      <c r="K54" s="1141"/>
      <c r="L54" s="1142"/>
      <c r="M54" s="1138"/>
      <c r="N54" s="1138"/>
      <c r="O54" s="1138"/>
      <c r="P54" s="2646"/>
      <c r="Q54" s="757"/>
      <c r="R54" s="757"/>
      <c r="S54" s="757"/>
      <c r="T54" s="757"/>
      <c r="U54" s="757"/>
      <c r="V54" s="757"/>
      <c r="W54" s="757"/>
      <c r="X54" s="757"/>
      <c r="Y54" s="757"/>
      <c r="Z54" s="757"/>
      <c r="AA54" s="757"/>
      <c r="AB54" s="757"/>
      <c r="AC54" s="757"/>
    </row>
    <row r="55" spans="1:29" s="500" customFormat="1">
      <c r="A55" s="1138"/>
      <c r="B55" s="1139"/>
      <c r="C55" s="1143"/>
      <c r="D55" s="1138"/>
      <c r="E55" s="1138"/>
      <c r="F55" s="1138"/>
      <c r="G55" s="1138"/>
      <c r="H55" s="1138"/>
      <c r="I55" s="1138"/>
      <c r="J55" s="1138"/>
      <c r="K55" s="1141"/>
      <c r="L55" s="1142"/>
      <c r="M55" s="1138"/>
      <c r="N55" s="1138"/>
      <c r="O55" s="1138"/>
      <c r="P55" s="2646"/>
      <c r="Q55" s="757"/>
      <c r="R55" s="757"/>
      <c r="S55" s="757"/>
      <c r="T55" s="757"/>
      <c r="U55" s="757"/>
      <c r="V55" s="757"/>
      <c r="W55" s="757"/>
      <c r="X55" s="757"/>
      <c r="Y55" s="757"/>
      <c r="Z55" s="757"/>
      <c r="AA55" s="757"/>
      <c r="AB55" s="757"/>
      <c r="AC55" s="757"/>
    </row>
    <row r="56" spans="1:29">
      <c r="A56" s="1137"/>
      <c r="B56" s="1139"/>
      <c r="C56" s="1143"/>
      <c r="D56" s="1137"/>
      <c r="E56" s="1137"/>
      <c r="F56" s="1137"/>
      <c r="G56" s="1137"/>
      <c r="H56" s="1137"/>
      <c r="I56" s="1137"/>
      <c r="J56" s="1137"/>
      <c r="K56" s="1098"/>
      <c r="L56" s="1099"/>
      <c r="M56" s="1137"/>
      <c r="N56" s="1137"/>
      <c r="O56" s="1137"/>
      <c r="P56" s="672"/>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4"/>
      <c r="M57" s="1152"/>
      <c r="N57" s="1152"/>
      <c r="O57" s="1152"/>
      <c r="P57" s="2647"/>
      <c r="Q57" s="2648"/>
      <c r="R57" s="756"/>
      <c r="S57" s="756"/>
      <c r="T57" s="756"/>
      <c r="U57" s="756"/>
      <c r="V57" s="756"/>
      <c r="W57" s="756"/>
      <c r="X57" s="756"/>
      <c r="Y57" s="756"/>
      <c r="Z57" s="756"/>
      <c r="AA57" s="756"/>
      <c r="AB57" s="756"/>
      <c r="AC57" s="756"/>
    </row>
    <row r="58" spans="1:29" s="506" customFormat="1" ht="15">
      <c r="A58" s="503" t="s">
        <v>2543</v>
      </c>
      <c r="B58" s="504"/>
      <c r="C58" s="1560" t="str">
        <f>YEAR(C7)&amp;"-"&amp;MONTH(C7)</f>
        <v>2017-11</v>
      </c>
      <c r="D58" s="1561">
        <f>EDATE(C58,-1)</f>
        <v>43009</v>
      </c>
      <c r="E58" s="1561">
        <f t="shared" ref="E58:N58" si="16">EDATE(D58,-1)</f>
        <v>42979</v>
      </c>
      <c r="F58" s="1561">
        <f t="shared" si="16"/>
        <v>42948</v>
      </c>
      <c r="G58" s="1561">
        <f t="shared" si="16"/>
        <v>42917</v>
      </c>
      <c r="H58" s="1561">
        <f t="shared" si="16"/>
        <v>42887</v>
      </c>
      <c r="I58" s="1561">
        <f t="shared" si="16"/>
        <v>42856</v>
      </c>
      <c r="J58" s="1561">
        <f t="shared" si="16"/>
        <v>42826</v>
      </c>
      <c r="K58" s="1561">
        <f t="shared" si="16"/>
        <v>42795</v>
      </c>
      <c r="L58" s="1561">
        <f t="shared" si="16"/>
        <v>42767</v>
      </c>
      <c r="M58" s="1561">
        <f t="shared" si="16"/>
        <v>42736</v>
      </c>
      <c r="N58" s="1561">
        <f t="shared" si="16"/>
        <v>42705</v>
      </c>
      <c r="O58" s="1561">
        <f>EDATE(N58,-1)</f>
        <v>42675</v>
      </c>
      <c r="P58" s="1556"/>
    </row>
    <row r="59" spans="1:29" s="115" customFormat="1" ht="15">
      <c r="A59" s="507"/>
      <c r="B59" s="508"/>
      <c r="C59" s="1559">
        <v>100</v>
      </c>
      <c r="D59" s="510">
        <v>99</v>
      </c>
      <c r="E59" s="510">
        <v>98</v>
      </c>
      <c r="F59" s="510">
        <v>97</v>
      </c>
      <c r="G59" s="510">
        <v>96</v>
      </c>
      <c r="H59" s="510">
        <v>95</v>
      </c>
      <c r="I59" s="510">
        <v>94</v>
      </c>
      <c r="J59" s="510">
        <v>93</v>
      </c>
      <c r="K59" s="510">
        <v>92</v>
      </c>
      <c r="L59" s="510">
        <v>91</v>
      </c>
      <c r="M59" s="510">
        <v>90</v>
      </c>
      <c r="N59" s="510">
        <v>89</v>
      </c>
      <c r="O59" s="510">
        <v>88</v>
      </c>
      <c r="P59" s="2608"/>
    </row>
    <row r="60" spans="1:29" s="115" customFormat="1" ht="15.75" thickBot="1">
      <c r="A60" s="513" t="s">
        <v>2580</v>
      </c>
      <c r="B60" s="514"/>
      <c r="C60" s="515"/>
      <c r="D60" s="516"/>
      <c r="E60" s="516"/>
      <c r="F60" s="516"/>
      <c r="G60" s="516"/>
      <c r="H60" s="516"/>
      <c r="I60" s="516"/>
      <c r="J60" s="516"/>
      <c r="K60" s="516"/>
      <c r="L60" s="516"/>
      <c r="M60" s="517"/>
      <c r="N60" s="516"/>
      <c r="O60" s="517"/>
      <c r="P60" s="2608"/>
      <c r="Q60" s="502"/>
    </row>
    <row r="61" spans="1:29" s="115" customFormat="1" ht="15">
      <c r="A61" s="519" t="s">
        <v>2545</v>
      </c>
      <c r="B61" s="508"/>
      <c r="C61" s="520" t="s">
        <v>2647</v>
      </c>
      <c r="D61" s="521"/>
      <c r="E61" s="521"/>
      <c r="F61" s="521"/>
      <c r="G61" s="521"/>
      <c r="H61" s="521"/>
      <c r="I61" s="521"/>
      <c r="J61" s="521"/>
      <c r="K61" s="521"/>
      <c r="L61" s="522"/>
      <c r="M61" s="523"/>
      <c r="N61" s="1144"/>
      <c r="O61" s="1144"/>
      <c r="P61" s="2609"/>
      <c r="Q61" s="502"/>
    </row>
    <row r="62" spans="1:29" s="115" customFormat="1" ht="15.75" thickBot="1">
      <c r="A62" s="519"/>
      <c r="B62" s="508"/>
      <c r="C62" s="509">
        <v>100</v>
      </c>
      <c r="D62" s="510"/>
      <c r="E62" s="510"/>
      <c r="F62" s="510"/>
      <c r="G62" s="510"/>
      <c r="H62" s="510"/>
      <c r="I62" s="510"/>
      <c r="J62" s="510"/>
      <c r="K62" s="510"/>
      <c r="L62" s="510"/>
      <c r="M62" s="512"/>
      <c r="N62" s="1144"/>
      <c r="O62" s="1144"/>
      <c r="P62" s="2608"/>
      <c r="Q62" s="502"/>
    </row>
    <row r="63" spans="1:29">
      <c r="A63" s="525" t="s">
        <v>2583</v>
      </c>
      <c r="B63" s="526" t="s">
        <v>2549</v>
      </c>
      <c r="C63" s="527" t="str">
        <f>C9</f>
        <v>商业</v>
      </c>
      <c r="D63" s="528"/>
      <c r="E63" s="528"/>
      <c r="F63" s="528"/>
      <c r="G63" s="528"/>
      <c r="H63" s="528"/>
      <c r="I63" s="528"/>
      <c r="J63" s="528"/>
      <c r="K63" s="529"/>
      <c r="L63" s="530"/>
      <c r="M63" s="531"/>
      <c r="N63" s="1145"/>
      <c r="O63" s="1145"/>
      <c r="P63" s="2610"/>
      <c r="Q63" s="502"/>
    </row>
    <row r="64" spans="1:29" ht="15.75" thickBot="1">
      <c r="A64" s="532"/>
      <c r="B64" s="533"/>
      <c r="C64" s="534">
        <v>100</v>
      </c>
      <c r="D64" s="534"/>
      <c r="E64" s="534"/>
      <c r="F64" s="534"/>
      <c r="G64" s="534"/>
      <c r="H64" s="534"/>
      <c r="I64" s="534"/>
      <c r="J64" s="534"/>
      <c r="K64" s="534"/>
      <c r="L64" s="534"/>
      <c r="M64" s="535"/>
      <c r="N64" s="1146"/>
      <c r="O64" s="1146"/>
      <c r="P64" s="2610"/>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45"/>
      <c r="O65" s="1145"/>
      <c r="P65" s="2610"/>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46"/>
      <c r="O66" s="1146"/>
      <c r="P66" s="2610"/>
      <c r="Q66" s="502"/>
    </row>
    <row r="67" spans="1:17" ht="15.75" thickTop="1">
      <c r="A67" s="532"/>
      <c r="B67" s="544" t="s">
        <v>2553</v>
      </c>
      <c r="C67" s="545" t="str">
        <f>C68&amp;"（含）"&amp;"-"&amp;D68</f>
        <v>2（含）-3</v>
      </c>
      <c r="D67" s="545" t="str">
        <f t="shared" ref="D67:L67" si="17">D68&amp;"（含）"&amp;"-"&amp;E68</f>
        <v>3（含）-4</v>
      </c>
      <c r="E67" s="545" t="str">
        <f t="shared" si="17"/>
        <v>4（含）-5</v>
      </c>
      <c r="F67" s="545" t="str">
        <f t="shared" si="17"/>
        <v>5（含）-6</v>
      </c>
      <c r="G67" s="545" t="str">
        <f t="shared" si="17"/>
        <v>6（含）-7</v>
      </c>
      <c r="H67" s="545" t="str">
        <f t="shared" si="17"/>
        <v>7（含）-8</v>
      </c>
      <c r="I67" s="545" t="str">
        <f t="shared" si="17"/>
        <v>8（含）-9</v>
      </c>
      <c r="J67" s="545" t="str">
        <f t="shared" si="17"/>
        <v>9（含）-10</v>
      </c>
      <c r="K67" s="545" t="str">
        <f t="shared" si="17"/>
        <v>10（含）-11</v>
      </c>
      <c r="L67" s="545" t="str">
        <f t="shared" si="17"/>
        <v>11（含）-12</v>
      </c>
      <c r="M67" s="446" t="str">
        <f>M68&amp;"（含）"&amp;"-"&amp;P68</f>
        <v>12（含）-</v>
      </c>
      <c r="N67" s="1146"/>
      <c r="O67" s="1146"/>
      <c r="P67" s="2610"/>
      <c r="Q67" s="502"/>
    </row>
    <row r="68" spans="1:17" ht="15">
      <c r="A68" s="532"/>
      <c r="B68" s="546"/>
      <c r="C68" s="547">
        <v>2</v>
      </c>
      <c r="D68" s="547">
        <v>3</v>
      </c>
      <c r="E68" s="547">
        <v>4</v>
      </c>
      <c r="F68" s="547">
        <v>5</v>
      </c>
      <c r="G68" s="547">
        <v>6</v>
      </c>
      <c r="H68" s="547">
        <v>7</v>
      </c>
      <c r="I68" s="547">
        <v>8</v>
      </c>
      <c r="J68" s="547">
        <v>9</v>
      </c>
      <c r="K68" s="548">
        <v>10</v>
      </c>
      <c r="L68" s="549">
        <v>11</v>
      </c>
      <c r="M68" s="550">
        <v>12</v>
      </c>
      <c r="N68" s="1145"/>
      <c r="O68" s="1145"/>
      <c r="P68" s="2610"/>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46"/>
      <c r="O69" s="1146"/>
      <c r="P69" s="2610"/>
      <c r="Q69" s="502"/>
    </row>
    <row r="70" spans="1:17" s="469" customFormat="1" ht="15.75" thickTop="1">
      <c r="A70" s="551"/>
      <c r="B70" s="536">
        <f>B12</f>
        <v>0</v>
      </c>
      <c r="C70" s="552"/>
      <c r="D70" s="552"/>
      <c r="E70" s="552"/>
      <c r="F70" s="552"/>
      <c r="G70" s="552"/>
      <c r="H70" s="553"/>
      <c r="I70" s="553"/>
      <c r="J70" s="553"/>
      <c r="K70" s="553"/>
      <c r="L70" s="554"/>
      <c r="M70" s="555"/>
      <c r="N70" s="1147"/>
      <c r="O70" s="1147"/>
      <c r="P70" s="2611"/>
      <c r="Q70" s="557"/>
    </row>
    <row r="71" spans="1:17" s="469" customFormat="1" ht="15.75" thickBot="1">
      <c r="A71" s="551"/>
      <c r="B71" s="541"/>
      <c r="C71" s="558"/>
      <c r="D71" s="534"/>
      <c r="E71" s="534"/>
      <c r="F71" s="534"/>
      <c r="G71" s="534"/>
      <c r="H71" s="534"/>
      <c r="I71" s="534"/>
      <c r="J71" s="534"/>
      <c r="K71" s="534"/>
      <c r="L71" s="534"/>
      <c r="M71" s="535"/>
      <c r="N71" s="1146"/>
      <c r="O71" s="1146"/>
      <c r="P71" s="2611"/>
      <c r="Q71" s="557"/>
    </row>
    <row r="72" spans="1:17" s="469" customFormat="1" ht="15.75" thickTop="1">
      <c r="A72" s="551"/>
      <c r="B72" s="536">
        <f>B13</f>
        <v>0</v>
      </c>
      <c r="C72" s="552"/>
      <c r="D72" s="552"/>
      <c r="E72" s="552"/>
      <c r="F72" s="552"/>
      <c r="G72" s="552"/>
      <c r="H72" s="553"/>
      <c r="I72" s="553"/>
      <c r="J72" s="553"/>
      <c r="K72" s="553"/>
      <c r="L72" s="554"/>
      <c r="M72" s="555"/>
      <c r="N72" s="1147"/>
      <c r="O72" s="1147"/>
      <c r="P72" s="2612"/>
      <c r="Q72" s="559"/>
    </row>
    <row r="73" spans="1:17" s="469" customFormat="1" ht="15.75" thickBot="1">
      <c r="A73" s="551"/>
      <c r="B73" s="541"/>
      <c r="C73" s="558"/>
      <c r="D73" s="534"/>
      <c r="E73" s="534"/>
      <c r="F73" s="534"/>
      <c r="G73" s="558"/>
      <c r="H73" s="560"/>
      <c r="I73" s="560"/>
      <c r="J73" s="560"/>
      <c r="K73" s="560"/>
      <c r="L73" s="560"/>
      <c r="M73" s="561"/>
      <c r="N73" s="1147"/>
      <c r="O73" s="1147"/>
      <c r="P73" s="2611"/>
      <c r="Q73" s="557"/>
    </row>
    <row r="74" spans="1:17" s="469" customFormat="1" ht="15.75" thickTop="1">
      <c r="A74" s="551"/>
      <c r="B74" s="544">
        <f>B14</f>
        <v>0</v>
      </c>
      <c r="C74" s="552"/>
      <c r="D74" s="552"/>
      <c r="E74" s="552"/>
      <c r="F74" s="552"/>
      <c r="G74" s="521"/>
      <c r="H74" s="562"/>
      <c r="I74" s="562"/>
      <c r="J74" s="562"/>
      <c r="K74" s="562"/>
      <c r="L74" s="563"/>
      <c r="M74" s="564"/>
      <c r="N74" s="1147"/>
      <c r="O74" s="1147"/>
      <c r="P74" s="2613"/>
      <c r="Q74" s="557"/>
    </row>
    <row r="75" spans="1:17" s="469" customFormat="1" ht="15.75" thickBot="1">
      <c r="A75" s="566"/>
      <c r="B75" s="567"/>
      <c r="C75" s="568"/>
      <c r="D75" s="568"/>
      <c r="E75" s="568"/>
      <c r="F75" s="568"/>
      <c r="G75" s="568"/>
      <c r="H75" s="569"/>
      <c r="I75" s="569"/>
      <c r="J75" s="569"/>
      <c r="K75" s="569"/>
      <c r="L75" s="569"/>
      <c r="M75" s="570"/>
      <c r="N75" s="1147"/>
      <c r="O75" s="1147"/>
      <c r="P75" s="2611"/>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45"/>
      <c r="O76" s="1145"/>
      <c r="P76" s="2614"/>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6"/>
      <c r="O77" s="1146"/>
      <c r="P77" s="2610"/>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45"/>
      <c r="O78" s="1145"/>
      <c r="P78" s="2610"/>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6"/>
      <c r="O79" s="1146"/>
      <c r="P79" s="2610"/>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45"/>
      <c r="O80" s="1145"/>
      <c r="P80" s="2610"/>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6"/>
      <c r="O81" s="1146"/>
      <c r="P81" s="2610"/>
      <c r="Q81" s="502"/>
    </row>
    <row r="82" spans="1:17" ht="15.75" thickTop="1">
      <c r="A82" s="532"/>
      <c r="B82" s="544" t="s">
        <v>2650</v>
      </c>
      <c r="C82" s="657" t="s">
        <v>2670</v>
      </c>
      <c r="D82" s="657" t="s">
        <v>2671</v>
      </c>
      <c r="E82" s="657" t="s">
        <v>2672</v>
      </c>
      <c r="F82" s="657" t="s">
        <v>2673</v>
      </c>
      <c r="G82" s="657" t="s">
        <v>2674</v>
      </c>
      <c r="H82" s="537"/>
      <c r="I82" s="537"/>
      <c r="J82" s="537"/>
      <c r="K82" s="537"/>
      <c r="L82" s="537"/>
      <c r="M82" s="1367"/>
      <c r="N82" s="1146"/>
      <c r="O82" s="1146"/>
      <c r="P82" s="2610"/>
      <c r="Q82" s="502"/>
    </row>
    <row r="83" spans="1:17" ht="15.75" thickBot="1">
      <c r="A83" s="532"/>
      <c r="B83" s="544"/>
      <c r="C83" s="542">
        <v>100</v>
      </c>
      <c r="D83" s="542">
        <f>C83-$K21</f>
        <v>98</v>
      </c>
      <c r="E83" s="542">
        <f t="shared" ref="E83:G83" si="19">D83-$K21</f>
        <v>96</v>
      </c>
      <c r="F83" s="542">
        <f t="shared" si="19"/>
        <v>94</v>
      </c>
      <c r="G83" s="542">
        <f t="shared" si="19"/>
        <v>92</v>
      </c>
      <c r="H83" s="657"/>
      <c r="I83" s="657"/>
      <c r="J83" s="657"/>
      <c r="K83" s="657"/>
      <c r="L83" s="657"/>
      <c r="M83" s="448"/>
      <c r="N83" s="1146"/>
      <c r="O83" s="1146"/>
      <c r="P83" s="2610"/>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45"/>
      <c r="O84" s="1145"/>
      <c r="P84" s="2610"/>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6"/>
      <c r="O85" s="1146"/>
      <c r="P85" s="2610"/>
      <c r="Q85" s="502"/>
    </row>
    <row r="86" spans="1:17" s="115" customFormat="1" ht="15.75" thickTop="1">
      <c r="A86" s="577"/>
      <c r="B86" s="536" t="s">
        <v>2675</v>
      </c>
      <c r="C86" s="2932" t="s">
        <v>3137</v>
      </c>
      <c r="D86" s="2932" t="s">
        <v>3138</v>
      </c>
      <c r="E86" s="552"/>
      <c r="F86" s="552"/>
      <c r="G86" s="552"/>
      <c r="H86" s="552"/>
      <c r="I86" s="552"/>
      <c r="J86" s="552"/>
      <c r="K86" s="552"/>
      <c r="L86" s="578"/>
      <c r="M86" s="579"/>
      <c r="N86" s="1144"/>
      <c r="O86" s="1144"/>
      <c r="P86" s="2610"/>
      <c r="Q86" s="502"/>
    </row>
    <row r="87" spans="1:17" s="115"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46"/>
      <c r="O87" s="1146"/>
      <c r="P87" s="2610"/>
      <c r="Q87" s="502"/>
    </row>
    <row r="88" spans="1:17" s="115" customFormat="1" ht="15.75" thickTop="1">
      <c r="A88" s="577"/>
      <c r="B88" s="536" t="str">
        <f>B26</f>
        <v>平面位置/可视性</v>
      </c>
      <c r="C88" s="2932" t="s">
        <v>3139</v>
      </c>
      <c r="D88" s="2932" t="s">
        <v>3140</v>
      </c>
      <c r="E88" s="2932" t="s">
        <v>3141</v>
      </c>
      <c r="F88" s="2939" t="s">
        <v>3142</v>
      </c>
      <c r="G88" s="2932" t="s">
        <v>3143</v>
      </c>
      <c r="H88" s="552"/>
      <c r="I88" s="552"/>
      <c r="J88" s="552"/>
      <c r="K88" s="552"/>
      <c r="L88" s="552"/>
      <c r="M88" s="579"/>
      <c r="N88" s="1144"/>
      <c r="O88" s="1144"/>
      <c r="P88" s="2610"/>
      <c r="Q88" s="502"/>
    </row>
    <row r="89" spans="1:17" s="115" customFormat="1" ht="15.75" thickBot="1">
      <c r="A89" s="577"/>
      <c r="B89" s="541"/>
      <c r="C89" s="558">
        <v>100</v>
      </c>
      <c r="D89" s="534">
        <v>99</v>
      </c>
      <c r="E89" s="558">
        <v>98</v>
      </c>
      <c r="F89" s="534">
        <v>97</v>
      </c>
      <c r="G89" s="558">
        <v>96</v>
      </c>
      <c r="H89" s="534"/>
      <c r="I89" s="534"/>
      <c r="J89" s="534"/>
      <c r="K89" s="534"/>
      <c r="L89" s="534"/>
      <c r="M89" s="534"/>
      <c r="N89" s="1146"/>
      <c r="O89" s="1146"/>
      <c r="P89" s="2610"/>
      <c r="Q89" s="502"/>
    </row>
    <row r="90" spans="1:17" s="469" customFormat="1" ht="15.75" thickTop="1">
      <c r="A90" s="551"/>
      <c r="B90" s="536" t="str">
        <f>B27</f>
        <v>人流量</v>
      </c>
      <c r="C90" s="2932" t="s">
        <v>3144</v>
      </c>
      <c r="D90" s="2932" t="s">
        <v>3145</v>
      </c>
      <c r="E90" s="2932" t="s">
        <v>3141</v>
      </c>
      <c r="F90" s="2932" t="s">
        <v>3146</v>
      </c>
      <c r="G90" s="2932" t="s">
        <v>3147</v>
      </c>
      <c r="H90" s="553"/>
      <c r="I90" s="553"/>
      <c r="J90" s="553"/>
      <c r="K90" s="553"/>
      <c r="L90" s="554"/>
      <c r="M90" s="555"/>
      <c r="N90" s="1147"/>
      <c r="O90" s="1147"/>
      <c r="P90" s="2611"/>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47"/>
      <c r="O91" s="1147"/>
      <c r="P91" s="2611"/>
      <c r="Q91" s="557"/>
    </row>
    <row r="92" spans="1:17" ht="15.75" thickTop="1">
      <c r="A92" s="532"/>
      <c r="B92" s="536" t="str">
        <f>B28</f>
        <v>楼层</v>
      </c>
      <c r="C92" s="552" t="s">
        <v>3211</v>
      </c>
      <c r="D92" s="552" t="s">
        <v>3211</v>
      </c>
      <c r="E92" s="552" t="s">
        <v>3211</v>
      </c>
      <c r="F92" s="552" t="s">
        <v>3211</v>
      </c>
      <c r="G92" s="552"/>
      <c r="H92" s="552"/>
      <c r="I92" s="552"/>
      <c r="J92" s="552"/>
      <c r="K92" s="552"/>
      <c r="L92" s="578"/>
      <c r="M92" s="579"/>
      <c r="N92" s="1145"/>
      <c r="O92" s="1145"/>
      <c r="P92" s="2610"/>
      <c r="Q92" s="502"/>
    </row>
    <row r="93" spans="1:17" ht="15.75" thickBot="1">
      <c r="A93" s="532"/>
      <c r="B93" s="541"/>
      <c r="C93" s="534"/>
      <c r="D93" s="534"/>
      <c r="E93" s="534"/>
      <c r="F93" s="534"/>
      <c r="G93" s="534"/>
      <c r="H93" s="534"/>
      <c r="I93" s="534"/>
      <c r="J93" s="534"/>
      <c r="K93" s="534"/>
      <c r="L93" s="534"/>
      <c r="M93" s="535"/>
      <c r="N93" s="1146"/>
      <c r="O93" s="1146"/>
      <c r="P93" s="2610"/>
      <c r="Q93" s="502"/>
    </row>
    <row r="94" spans="1:17" ht="15.75" thickTop="1">
      <c r="A94" s="532"/>
      <c r="B94" s="536">
        <f>B29</f>
        <v>0</v>
      </c>
      <c r="C94" s="552"/>
      <c r="D94" s="552"/>
      <c r="E94" s="552"/>
      <c r="F94" s="552"/>
      <c r="G94" s="581"/>
      <c r="H94" s="581"/>
      <c r="I94" s="581"/>
      <c r="J94" s="581"/>
      <c r="K94" s="582"/>
      <c r="L94" s="583"/>
      <c r="M94" s="584"/>
      <c r="N94" s="1145"/>
      <c r="O94" s="1145"/>
      <c r="P94" s="2610"/>
      <c r="Q94" s="502"/>
    </row>
    <row r="95" spans="1:17" ht="15.75" thickBot="1">
      <c r="A95" s="532"/>
      <c r="B95" s="541"/>
      <c r="C95" s="558"/>
      <c r="D95" s="534"/>
      <c r="E95" s="534"/>
      <c r="F95" s="534"/>
      <c r="G95" s="534"/>
      <c r="H95" s="534"/>
      <c r="I95" s="534"/>
      <c r="J95" s="534"/>
      <c r="K95" s="534"/>
      <c r="L95" s="534"/>
      <c r="M95" s="535"/>
      <c r="N95" s="1146"/>
      <c r="O95" s="1146"/>
      <c r="P95" s="2610"/>
      <c r="Q95" s="502"/>
    </row>
    <row r="96" spans="1:17" ht="15.75" thickTop="1">
      <c r="A96" s="532"/>
      <c r="B96" s="536">
        <f>B30</f>
        <v>0</v>
      </c>
      <c r="C96" s="552"/>
      <c r="D96" s="552"/>
      <c r="E96" s="552"/>
      <c r="F96" s="552"/>
      <c r="G96" s="581"/>
      <c r="H96" s="581"/>
      <c r="I96" s="581"/>
      <c r="J96" s="581"/>
      <c r="K96" s="582"/>
      <c r="L96" s="583"/>
      <c r="M96" s="584"/>
      <c r="N96" s="1145"/>
      <c r="O96" s="1145"/>
      <c r="P96" s="2610"/>
      <c r="Q96" s="502"/>
    </row>
    <row r="97" spans="1:17" ht="15.75" thickBot="1">
      <c r="A97" s="532"/>
      <c r="B97" s="541"/>
      <c r="C97" s="558"/>
      <c r="D97" s="534"/>
      <c r="E97" s="534"/>
      <c r="F97" s="534"/>
      <c r="G97" s="534"/>
      <c r="H97" s="534"/>
      <c r="I97" s="534"/>
      <c r="J97" s="534"/>
      <c r="K97" s="534"/>
      <c r="L97" s="534"/>
      <c r="M97" s="535"/>
      <c r="N97" s="1146"/>
      <c r="O97" s="1146"/>
      <c r="P97" s="2610"/>
      <c r="Q97" s="502"/>
    </row>
    <row r="98" spans="1:17" ht="15.75" thickTop="1">
      <c r="A98" s="532"/>
      <c r="B98" s="544">
        <f>B31</f>
        <v>0</v>
      </c>
      <c r="C98" s="552"/>
      <c r="D98" s="552"/>
      <c r="E98" s="552"/>
      <c r="F98" s="552"/>
      <c r="G98" s="585"/>
      <c r="H98" s="585"/>
      <c r="I98" s="585"/>
      <c r="J98" s="585"/>
      <c r="K98" s="586"/>
      <c r="L98" s="587"/>
      <c r="M98" s="588"/>
      <c r="N98" s="1145"/>
      <c r="O98" s="1145"/>
      <c r="P98" s="2610"/>
      <c r="Q98" s="502"/>
    </row>
    <row r="99" spans="1:17" ht="15.75" thickBot="1">
      <c r="A99" s="2616"/>
      <c r="B99" s="567"/>
      <c r="C99" s="568"/>
      <c r="D99" s="568"/>
      <c r="E99" s="568"/>
      <c r="F99" s="568"/>
      <c r="G99" s="589"/>
      <c r="H99" s="589"/>
      <c r="I99" s="589"/>
      <c r="J99" s="589"/>
      <c r="K99" s="589"/>
      <c r="L99" s="589"/>
      <c r="M99" s="590"/>
      <c r="N99" s="1146"/>
      <c r="O99" s="1146"/>
      <c r="P99" s="2610"/>
      <c r="Q99" s="502"/>
    </row>
    <row r="100" spans="1:17">
      <c r="A100" s="525" t="s">
        <v>2558</v>
      </c>
      <c r="B100" s="526" t="s">
        <v>2676</v>
      </c>
      <c r="C100" s="2931" t="s">
        <v>3148</v>
      </c>
      <c r="D100" s="528"/>
      <c r="E100" s="528"/>
      <c r="F100" s="528"/>
      <c r="G100" s="528"/>
      <c r="H100" s="528"/>
      <c r="I100" s="528"/>
      <c r="J100" s="528"/>
      <c r="K100" s="529"/>
      <c r="L100" s="530"/>
      <c r="M100" s="531"/>
      <c r="N100" s="1145"/>
      <c r="O100" s="1145"/>
      <c r="P100" s="2610"/>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6"/>
      <c r="O101" s="1146"/>
      <c r="P101" s="2610"/>
      <c r="Q101" s="502"/>
    </row>
    <row r="102" spans="1:17" ht="15.75" thickTop="1">
      <c r="A102" s="532"/>
      <c r="B102" s="536" t="s">
        <v>2608</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9" t="str">
        <f>M103&amp;"(含)"&amp;"-"&amp;P103</f>
        <v>(含)-</v>
      </c>
      <c r="N102" s="1144"/>
      <c r="O102" s="1144"/>
      <c r="P102" s="2610"/>
      <c r="Q102" s="502"/>
    </row>
    <row r="103" spans="1:17" s="469" customFormat="1">
      <c r="A103" s="591"/>
      <c r="B103" s="592"/>
      <c r="C103" s="593">
        <v>0</v>
      </c>
      <c r="D103" s="593"/>
      <c r="E103" s="593"/>
      <c r="F103" s="593"/>
      <c r="G103" s="593"/>
      <c r="H103" s="593"/>
      <c r="I103" s="593"/>
      <c r="J103" s="594"/>
      <c r="K103" s="594"/>
      <c r="L103" s="595"/>
      <c r="M103" s="596"/>
      <c r="N103" s="1147"/>
      <c r="O103" s="1147"/>
      <c r="P103" s="2611"/>
      <c r="Q103" s="557"/>
    </row>
    <row r="104" spans="1:17" s="469" customFormat="1" ht="15.75" thickBot="1">
      <c r="A104" s="551"/>
      <c r="B104" s="541"/>
      <c r="C104" s="558">
        <v>100</v>
      </c>
      <c r="D104" s="534"/>
      <c r="E104" s="534"/>
      <c r="F104" s="534"/>
      <c r="G104" s="534"/>
      <c r="H104" s="534"/>
      <c r="I104" s="534"/>
      <c r="J104" s="534"/>
      <c r="K104" s="534"/>
      <c r="L104" s="534"/>
      <c r="M104" s="535"/>
      <c r="N104" s="1146"/>
      <c r="O104" s="1146"/>
      <c r="P104" s="2611"/>
      <c r="Q104" s="557"/>
    </row>
    <row r="105" spans="1:17" ht="15" thickTop="1">
      <c r="A105" s="597"/>
      <c r="B105" s="536" t="s">
        <v>2609</v>
      </c>
      <c r="C105" s="2932" t="s">
        <v>3149</v>
      </c>
      <c r="D105" s="552"/>
      <c r="E105" s="581"/>
      <c r="F105" s="581"/>
      <c r="G105" s="581"/>
      <c r="H105" s="581"/>
      <c r="I105" s="581"/>
      <c r="J105" s="581"/>
      <c r="K105" s="582"/>
      <c r="L105" s="583"/>
      <c r="M105" s="584"/>
      <c r="N105" s="1145"/>
      <c r="O105" s="1145"/>
      <c r="P105" s="2610"/>
      <c r="Q105" s="502"/>
    </row>
    <row r="106" spans="1:17" ht="15.75" thickBot="1">
      <c r="A106" s="532"/>
      <c r="B106" s="541"/>
      <c r="C106" s="542">
        <v>100</v>
      </c>
      <c r="D106" s="542">
        <f t="shared" ref="D106:M106" si="24">C106-$K34</f>
        <v>99</v>
      </c>
      <c r="E106" s="542">
        <f t="shared" si="24"/>
        <v>98</v>
      </c>
      <c r="F106" s="542">
        <f t="shared" si="24"/>
        <v>97</v>
      </c>
      <c r="G106" s="542">
        <f t="shared" si="24"/>
        <v>96</v>
      </c>
      <c r="H106" s="542">
        <f t="shared" si="24"/>
        <v>95</v>
      </c>
      <c r="I106" s="542">
        <f t="shared" si="24"/>
        <v>94</v>
      </c>
      <c r="J106" s="542">
        <f t="shared" si="24"/>
        <v>93</v>
      </c>
      <c r="K106" s="542">
        <f t="shared" si="24"/>
        <v>92</v>
      </c>
      <c r="L106" s="542">
        <f t="shared" si="24"/>
        <v>91</v>
      </c>
      <c r="M106" s="543">
        <f t="shared" si="24"/>
        <v>90</v>
      </c>
      <c r="N106" s="1146"/>
      <c r="O106" s="1146"/>
      <c r="P106" s="2610"/>
      <c r="Q106" s="502"/>
    </row>
    <row r="107" spans="1:17" ht="15" thickTop="1">
      <c r="A107" s="597"/>
      <c r="B107" s="536" t="s">
        <v>2611</v>
      </c>
      <c r="C107" s="2932" t="s">
        <v>3150</v>
      </c>
      <c r="D107" s="2932" t="s">
        <v>3151</v>
      </c>
      <c r="E107" s="2932" t="s">
        <v>3152</v>
      </c>
      <c r="F107" s="2933" t="s">
        <v>3153</v>
      </c>
      <c r="G107" s="581"/>
      <c r="H107" s="581"/>
      <c r="I107" s="581"/>
      <c r="J107" s="581"/>
      <c r="K107" s="582"/>
      <c r="L107" s="583"/>
      <c r="M107" s="584"/>
      <c r="N107" s="1145"/>
      <c r="O107" s="1145"/>
      <c r="P107" s="2610"/>
      <c r="Q107" s="502"/>
    </row>
    <row r="108" spans="1:17" ht="15.75" thickBot="1">
      <c r="A108" s="532"/>
      <c r="B108" s="541"/>
      <c r="C108" s="542">
        <v>100</v>
      </c>
      <c r="D108" s="542">
        <f t="shared" ref="D108:M108" si="25">C108-$K35</f>
        <v>99</v>
      </c>
      <c r="E108" s="542">
        <f t="shared" si="25"/>
        <v>98</v>
      </c>
      <c r="F108" s="542">
        <f t="shared" si="25"/>
        <v>97</v>
      </c>
      <c r="G108" s="542">
        <f t="shared" si="25"/>
        <v>96</v>
      </c>
      <c r="H108" s="542">
        <f t="shared" si="25"/>
        <v>95</v>
      </c>
      <c r="I108" s="542">
        <f t="shared" si="25"/>
        <v>94</v>
      </c>
      <c r="J108" s="542">
        <f t="shared" si="25"/>
        <v>93</v>
      </c>
      <c r="K108" s="542">
        <f t="shared" si="25"/>
        <v>92</v>
      </c>
      <c r="L108" s="542">
        <f t="shared" si="25"/>
        <v>91</v>
      </c>
      <c r="M108" s="543">
        <f t="shared" si="25"/>
        <v>90</v>
      </c>
      <c r="N108" s="1146"/>
      <c r="O108" s="1146"/>
      <c r="P108" s="2610"/>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0"/>
      <c r="Q109" s="502"/>
    </row>
    <row r="110" spans="1:17">
      <c r="A110" s="597"/>
      <c r="B110" s="544"/>
      <c r="C110" s="601">
        <v>0.5</v>
      </c>
      <c r="D110" s="601">
        <v>0.6</v>
      </c>
      <c r="E110" s="601">
        <v>0.7</v>
      </c>
      <c r="F110" s="601">
        <v>0.8</v>
      </c>
      <c r="G110" s="601">
        <v>0.9</v>
      </c>
      <c r="H110" s="601">
        <v>1.0001</v>
      </c>
      <c r="I110" s="620"/>
      <c r="J110" s="620"/>
      <c r="K110" s="621"/>
      <c r="L110" s="622"/>
      <c r="M110" s="623"/>
      <c r="N110" s="1145"/>
      <c r="O110" s="1145"/>
      <c r="P110" s="2610"/>
      <c r="Q110" s="502"/>
    </row>
    <row r="111" spans="1:17" ht="15.75" thickBot="1">
      <c r="A111" s="532"/>
      <c r="B111" s="541"/>
      <c r="C111" s="580">
        <v>100</v>
      </c>
      <c r="D111" s="542">
        <f>C111+$K36</f>
        <v>101</v>
      </c>
      <c r="E111" s="542">
        <f t="shared" ref="E111:M111" si="26">D111+$K36</f>
        <v>102</v>
      </c>
      <c r="F111" s="542">
        <f t="shared" si="26"/>
        <v>103</v>
      </c>
      <c r="G111" s="542">
        <f t="shared" si="26"/>
        <v>104</v>
      </c>
      <c r="H111" s="542">
        <f t="shared" si="26"/>
        <v>105</v>
      </c>
      <c r="I111" s="542">
        <f t="shared" si="26"/>
        <v>106</v>
      </c>
      <c r="J111" s="542">
        <f t="shared" si="26"/>
        <v>107</v>
      </c>
      <c r="K111" s="542">
        <f t="shared" si="26"/>
        <v>108</v>
      </c>
      <c r="L111" s="542">
        <f t="shared" si="26"/>
        <v>109</v>
      </c>
      <c r="M111" s="542">
        <f t="shared" si="26"/>
        <v>110</v>
      </c>
      <c r="N111" s="1146"/>
      <c r="O111" s="1146"/>
      <c r="P111" s="2610"/>
      <c r="Q111" s="502"/>
    </row>
    <row r="112" spans="1:17" s="469" customFormat="1" ht="15" thickTop="1">
      <c r="A112" s="591"/>
      <c r="B112" s="536" t="s">
        <v>2613</v>
      </c>
      <c r="C112" s="2932" t="s">
        <v>3154</v>
      </c>
      <c r="D112" s="2932" t="s">
        <v>3155</v>
      </c>
      <c r="E112" s="2932" t="s">
        <v>3156</v>
      </c>
      <c r="F112" s="2932" t="s">
        <v>3157</v>
      </c>
      <c r="G112" s="2932" t="s">
        <v>3158</v>
      </c>
      <c r="H112" s="581"/>
      <c r="I112" s="581"/>
      <c r="J112" s="581"/>
      <c r="K112" s="582"/>
      <c r="L112" s="583"/>
      <c r="M112" s="584"/>
      <c r="N112" s="1147"/>
      <c r="O112" s="1147"/>
      <c r="P112" s="2611"/>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47"/>
      <c r="O113" s="1147"/>
      <c r="P113" s="2611"/>
      <c r="Q113" s="557"/>
    </row>
    <row r="114" spans="1:17" ht="15" thickTop="1">
      <c r="A114" s="597"/>
      <c r="B114" s="536" t="s">
        <v>2677</v>
      </c>
      <c r="C114" s="2932" t="s">
        <v>3160</v>
      </c>
      <c r="D114" s="2932" t="s">
        <v>3161</v>
      </c>
      <c r="E114" s="581"/>
      <c r="F114" s="581"/>
      <c r="G114" s="581"/>
      <c r="H114" s="581"/>
      <c r="I114" s="581"/>
      <c r="J114" s="581"/>
      <c r="K114" s="582"/>
      <c r="L114" s="583"/>
      <c r="M114" s="584"/>
      <c r="N114" s="1145"/>
      <c r="O114" s="1145"/>
      <c r="P114" s="2610"/>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6"/>
      <c r="O115" s="1146"/>
      <c r="P115" s="2610"/>
      <c r="Q115" s="502"/>
    </row>
    <row r="116" spans="1:17" ht="15" thickTop="1">
      <c r="A116" s="597"/>
      <c r="B116" s="536" t="s">
        <v>2678</v>
      </c>
      <c r="C116" s="2932" t="s">
        <v>3163</v>
      </c>
      <c r="D116" s="552"/>
      <c r="E116" s="552"/>
      <c r="F116" s="552"/>
      <c r="G116" s="552"/>
      <c r="H116" s="581"/>
      <c r="I116" s="581"/>
      <c r="J116" s="581"/>
      <c r="K116" s="582"/>
      <c r="L116" s="583"/>
      <c r="M116" s="584"/>
      <c r="N116" s="1145"/>
      <c r="O116" s="1145"/>
      <c r="P116" s="2610"/>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0"/>
      <c r="Q117" s="502"/>
    </row>
    <row r="118" spans="1:17" ht="15" thickTop="1">
      <c r="A118" s="597"/>
      <c r="B118" s="536" t="s">
        <v>2679</v>
      </c>
      <c r="C118" s="624"/>
      <c r="D118" s="624"/>
      <c r="E118" s="624"/>
      <c r="F118" s="624"/>
      <c r="G118" s="624"/>
      <c r="H118" s="553"/>
      <c r="I118" s="553"/>
      <c r="J118" s="553"/>
      <c r="K118" s="553"/>
      <c r="L118" s="554"/>
      <c r="M118" s="555"/>
      <c r="N118" s="1145"/>
      <c r="O118" s="1145"/>
      <c r="P118" s="2610"/>
      <c r="Q118" s="502"/>
    </row>
    <row r="119" spans="1:17" ht="15.75" thickBot="1">
      <c r="A119" s="532"/>
      <c r="B119" s="541"/>
      <c r="C119" s="558"/>
      <c r="D119" s="534"/>
      <c r="E119" s="534"/>
      <c r="F119" s="534"/>
      <c r="G119" s="534"/>
      <c r="H119" s="534"/>
      <c r="I119" s="534"/>
      <c r="J119" s="534"/>
      <c r="K119" s="534"/>
      <c r="L119" s="534"/>
      <c r="M119" s="535"/>
      <c r="N119" s="1146"/>
      <c r="O119" s="1146"/>
      <c r="P119" s="2610"/>
      <c r="Q119" s="502"/>
    </row>
    <row r="120" spans="1:17" s="469" customFormat="1" ht="15" thickTop="1">
      <c r="A120" s="591"/>
      <c r="B120" s="536" t="s">
        <v>2680</v>
      </c>
      <c r="C120" s="2933" t="s">
        <v>3164</v>
      </c>
      <c r="D120" s="2933" t="s">
        <v>3166</v>
      </c>
      <c r="E120" s="2933" t="s">
        <v>3141</v>
      </c>
      <c r="F120" s="2933" t="s">
        <v>3167</v>
      </c>
      <c r="G120" s="2940" t="s">
        <v>3168</v>
      </c>
      <c r="H120" s="553"/>
      <c r="I120" s="553"/>
      <c r="J120" s="553"/>
      <c r="K120" s="553"/>
      <c r="L120" s="554"/>
      <c r="M120" s="555"/>
      <c r="N120" s="1147"/>
      <c r="O120" s="1147"/>
      <c r="P120" s="2611"/>
      <c r="Q120" s="557"/>
    </row>
    <row r="121" spans="1:17" s="469" customFormat="1" ht="15.75" thickBot="1">
      <c r="A121" s="551"/>
      <c r="B121" s="533"/>
      <c r="C121" s="580">
        <v>100</v>
      </c>
      <c r="D121" s="542">
        <f>C121-$K41</f>
        <v>99</v>
      </c>
      <c r="E121" s="542">
        <f t="shared" ref="E121:M121" si="29">D121-$K41</f>
        <v>98</v>
      </c>
      <c r="F121" s="542">
        <f t="shared" si="29"/>
        <v>97</v>
      </c>
      <c r="G121" s="542">
        <f t="shared" si="29"/>
        <v>96</v>
      </c>
      <c r="H121" s="542">
        <f t="shared" si="29"/>
        <v>95</v>
      </c>
      <c r="I121" s="542">
        <f t="shared" si="29"/>
        <v>94</v>
      </c>
      <c r="J121" s="542">
        <f t="shared" si="29"/>
        <v>93</v>
      </c>
      <c r="K121" s="542">
        <f t="shared" si="29"/>
        <v>92</v>
      </c>
      <c r="L121" s="542">
        <f t="shared" si="29"/>
        <v>91</v>
      </c>
      <c r="M121" s="543">
        <f t="shared" si="29"/>
        <v>90</v>
      </c>
      <c r="N121" s="1147"/>
      <c r="O121" s="1147"/>
      <c r="P121" s="2611"/>
      <c r="Q121" s="557"/>
    </row>
    <row r="122" spans="1:17" ht="15" thickTop="1">
      <c r="A122" s="597"/>
      <c r="B122" s="536" t="s">
        <v>2615</v>
      </c>
      <c r="C122" s="2932" t="s">
        <v>3150</v>
      </c>
      <c r="D122" s="2932" t="s">
        <v>3151</v>
      </c>
      <c r="E122" s="2932" t="s">
        <v>3152</v>
      </c>
      <c r="F122" s="2933" t="s">
        <v>3153</v>
      </c>
      <c r="G122" s="581"/>
      <c r="H122" s="581"/>
      <c r="I122" s="581"/>
      <c r="J122" s="581"/>
      <c r="K122" s="582"/>
      <c r="L122" s="583"/>
      <c r="M122" s="584"/>
      <c r="N122" s="1145"/>
      <c r="O122" s="1145"/>
      <c r="P122" s="2610"/>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46"/>
      <c r="O123" s="1146"/>
      <c r="P123" s="2610"/>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45"/>
      <c r="O124" s="1145"/>
      <c r="P124" s="261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0"/>
      <c r="Q125" s="502"/>
    </row>
    <row r="126" spans="1:17" s="469" customFormat="1" ht="15" thickTop="1">
      <c r="A126" s="591"/>
      <c r="B126" s="536">
        <f>B44</f>
        <v>0</v>
      </c>
      <c r="C126" s="552"/>
      <c r="D126" s="552"/>
      <c r="E126" s="552"/>
      <c r="F126" s="552"/>
      <c r="G126" s="552"/>
      <c r="H126" s="553"/>
      <c r="I126" s="553"/>
      <c r="J126" s="553"/>
      <c r="K126" s="553"/>
      <c r="L126" s="554"/>
      <c r="M126" s="555"/>
      <c r="N126" s="1147"/>
      <c r="O126" s="1147"/>
      <c r="P126" s="2611"/>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1"/>
      <c r="Q127" s="557"/>
    </row>
    <row r="128" spans="1:17" ht="15" thickTop="1">
      <c r="A128" s="597"/>
      <c r="B128" s="536">
        <f>B45</f>
        <v>0</v>
      </c>
      <c r="C128" s="552"/>
      <c r="D128" s="552"/>
      <c r="E128" s="552"/>
      <c r="F128" s="552"/>
      <c r="G128" s="581"/>
      <c r="H128" s="581"/>
      <c r="I128" s="581"/>
      <c r="J128" s="581"/>
      <c r="K128" s="582"/>
      <c r="L128" s="583"/>
      <c r="M128" s="584"/>
      <c r="N128" s="1145"/>
      <c r="O128" s="1145"/>
      <c r="P128" s="2610"/>
      <c r="Q128" s="502"/>
    </row>
    <row r="129" spans="1:17" ht="15.75" thickBot="1">
      <c r="A129" s="532"/>
      <c r="B129" s="541"/>
      <c r="C129" s="558"/>
      <c r="D129" s="534"/>
      <c r="E129" s="534"/>
      <c r="F129" s="534"/>
      <c r="G129" s="534"/>
      <c r="H129" s="534"/>
      <c r="I129" s="534"/>
      <c r="J129" s="534"/>
      <c r="K129" s="534"/>
      <c r="L129" s="534"/>
      <c r="M129" s="535"/>
      <c r="N129" s="1146"/>
      <c r="O129" s="1146"/>
      <c r="P129" s="2610"/>
      <c r="Q129" s="502"/>
    </row>
    <row r="130" spans="1:17" ht="15" thickTop="1">
      <c r="A130" s="597"/>
      <c r="B130" s="544">
        <f>B46</f>
        <v>0</v>
      </c>
      <c r="C130" s="552"/>
      <c r="D130" s="552"/>
      <c r="E130" s="552"/>
      <c r="F130" s="552"/>
      <c r="G130" s="585"/>
      <c r="H130" s="585"/>
      <c r="I130" s="585"/>
      <c r="J130" s="585"/>
      <c r="K130" s="521"/>
      <c r="L130" s="522"/>
      <c r="M130" s="588"/>
      <c r="N130" s="1145"/>
      <c r="O130" s="1145"/>
      <c r="P130" s="2610"/>
      <c r="Q130" s="502"/>
    </row>
    <row r="131" spans="1:17" ht="15.75" thickBot="1">
      <c r="A131" s="2616"/>
      <c r="B131" s="567"/>
      <c r="C131" s="568"/>
      <c r="D131" s="568"/>
      <c r="E131" s="568"/>
      <c r="F131" s="568"/>
      <c r="G131" s="589"/>
      <c r="H131" s="589"/>
      <c r="I131" s="589"/>
      <c r="J131" s="589"/>
      <c r="K131" s="589"/>
      <c r="L131" s="589"/>
      <c r="M131" s="590"/>
      <c r="N131" s="1146"/>
      <c r="O131" s="1146"/>
      <c r="P131" s="2610"/>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649" t="s">
        <v>2681</v>
      </c>
      <c r="C1" s="1606" t="s">
        <v>2525</v>
      </c>
      <c r="D1" s="1607"/>
      <c r="E1" s="1616"/>
      <c r="F1" s="2567"/>
      <c r="G1" s="1617" t="s">
        <v>2638</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6" customFormat="1" ht="28.5" customHeight="1" thickTop="1">
      <c r="A2" s="1603" t="s">
        <v>2322</v>
      </c>
      <c r="B2" s="1403" t="e">
        <f ca="1">IF(C2="——",ROUND(C50*D3/10000,0),ROUND(C50*D3/10000,0)-D2)</f>
        <v>#DIV/0!</v>
      </c>
      <c r="C2" s="2569"/>
      <c r="D2" s="1350" t="e">
        <f ca="1">SUMIF(INDIRECT("'"&amp;F2&amp;"'"&amp;"!A:A"),"承租人权益价值",INDIRECT("'"&amp;F2&amp;"'"&amp;"!c:c"))</f>
        <v>#REF!</v>
      </c>
      <c r="E2" s="2570" t="s">
        <v>2323</v>
      </c>
      <c r="F2" s="2571"/>
      <c r="G2" s="1118"/>
      <c r="H2" s="1118"/>
      <c r="I2" s="1118"/>
      <c r="J2" s="1118"/>
      <c r="K2" s="1118"/>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2324</v>
      </c>
      <c r="B3" s="607" t="e">
        <f ca="1">IF(C2="——",C50,ROUND(B2*10000/D3,0))</f>
        <v>#DIV/0!</v>
      </c>
      <c r="C3" s="398" t="s">
        <v>2639</v>
      </c>
      <c r="D3" s="397">
        <f>IF(D1="",'数据-汇总表'!E3,SUMIF('数据-汇总表'!$C19:$C33,D1,'数据-汇总表'!$E19:$E33))</f>
        <v>28703.600000000002</v>
      </c>
      <c r="E3" s="2643"/>
      <c r="F3" s="1119"/>
      <c r="G3" s="1118"/>
      <c r="H3" s="1118"/>
      <c r="I3" s="1118"/>
      <c r="J3" s="1118"/>
      <c r="K3" s="1120"/>
      <c r="L3" s="1121"/>
      <c r="M3" s="1122"/>
      <c r="N3" s="1122"/>
      <c r="O3" s="1122"/>
      <c r="P3" s="765"/>
      <c r="Q3" s="765"/>
      <c r="R3" s="765"/>
      <c r="S3" s="765"/>
      <c r="T3" s="765"/>
      <c r="U3" s="765"/>
      <c r="V3" s="765"/>
      <c r="W3" s="765"/>
      <c r="X3" s="765"/>
      <c r="Y3" s="765"/>
      <c r="Z3" s="765"/>
      <c r="AA3" s="765"/>
      <c r="AB3" s="765"/>
      <c r="AC3" s="766"/>
    </row>
    <row r="4" spans="1:29" ht="15">
      <c r="A4" s="399" t="s">
        <v>2640</v>
      </c>
      <c r="B4" s="400"/>
      <c r="C4" s="3171" t="s">
        <v>2641</v>
      </c>
      <c r="D4" s="3172"/>
      <c r="E4" s="3173" t="s">
        <v>2642</v>
      </c>
      <c r="F4" s="3174"/>
      <c r="G4" s="3171" t="s">
        <v>2643</v>
      </c>
      <c r="H4" s="3172"/>
      <c r="I4" s="3171" t="s">
        <v>2644</v>
      </c>
      <c r="J4" s="3172"/>
      <c r="K4" s="608" t="s">
        <v>2645</v>
      </c>
      <c r="L4" s="1123"/>
      <c r="M4" s="1124"/>
      <c r="N4" s="1124"/>
      <c r="O4" s="1124"/>
      <c r="P4" s="3240" t="s">
        <v>2646</v>
      </c>
      <c r="Q4" s="3241"/>
      <c r="R4" s="3232" t="s">
        <v>2642</v>
      </c>
      <c r="S4" s="3233"/>
      <c r="T4" s="3232" t="s">
        <v>2643</v>
      </c>
      <c r="U4" s="3233"/>
      <c r="V4" s="3244" t="s">
        <v>2644</v>
      </c>
      <c r="W4" s="3244"/>
      <c r="X4" s="2650"/>
      <c r="Y4" s="3232" t="s">
        <v>2646</v>
      </c>
      <c r="Z4" s="3233"/>
      <c r="AA4" s="3231" t="s">
        <v>2642</v>
      </c>
      <c r="AB4" s="3231" t="s">
        <v>2643</v>
      </c>
      <c r="AC4" s="3237" t="s">
        <v>2644</v>
      </c>
    </row>
    <row r="5" spans="1:29" ht="15">
      <c r="A5" s="402"/>
      <c r="B5" s="403"/>
      <c r="C5" s="3230" t="s">
        <v>2537</v>
      </c>
      <c r="D5" s="3164"/>
      <c r="E5" s="3234" t="s">
        <v>2538</v>
      </c>
      <c r="F5" s="3162"/>
      <c r="G5" s="3230" t="s">
        <v>2539</v>
      </c>
      <c r="H5" s="3164"/>
      <c r="I5" s="3230" t="s">
        <v>2540</v>
      </c>
      <c r="J5" s="3164"/>
      <c r="K5" s="608"/>
      <c r="L5" s="1123"/>
      <c r="M5" s="1124"/>
      <c r="N5" s="1124"/>
      <c r="O5" s="1124"/>
      <c r="P5" s="3242"/>
      <c r="Q5" s="3178"/>
      <c r="R5" s="3159"/>
      <c r="S5" s="3160"/>
      <c r="T5" s="3159"/>
      <c r="U5" s="3160"/>
      <c r="V5" s="3183"/>
      <c r="W5" s="3183"/>
      <c r="X5" s="1799"/>
      <c r="Y5" s="3159"/>
      <c r="Z5" s="3160"/>
      <c r="AA5" s="3153"/>
      <c r="AB5" s="3153"/>
      <c r="AC5" s="3238"/>
    </row>
    <row r="6" spans="1:29" ht="15.75" thickBot="1">
      <c r="A6" s="404"/>
      <c r="B6" s="405"/>
      <c r="C6" s="3235" t="s">
        <v>2541</v>
      </c>
      <c r="D6" s="3169"/>
      <c r="E6" s="3236" t="s">
        <v>2541</v>
      </c>
      <c r="F6" s="3166"/>
      <c r="G6" s="3235" t="s">
        <v>2541</v>
      </c>
      <c r="H6" s="3169"/>
      <c r="I6" s="3235" t="s">
        <v>2541</v>
      </c>
      <c r="J6" s="3169"/>
      <c r="K6" s="608" t="s">
        <v>2542</v>
      </c>
      <c r="L6" s="1123"/>
      <c r="M6" s="1124"/>
      <c r="N6" s="1124"/>
      <c r="O6" s="1124"/>
      <c r="P6" s="3243"/>
      <c r="Q6" s="3180"/>
      <c r="R6" s="3159"/>
      <c r="S6" s="3160"/>
      <c r="T6" s="3181"/>
      <c r="U6" s="3182"/>
      <c r="V6" s="3183"/>
      <c r="W6" s="3183"/>
      <c r="X6" s="1799"/>
      <c r="Y6" s="3181"/>
      <c r="Z6" s="3182"/>
      <c r="AA6" s="3154"/>
      <c r="AB6" s="3154"/>
      <c r="AC6" s="3239"/>
    </row>
    <row r="7" spans="1:29" s="115" customFormat="1" ht="15.75" thickBot="1">
      <c r="A7" s="406" t="s">
        <v>2543</v>
      </c>
      <c r="B7" s="407"/>
      <c r="C7" s="408">
        <f>'数据-取费表'!B2</f>
        <v>43061</v>
      </c>
      <c r="D7" s="409">
        <v>100</v>
      </c>
      <c r="E7" s="410"/>
      <c r="F7" s="411">
        <f>SUMIF(59:59,YEAR(E7)&amp;"-"&amp;MONTH(E7),60:60)</f>
        <v>0</v>
      </c>
      <c r="G7" s="410"/>
      <c r="H7" s="409">
        <f>SUMIF(59:59,YEAR(G7)&amp;"-"&amp;MONTH(G7),60:60)</f>
        <v>0</v>
      </c>
      <c r="I7" s="410"/>
      <c r="J7" s="409">
        <f>SUMIF(59:59,YEAR(I7)&amp;"-"&amp;MONTH(I7),60:60)</f>
        <v>0</v>
      </c>
      <c r="K7" s="609"/>
      <c r="L7" s="1125"/>
      <c r="M7" s="1126"/>
      <c r="N7" s="1126"/>
      <c r="O7" s="1126"/>
      <c r="P7" s="3245" t="s">
        <v>2544</v>
      </c>
      <c r="Q7" s="3184"/>
      <c r="R7" s="767" t="s">
        <v>17</v>
      </c>
      <c r="S7" s="768">
        <f t="shared" ref="S7:S15" si="0">F7</f>
        <v>0</v>
      </c>
      <c r="T7" s="767" t="s">
        <v>17</v>
      </c>
      <c r="U7" s="768">
        <f t="shared" ref="U7:U15" si="1">H7</f>
        <v>0</v>
      </c>
      <c r="V7" s="767" t="s">
        <v>17</v>
      </c>
      <c r="W7" s="768">
        <f t="shared" ref="W7:W15" si="2">J7</f>
        <v>0</v>
      </c>
      <c r="X7" s="769"/>
      <c r="Y7" s="3155" t="s">
        <v>2544</v>
      </c>
      <c r="Z7" s="3156"/>
      <c r="AA7" s="770" t="e">
        <f>D7/F7</f>
        <v>#DIV/0!</v>
      </c>
      <c r="AB7" s="770" t="e">
        <f>D7/H7</f>
        <v>#DIV/0!</v>
      </c>
      <c r="AC7" s="2651" t="e">
        <f>D7/J7</f>
        <v>#DIV/0!</v>
      </c>
    </row>
    <row r="8" spans="1:29" s="115" customFormat="1" ht="15.75" thickBot="1">
      <c r="A8" s="406" t="s">
        <v>2545</v>
      </c>
      <c r="B8" s="407"/>
      <c r="C8" s="412" t="s">
        <v>2647</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245" t="s">
        <v>2547</v>
      </c>
      <c r="Q8" s="3156"/>
      <c r="R8" s="767" t="s">
        <v>17</v>
      </c>
      <c r="S8" s="768">
        <f t="shared" si="0"/>
        <v>0</v>
      </c>
      <c r="T8" s="767" t="s">
        <v>17</v>
      </c>
      <c r="U8" s="768">
        <f t="shared" si="1"/>
        <v>0</v>
      </c>
      <c r="V8" s="767" t="s">
        <v>17</v>
      </c>
      <c r="W8" s="768">
        <f t="shared" si="2"/>
        <v>0</v>
      </c>
      <c r="X8" s="769"/>
      <c r="Y8" s="3155" t="s">
        <v>2547</v>
      </c>
      <c r="Z8" s="3156"/>
      <c r="AA8" s="770" t="e">
        <f t="shared" ref="AA8:AA47" si="3">D8/F8</f>
        <v>#DIV/0!</v>
      </c>
      <c r="AB8" s="770" t="e">
        <f t="shared" ref="AB8:AB47" si="4">D8/H8</f>
        <v>#DIV/0!</v>
      </c>
      <c r="AC8" s="2651" t="e">
        <f t="shared" ref="AC8:AC47" si="5">D8/J8</f>
        <v>#DIV/0!</v>
      </c>
    </row>
    <row r="9" spans="1:29" s="115" customFormat="1">
      <c r="A9" s="413" t="s">
        <v>2548</v>
      </c>
      <c r="B9" s="71" t="s">
        <v>2549</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170" t="s">
        <v>2550</v>
      </c>
      <c r="Q9" s="1781" t="str">
        <f t="shared" ref="Q9:Q15" si="6">B9</f>
        <v>用途</v>
      </c>
      <c r="R9" s="767" t="s">
        <v>17</v>
      </c>
      <c r="S9" s="768">
        <f t="shared" si="0"/>
        <v>100</v>
      </c>
      <c r="T9" s="767" t="s">
        <v>17</v>
      </c>
      <c r="U9" s="768">
        <f t="shared" si="1"/>
        <v>100</v>
      </c>
      <c r="V9" s="767" t="s">
        <v>17</v>
      </c>
      <c r="W9" s="768">
        <f t="shared" si="2"/>
        <v>100</v>
      </c>
      <c r="X9" s="769"/>
      <c r="Y9" s="3029" t="s">
        <v>2551</v>
      </c>
      <c r="Z9" s="55" t="str">
        <f t="shared" ref="Z9:Z15" si="7">Q9</f>
        <v>用途</v>
      </c>
      <c r="AA9" s="770">
        <f t="shared" si="3"/>
        <v>1</v>
      </c>
      <c r="AB9" s="770">
        <f t="shared" si="4"/>
        <v>1</v>
      </c>
      <c r="AC9" s="2651">
        <f t="shared" si="5"/>
        <v>1</v>
      </c>
    </row>
    <row r="10" spans="1:29" s="425" customFormat="1" ht="27">
      <c r="A10" s="419"/>
      <c r="B10" s="420" t="s">
        <v>2552</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170"/>
      <c r="Q10" s="1781"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2651">
        <f t="shared" si="5"/>
        <v>1</v>
      </c>
    </row>
    <row r="11" spans="1:29" ht="15">
      <c r="A11" s="426"/>
      <c r="B11" s="420" t="s">
        <v>2553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170"/>
      <c r="Q11" s="1781"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2651" t="e">
        <f t="shared" si="5"/>
        <v>#N/A</v>
      </c>
    </row>
    <row r="12" spans="1:29" s="115" customFormat="1" ht="15">
      <c r="A12" s="429"/>
      <c r="B12" s="2583">
        <v>111</v>
      </c>
      <c r="C12" s="430"/>
      <c r="D12" s="431">
        <v>100</v>
      </c>
      <c r="E12" s="430"/>
      <c r="F12" s="134">
        <f>SUMIF(71:71,E12,72:72)-SUMIF(71:71,C12,72:72)+100</f>
        <v>100</v>
      </c>
      <c r="G12" s="2652"/>
      <c r="H12" s="134">
        <f>SUMIF(71:71,G12,72:72)-SUMIF(71:71,C12,72:72)+100</f>
        <v>100</v>
      </c>
      <c r="I12" s="430"/>
      <c r="J12" s="134">
        <f>SUMIF(71:71,I12,72:72)-SUMIF(71:71,C12,72:72)+100</f>
        <v>100</v>
      </c>
      <c r="K12" s="611"/>
      <c r="L12" s="1125"/>
      <c r="M12" s="1126"/>
      <c r="N12" s="1126"/>
      <c r="O12" s="1126"/>
      <c r="P12" s="3170"/>
      <c r="Q12" s="1781">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2651">
        <f>D12/J12</f>
        <v>1</v>
      </c>
    </row>
    <row r="13" spans="1:29" ht="15">
      <c r="A13" s="426"/>
      <c r="B13" s="2583">
        <v>111</v>
      </c>
      <c r="C13" s="432"/>
      <c r="D13" s="433">
        <v>100</v>
      </c>
      <c r="E13" s="430"/>
      <c r="F13" s="134">
        <f>SUMIF(73:73,E13,74:74)-SUMIF(73:73,C13,74:74)+100</f>
        <v>100</v>
      </c>
      <c r="G13" s="2652"/>
      <c r="H13" s="433">
        <f>SUMIF(73:73,G13,74:74)-SUMIF(73:73,C13,74:74)+100</f>
        <v>100</v>
      </c>
      <c r="I13" s="430"/>
      <c r="J13" s="433">
        <f>SUMIF(73:73,I13,74:74)-SUMIF(73:73,C13,74:74)+100</f>
        <v>100</v>
      </c>
      <c r="K13" s="611"/>
      <c r="L13" s="1133"/>
      <c r="M13" s="1124"/>
      <c r="N13" s="1124"/>
      <c r="O13" s="1124"/>
      <c r="P13" s="3170"/>
      <c r="Q13" s="1781">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2651">
        <f t="shared" si="5"/>
        <v>1</v>
      </c>
    </row>
    <row r="14" spans="1:29" ht="15.75" thickBot="1">
      <c r="A14" s="434"/>
      <c r="B14" s="2585">
        <v>111</v>
      </c>
      <c r="C14" s="435"/>
      <c r="D14" s="436">
        <v>100</v>
      </c>
      <c r="E14" s="625"/>
      <c r="F14" s="436">
        <f>SUMIF(75:75,E14,76:76)-SUMIF(75:75,C14,76:76)+100</f>
        <v>100</v>
      </c>
      <c r="G14" s="2652"/>
      <c r="H14" s="436">
        <f>SUMIF(75:75,G14,76:76)-SUMIF(75:75,C14,76:76)+100</f>
        <v>100</v>
      </c>
      <c r="I14" s="430"/>
      <c r="J14" s="436">
        <f>SUMIF(75:75,I14,76:76)-SUMIF(75:75,C14,76:76)+100</f>
        <v>100</v>
      </c>
      <c r="K14" s="611"/>
      <c r="L14" s="1133"/>
      <c r="M14" s="1124"/>
      <c r="N14" s="1124"/>
      <c r="O14" s="1124"/>
      <c r="P14" s="3170"/>
      <c r="Q14" s="1781">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2651">
        <f t="shared" si="5"/>
        <v>1</v>
      </c>
    </row>
    <row r="15" spans="1:29" ht="71.25">
      <c r="A15" s="438" t="s">
        <v>2554</v>
      </c>
      <c r="B15" s="626" t="s">
        <v>2682</v>
      </c>
      <c r="C15" s="265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197" t="s">
        <v>2555</v>
      </c>
      <c r="Q15" s="1796" t="str">
        <f t="shared" si="6"/>
        <v>办公集聚程度</v>
      </c>
      <c r="R15" s="771" t="s">
        <v>17</v>
      </c>
      <c r="S15" s="772">
        <f t="shared" si="0"/>
        <v>100</v>
      </c>
      <c r="T15" s="771" t="s">
        <v>17</v>
      </c>
      <c r="U15" s="772">
        <f t="shared" si="1"/>
        <v>100</v>
      </c>
      <c r="V15" s="771" t="s">
        <v>17</v>
      </c>
      <c r="W15" s="772">
        <f t="shared" si="2"/>
        <v>100</v>
      </c>
      <c r="X15" s="1799"/>
      <c r="Y15" s="3190" t="s">
        <v>2555</v>
      </c>
      <c r="Z15" s="1800" t="str">
        <f t="shared" si="7"/>
        <v>办公集聚程度</v>
      </c>
      <c r="AA15" s="1797">
        <f t="shared" si="3"/>
        <v>1</v>
      </c>
      <c r="AB15" s="1797">
        <f t="shared" si="4"/>
        <v>1</v>
      </c>
      <c r="AC15" s="2654">
        <f t="shared" si="5"/>
        <v>1</v>
      </c>
    </row>
    <row r="16" spans="1:29" ht="15">
      <c r="A16" s="426"/>
      <c r="B16" s="627"/>
      <c r="C16" s="2594"/>
      <c r="D16" s="446"/>
      <c r="E16" s="445"/>
      <c r="F16" s="446"/>
      <c r="G16" s="2594"/>
      <c r="H16" s="448"/>
      <c r="I16" s="445"/>
      <c r="J16" s="446"/>
      <c r="K16" s="613"/>
      <c r="L16" s="1133"/>
      <c r="M16" s="1124"/>
      <c r="N16" s="1124"/>
      <c r="O16" s="1124"/>
      <c r="P16" s="3198"/>
      <c r="Q16" s="1796"/>
      <c r="R16" s="771"/>
      <c r="S16" s="772"/>
      <c r="T16" s="771"/>
      <c r="U16" s="772"/>
      <c r="V16" s="771"/>
      <c r="W16" s="772"/>
      <c r="X16" s="1799"/>
      <c r="Y16" s="3191"/>
      <c r="Z16" s="1800"/>
      <c r="AA16" s="1797">
        <v>1</v>
      </c>
      <c r="AB16" s="1797">
        <v>1</v>
      </c>
      <c r="AC16" s="2654">
        <v>1</v>
      </c>
    </row>
    <row r="17" spans="1:29" ht="71.25">
      <c r="A17" s="426"/>
      <c r="B17" s="628" t="s">
        <v>2094</v>
      </c>
      <c r="C17" s="265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198"/>
      <c r="Q17" s="1796" t="str">
        <f>B17</f>
        <v>交通便捷度</v>
      </c>
      <c r="R17" s="771" t="s">
        <v>17</v>
      </c>
      <c r="S17" s="772">
        <f>F17</f>
        <v>100</v>
      </c>
      <c r="T17" s="771" t="s">
        <v>17</v>
      </c>
      <c r="U17" s="772">
        <f>H17</f>
        <v>100</v>
      </c>
      <c r="V17" s="771" t="s">
        <v>17</v>
      </c>
      <c r="W17" s="772">
        <f>J17</f>
        <v>100</v>
      </c>
      <c r="X17" s="1799"/>
      <c r="Y17" s="3191"/>
      <c r="Z17" s="1800" t="str">
        <f>Q17</f>
        <v>交通便捷度</v>
      </c>
      <c r="AA17" s="1797">
        <f t="shared" si="3"/>
        <v>1</v>
      </c>
      <c r="AB17" s="1797">
        <f t="shared" si="4"/>
        <v>1</v>
      </c>
      <c r="AC17" s="2654">
        <f t="shared" si="5"/>
        <v>1</v>
      </c>
    </row>
    <row r="18" spans="1:29" ht="15">
      <c r="A18" s="426"/>
      <c r="B18" s="629"/>
      <c r="C18" s="2656"/>
      <c r="D18" s="448"/>
      <c r="E18" s="2592"/>
      <c r="F18" s="448"/>
      <c r="G18" s="2593"/>
      <c r="H18" s="446"/>
      <c r="I18" s="2593"/>
      <c r="J18" s="446"/>
      <c r="K18" s="613"/>
      <c r="L18" s="1133"/>
      <c r="M18" s="1124"/>
      <c r="N18" s="1124"/>
      <c r="O18" s="1124"/>
      <c r="P18" s="3198"/>
      <c r="Q18" s="1796"/>
      <c r="R18" s="771"/>
      <c r="S18" s="772"/>
      <c r="T18" s="771"/>
      <c r="U18" s="772"/>
      <c r="V18" s="771"/>
      <c r="W18" s="772"/>
      <c r="X18" s="1799"/>
      <c r="Y18" s="3191"/>
      <c r="Z18" s="1800"/>
      <c r="AA18" s="1797">
        <v>1</v>
      </c>
      <c r="AB18" s="1797">
        <v>1</v>
      </c>
      <c r="AC18" s="2654">
        <v>1</v>
      </c>
    </row>
    <row r="19" spans="1:29" ht="42.75">
      <c r="A19" s="426"/>
      <c r="B19" s="628" t="s">
        <v>2683</v>
      </c>
      <c r="C19" s="265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198"/>
      <c r="Q19" s="1796" t="str">
        <f>B19</f>
        <v>公共配套设施</v>
      </c>
      <c r="R19" s="771" t="s">
        <v>17</v>
      </c>
      <c r="S19" s="772">
        <f>F19</f>
        <v>100</v>
      </c>
      <c r="T19" s="771" t="s">
        <v>17</v>
      </c>
      <c r="U19" s="772">
        <f>H19</f>
        <v>100</v>
      </c>
      <c r="V19" s="771" t="s">
        <v>17</v>
      </c>
      <c r="W19" s="772">
        <f>J19</f>
        <v>100</v>
      </c>
      <c r="X19" s="1799"/>
      <c r="Y19" s="3191"/>
      <c r="Z19" s="1800" t="str">
        <f>Q19</f>
        <v>公共配套设施</v>
      </c>
      <c r="AA19" s="1797">
        <f t="shared" si="3"/>
        <v>1</v>
      </c>
      <c r="AB19" s="1797">
        <f t="shared" si="4"/>
        <v>1</v>
      </c>
      <c r="AC19" s="2654">
        <f t="shared" si="5"/>
        <v>1</v>
      </c>
    </row>
    <row r="20" spans="1:29" ht="15">
      <c r="A20" s="426"/>
      <c r="B20" s="629"/>
      <c r="C20" s="2594"/>
      <c r="D20" s="446"/>
      <c r="E20" s="2587"/>
      <c r="F20" s="446"/>
      <c r="G20" s="2588"/>
      <c r="H20" s="446"/>
      <c r="I20" s="2588"/>
      <c r="J20" s="446"/>
      <c r="K20" s="613"/>
      <c r="L20" s="1133"/>
      <c r="M20" s="1124"/>
      <c r="N20" s="1124"/>
      <c r="O20" s="1124"/>
      <c r="P20" s="3198"/>
      <c r="Q20" s="1796"/>
      <c r="R20" s="771"/>
      <c r="S20" s="772"/>
      <c r="T20" s="771"/>
      <c r="U20" s="772"/>
      <c r="V20" s="771"/>
      <c r="W20" s="772"/>
      <c r="X20" s="1799"/>
      <c r="Y20" s="3191"/>
      <c r="Z20" s="1800"/>
      <c r="AA20" s="1797">
        <v>1</v>
      </c>
      <c r="AB20" s="1797">
        <v>1</v>
      </c>
      <c r="AC20" s="2654">
        <v>1</v>
      </c>
    </row>
    <row r="21" spans="1:29" ht="28.5">
      <c r="A21" s="426"/>
      <c r="B21" s="630" t="s">
        <v>2684</v>
      </c>
      <c r="C21" s="265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198"/>
      <c r="Q21" s="1796" t="str">
        <f>B21</f>
        <v>基础设施水平</v>
      </c>
      <c r="R21" s="771" t="s">
        <v>17</v>
      </c>
      <c r="S21" s="772">
        <f>F21</f>
        <v>100</v>
      </c>
      <c r="T21" s="771" t="s">
        <v>17</v>
      </c>
      <c r="U21" s="772">
        <f>H21</f>
        <v>100</v>
      </c>
      <c r="V21" s="771" t="s">
        <v>17</v>
      </c>
      <c r="W21" s="772">
        <f>J21</f>
        <v>100</v>
      </c>
      <c r="X21" s="1799"/>
      <c r="Y21" s="3191"/>
      <c r="Z21" s="1800" t="str">
        <f>Q21</f>
        <v>基础设施水平</v>
      </c>
      <c r="AA21" s="1797">
        <f t="shared" ref="AA21" si="8">D21/F21</f>
        <v>1</v>
      </c>
      <c r="AB21" s="1797">
        <f t="shared" ref="AB21" si="9">D21/H21</f>
        <v>1</v>
      </c>
      <c r="AC21" s="2654">
        <f t="shared" ref="AC21" si="10">D21/J21</f>
        <v>1</v>
      </c>
    </row>
    <row r="22" spans="1:29" ht="15">
      <c r="A22" s="426"/>
      <c r="B22" s="630"/>
      <c r="C22" s="2656"/>
      <c r="D22" s="446"/>
      <c r="E22" s="445"/>
      <c r="F22" s="446"/>
      <c r="G22" s="2594"/>
      <c r="H22" s="446"/>
      <c r="I22" s="2594"/>
      <c r="J22" s="446"/>
      <c r="K22" s="1368"/>
      <c r="L22" s="1133"/>
      <c r="M22" s="1124"/>
      <c r="N22" s="1124"/>
      <c r="O22" s="1124"/>
      <c r="P22" s="3198"/>
      <c r="Q22" s="1796"/>
      <c r="R22" s="771"/>
      <c r="S22" s="772"/>
      <c r="T22" s="771"/>
      <c r="U22" s="772"/>
      <c r="V22" s="771"/>
      <c r="W22" s="772"/>
      <c r="X22" s="1799"/>
      <c r="Y22" s="3191"/>
      <c r="Z22" s="1800"/>
      <c r="AA22" s="1797">
        <v>1</v>
      </c>
      <c r="AB22" s="1797">
        <v>1</v>
      </c>
      <c r="AC22" s="2654">
        <v>1</v>
      </c>
    </row>
    <row r="23" spans="1:29" ht="42.75">
      <c r="A23" s="426"/>
      <c r="B23" s="628" t="s">
        <v>2685</v>
      </c>
      <c r="C23" s="265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198"/>
      <c r="Q23" s="1796" t="str">
        <f>B23</f>
        <v>环境质量</v>
      </c>
      <c r="R23" s="771" t="s">
        <v>17</v>
      </c>
      <c r="S23" s="772">
        <f>F23</f>
        <v>100</v>
      </c>
      <c r="T23" s="771" t="s">
        <v>17</v>
      </c>
      <c r="U23" s="772">
        <f>H23</f>
        <v>100</v>
      </c>
      <c r="V23" s="771" t="s">
        <v>17</v>
      </c>
      <c r="W23" s="772">
        <f>J23</f>
        <v>100</v>
      </c>
      <c r="X23" s="1799"/>
      <c r="Y23" s="3191"/>
      <c r="Z23" s="1800" t="str">
        <f>Q23</f>
        <v>环境质量</v>
      </c>
      <c r="AA23" s="1797">
        <f t="shared" si="3"/>
        <v>1</v>
      </c>
      <c r="AB23" s="1797">
        <f t="shared" si="4"/>
        <v>1</v>
      </c>
      <c r="AC23" s="2654">
        <f t="shared" si="5"/>
        <v>1</v>
      </c>
    </row>
    <row r="24" spans="1:29" ht="15">
      <c r="A24" s="426"/>
      <c r="B24" s="630"/>
      <c r="C24" s="2594"/>
      <c r="D24" s="446"/>
      <c r="E24" s="2587"/>
      <c r="F24" s="446"/>
      <c r="G24" s="2588"/>
      <c r="H24" s="446"/>
      <c r="I24" s="2588"/>
      <c r="J24" s="446"/>
      <c r="K24" s="613"/>
      <c r="L24" s="1133"/>
      <c r="M24" s="1124"/>
      <c r="N24" s="1124"/>
      <c r="O24" s="1124"/>
      <c r="P24" s="3198"/>
      <c r="Q24" s="1796"/>
      <c r="R24" s="771"/>
      <c r="S24" s="772"/>
      <c r="T24" s="771"/>
      <c r="U24" s="772"/>
      <c r="V24" s="771"/>
      <c r="W24" s="772"/>
      <c r="X24" s="1799"/>
      <c r="Y24" s="3191"/>
      <c r="Z24" s="1800"/>
      <c r="AA24" s="1797">
        <v>1</v>
      </c>
      <c r="AB24" s="1797">
        <v>1</v>
      </c>
      <c r="AC24" s="2654">
        <v>1</v>
      </c>
    </row>
    <row r="25" spans="1:29" ht="27">
      <c r="A25" s="402"/>
      <c r="B25" s="628" t="s">
        <v>2686</v>
      </c>
      <c r="C25" s="2597"/>
      <c r="D25" s="433">
        <v>100</v>
      </c>
      <c r="E25" s="432"/>
      <c r="F25" s="433">
        <f>SUMIF(87:87,E26,88:88)-SUMIF(87:87,C26,88:88)+100</f>
        <v>100</v>
      </c>
      <c r="G25" s="2597"/>
      <c r="H25" s="433">
        <f>SUMIF(87:87,G26,88:88)-SUMIF(87:87,C26,88:88)+100</f>
        <v>100</v>
      </c>
      <c r="I25" s="432"/>
      <c r="J25" s="433">
        <f>SUMIF(87:87,I26,88:88)-SUMIF(87:87,C26,88:88)+100</f>
        <v>100</v>
      </c>
      <c r="K25" s="612"/>
      <c r="L25" s="1133"/>
      <c r="M25" s="1124"/>
      <c r="N25" s="1124"/>
      <c r="O25" s="1124"/>
      <c r="P25" s="3198"/>
      <c r="Q25" s="1796" t="str">
        <f>B25</f>
        <v>毗邻道路的类型与等级</v>
      </c>
      <c r="R25" s="771" t="s">
        <v>17</v>
      </c>
      <c r="S25" s="772">
        <f>F25</f>
        <v>100</v>
      </c>
      <c r="T25" s="771" t="s">
        <v>17</v>
      </c>
      <c r="U25" s="772">
        <f>H25</f>
        <v>100</v>
      </c>
      <c r="V25" s="771" t="s">
        <v>17</v>
      </c>
      <c r="W25" s="772">
        <f>J25</f>
        <v>100</v>
      </c>
      <c r="X25" s="1799"/>
      <c r="Y25" s="3191"/>
      <c r="Z25" s="1800" t="str">
        <f>Q25</f>
        <v>毗邻道路的类型与等级</v>
      </c>
      <c r="AA25" s="1797">
        <f t="shared" si="3"/>
        <v>1</v>
      </c>
      <c r="AB25" s="1797">
        <f t="shared" si="4"/>
        <v>1</v>
      </c>
      <c r="AC25" s="2654">
        <f t="shared" si="5"/>
        <v>1</v>
      </c>
    </row>
    <row r="26" spans="1:29" ht="15">
      <c r="A26" s="402"/>
      <c r="B26" s="629"/>
      <c r="C26" s="631"/>
      <c r="D26" s="433"/>
      <c r="E26" s="614"/>
      <c r="F26" s="433"/>
      <c r="G26" s="631"/>
      <c r="H26" s="433"/>
      <c r="I26" s="614"/>
      <c r="J26" s="433"/>
      <c r="K26" s="613"/>
      <c r="L26" s="1133"/>
      <c r="M26" s="1124"/>
      <c r="N26" s="1124"/>
      <c r="O26" s="1124"/>
      <c r="P26" s="3198"/>
      <c r="Q26" s="1796"/>
      <c r="R26" s="771"/>
      <c r="S26" s="772"/>
      <c r="T26" s="771"/>
      <c r="U26" s="772"/>
      <c r="V26" s="771"/>
      <c r="W26" s="772"/>
      <c r="X26" s="1799"/>
      <c r="Y26" s="3191"/>
      <c r="Z26" s="1800"/>
      <c r="AA26" s="1797">
        <v>1</v>
      </c>
      <c r="AB26" s="1797">
        <v>1</v>
      </c>
      <c r="AC26" s="2654">
        <v>1</v>
      </c>
    </row>
    <row r="27" spans="1:29" ht="15">
      <c r="A27" s="426"/>
      <c r="B27" s="629" t="s">
        <v>2654</v>
      </c>
      <c r="C27" s="631"/>
      <c r="D27" s="433">
        <v>100</v>
      </c>
      <c r="E27" s="614"/>
      <c r="F27" s="433">
        <f>SUMIF(89:89,E27,90:90)-SUMIF(89:89,C27,90:90)+100</f>
        <v>100</v>
      </c>
      <c r="G27" s="631"/>
      <c r="H27" s="433">
        <f>SUMIF(89:89,G27,90:90)-SUMIF(89:89,C27,90:90)+100</f>
        <v>100</v>
      </c>
      <c r="I27" s="614"/>
      <c r="J27" s="433">
        <f>SUMIF(89:89,I27,90:90)-SUMIF(89:89,C27,90:90)+100</f>
        <v>100</v>
      </c>
      <c r="K27" s="610"/>
      <c r="L27" s="1133"/>
      <c r="M27" s="1124"/>
      <c r="N27" s="1124"/>
      <c r="O27" s="1124"/>
      <c r="P27" s="3198"/>
      <c r="Q27" s="1796" t="str">
        <f t="shared" ref="Q27:Q47" si="11">B27</f>
        <v>楼层</v>
      </c>
      <c r="R27" s="771" t="s">
        <v>17</v>
      </c>
      <c r="S27" s="772">
        <f>F27</f>
        <v>100</v>
      </c>
      <c r="T27" s="771" t="s">
        <v>17</v>
      </c>
      <c r="U27" s="772">
        <f>H27</f>
        <v>100</v>
      </c>
      <c r="V27" s="771" t="s">
        <v>17</v>
      </c>
      <c r="W27" s="772">
        <f>J27</f>
        <v>100</v>
      </c>
      <c r="X27" s="1799"/>
      <c r="Y27" s="3191"/>
      <c r="Z27" s="1800" t="str">
        <f>Q27</f>
        <v>楼层</v>
      </c>
      <c r="AA27" s="1797">
        <f t="shared" si="3"/>
        <v>1</v>
      </c>
      <c r="AB27" s="1797">
        <f t="shared" si="4"/>
        <v>1</v>
      </c>
      <c r="AC27" s="2654">
        <f t="shared" si="5"/>
        <v>1</v>
      </c>
    </row>
    <row r="28" spans="1:29" s="115" customFormat="1" ht="15">
      <c r="A28" s="429"/>
      <c r="B28" s="628" t="s">
        <v>2687</v>
      </c>
      <c r="C28" s="2657"/>
      <c r="D28" s="460">
        <v>100</v>
      </c>
      <c r="E28" s="2645"/>
      <c r="F28" s="460">
        <f>SUMIF(91:91,E28,92:92)-SUMIF(91:91,C28,92:92)+100</f>
        <v>100</v>
      </c>
      <c r="G28" s="2657"/>
      <c r="H28" s="460">
        <f>SUMIF(91:91,G28,92:92)-SUMIF(91:91,C28,92:92)+100</f>
        <v>100</v>
      </c>
      <c r="I28" s="2645"/>
      <c r="J28" s="460">
        <f>SUMIF(91:91,I28,92:92)-SUMIF(91:91,C28,92:92)+100</f>
        <v>100</v>
      </c>
      <c r="K28" s="610"/>
      <c r="L28" s="1125"/>
      <c r="M28" s="1126"/>
      <c r="N28" s="1126"/>
      <c r="O28" s="1126"/>
      <c r="P28" s="3198"/>
      <c r="Q28" s="1781" t="str">
        <f t="shared" si="11"/>
        <v>朝向</v>
      </c>
      <c r="R28" s="767" t="s">
        <v>17</v>
      </c>
      <c r="S28" s="768">
        <f>F28</f>
        <v>100</v>
      </c>
      <c r="T28" s="767" t="s">
        <v>17</v>
      </c>
      <c r="U28" s="768">
        <f>H28</f>
        <v>100</v>
      </c>
      <c r="V28" s="767" t="s">
        <v>17</v>
      </c>
      <c r="W28" s="768">
        <f>J28</f>
        <v>100</v>
      </c>
      <c r="X28" s="769"/>
      <c r="Y28" s="3191"/>
      <c r="Z28" s="55" t="str">
        <f>Q28</f>
        <v>朝向</v>
      </c>
      <c r="AA28" s="1797">
        <f>D28/F28</f>
        <v>1</v>
      </c>
      <c r="AB28" s="1797">
        <f>D28/H28</f>
        <v>1</v>
      </c>
      <c r="AC28" s="2654">
        <f>D28/J28</f>
        <v>1</v>
      </c>
    </row>
    <row r="29" spans="1:29" ht="15">
      <c r="A29" s="426"/>
      <c r="B29" s="2658">
        <v>111</v>
      </c>
      <c r="C29" s="2597"/>
      <c r="D29" s="433">
        <v>100</v>
      </c>
      <c r="E29" s="430"/>
      <c r="F29" s="433">
        <f>SUMIF(93:93,E29,94:94)-SUMIF(93:93,C29,94:94)+100</f>
        <v>100</v>
      </c>
      <c r="G29" s="2652"/>
      <c r="H29" s="433">
        <f>SUMIF(93:93,G29,94:94)-SUMIF(93:93,C29,94:94)+100</f>
        <v>100</v>
      </c>
      <c r="I29" s="430"/>
      <c r="J29" s="433">
        <f>SUMIF(93:93,I29,94:94)-SUMIF(93:93,C29,94:94)+100</f>
        <v>100</v>
      </c>
      <c r="K29" s="611"/>
      <c r="L29" s="1133"/>
      <c r="M29" s="1124"/>
      <c r="N29" s="1124"/>
      <c r="O29" s="1124"/>
      <c r="P29" s="3198"/>
      <c r="Q29" s="1796">
        <f t="shared" si="11"/>
        <v>111</v>
      </c>
      <c r="R29" s="771" t="s">
        <v>17</v>
      </c>
      <c r="S29" s="772">
        <f t="shared" ref="S29:S47" si="12">F29</f>
        <v>100</v>
      </c>
      <c r="T29" s="771" t="s">
        <v>17</v>
      </c>
      <c r="U29" s="772">
        <f t="shared" ref="U29:U47" si="13">H29</f>
        <v>100</v>
      </c>
      <c r="V29" s="771" t="s">
        <v>17</v>
      </c>
      <c r="W29" s="772">
        <f t="shared" ref="W29:W47" si="14">J29</f>
        <v>100</v>
      </c>
      <c r="X29" s="1799"/>
      <c r="Y29" s="3191"/>
      <c r="Z29" s="1800">
        <f t="shared" ref="Z29:Z47" si="15">Q29</f>
        <v>111</v>
      </c>
      <c r="AA29" s="1797">
        <f t="shared" si="3"/>
        <v>1</v>
      </c>
      <c r="AB29" s="1797">
        <f t="shared" si="4"/>
        <v>1</v>
      </c>
      <c r="AC29" s="2654">
        <f t="shared" si="5"/>
        <v>1</v>
      </c>
    </row>
    <row r="30" spans="1:29" ht="15">
      <c r="A30" s="426"/>
      <c r="B30" s="2658">
        <v>111</v>
      </c>
      <c r="C30" s="2597"/>
      <c r="D30" s="433">
        <v>100</v>
      </c>
      <c r="E30" s="430"/>
      <c r="F30" s="433">
        <f>SUMIF(95:95,E30,96:96)-SUMIF(95:95,C30,96:96)+100</f>
        <v>100</v>
      </c>
      <c r="G30" s="2652"/>
      <c r="H30" s="433">
        <f>SUMIF(95:95,G30,96:96)-SUMIF(95:95,C30,96:96)+100</f>
        <v>100</v>
      </c>
      <c r="I30" s="430"/>
      <c r="J30" s="433">
        <f>SUMIF(95:95,I30,96:96)-SUMIF(95:95,C30,96:96)+100</f>
        <v>100</v>
      </c>
      <c r="K30" s="611"/>
      <c r="L30" s="1133"/>
      <c r="M30" s="1124"/>
      <c r="N30" s="1124"/>
      <c r="O30" s="1124"/>
      <c r="P30" s="3198"/>
      <c r="Q30" s="1796">
        <f t="shared" si="11"/>
        <v>111</v>
      </c>
      <c r="R30" s="771" t="s">
        <v>17</v>
      </c>
      <c r="S30" s="772">
        <f t="shared" si="12"/>
        <v>100</v>
      </c>
      <c r="T30" s="771" t="s">
        <v>17</v>
      </c>
      <c r="U30" s="772">
        <f t="shared" si="13"/>
        <v>100</v>
      </c>
      <c r="V30" s="771" t="s">
        <v>17</v>
      </c>
      <c r="W30" s="772">
        <f t="shared" si="14"/>
        <v>100</v>
      </c>
      <c r="X30" s="1799"/>
      <c r="Y30" s="3191"/>
      <c r="Z30" s="1800">
        <f t="shared" si="15"/>
        <v>111</v>
      </c>
      <c r="AA30" s="1797">
        <f t="shared" si="3"/>
        <v>1</v>
      </c>
      <c r="AB30" s="1797">
        <f t="shared" si="4"/>
        <v>1</v>
      </c>
      <c r="AC30" s="2654">
        <f t="shared" si="5"/>
        <v>1</v>
      </c>
    </row>
    <row r="31" spans="1:29" ht="15">
      <c r="A31" s="426"/>
      <c r="B31" s="2658">
        <v>111</v>
      </c>
      <c r="C31" s="2597"/>
      <c r="D31" s="433">
        <v>100</v>
      </c>
      <c r="E31" s="430"/>
      <c r="F31" s="433">
        <f>SUMIF(97:97,E31,98:98)-SUMIF(97:97,C31,98:98)+100</f>
        <v>100</v>
      </c>
      <c r="G31" s="2652"/>
      <c r="H31" s="433">
        <f>SUMIF(97:97,G31,98:98)-SUMIF(97:97,C31,98:98)+100</f>
        <v>100</v>
      </c>
      <c r="I31" s="430"/>
      <c r="J31" s="433">
        <f>SUMIF(97:97,I31,98:98)-SUMIF(97:97,C31,98:98)+100</f>
        <v>100</v>
      </c>
      <c r="K31" s="611"/>
      <c r="L31" s="1133"/>
      <c r="M31" s="1124"/>
      <c r="N31" s="1124"/>
      <c r="O31" s="1124"/>
      <c r="P31" s="3198"/>
      <c r="Q31" s="1796">
        <f t="shared" si="11"/>
        <v>111</v>
      </c>
      <c r="R31" s="771" t="s">
        <v>17</v>
      </c>
      <c r="S31" s="772">
        <f t="shared" si="12"/>
        <v>100</v>
      </c>
      <c r="T31" s="771" t="s">
        <v>17</v>
      </c>
      <c r="U31" s="772">
        <f t="shared" si="13"/>
        <v>100</v>
      </c>
      <c r="V31" s="771" t="s">
        <v>17</v>
      </c>
      <c r="W31" s="772">
        <f t="shared" si="14"/>
        <v>100</v>
      </c>
      <c r="X31" s="1799"/>
      <c r="Y31" s="3191"/>
      <c r="Z31" s="1800">
        <f t="shared" si="15"/>
        <v>111</v>
      </c>
      <c r="AA31" s="1797">
        <f t="shared" si="3"/>
        <v>1</v>
      </c>
      <c r="AB31" s="1797">
        <f t="shared" si="4"/>
        <v>1</v>
      </c>
      <c r="AC31" s="2654">
        <f t="shared" si="5"/>
        <v>1</v>
      </c>
    </row>
    <row r="32" spans="1:29" ht="15.75" thickBot="1">
      <c r="A32" s="434"/>
      <c r="B32" s="632">
        <v>111</v>
      </c>
      <c r="C32" s="2598"/>
      <c r="D32" s="436">
        <v>100</v>
      </c>
      <c r="E32" s="625"/>
      <c r="F32" s="436">
        <f>SUMIF(99:99,E32,100:100)-SUMIF(99:99,C32,100:100)+100</f>
        <v>100</v>
      </c>
      <c r="G32" s="2652"/>
      <c r="H32" s="436">
        <f>SUMIF(99:99,G32,100:100)-SUMIF(99:99,C32,100:100)+100</f>
        <v>100</v>
      </c>
      <c r="I32" s="430"/>
      <c r="J32" s="436">
        <f>SUMIF(99:99,I32,100:100)-SUMIF(99:99,C32,100:100)+100</f>
        <v>100</v>
      </c>
      <c r="K32" s="611"/>
      <c r="L32" s="1133"/>
      <c r="M32" s="1124"/>
      <c r="N32" s="1124"/>
      <c r="O32" s="1124"/>
      <c r="P32" s="3198"/>
      <c r="Q32" s="1796">
        <f t="shared" si="11"/>
        <v>111</v>
      </c>
      <c r="R32" s="771" t="s">
        <v>17</v>
      </c>
      <c r="S32" s="772">
        <f t="shared" si="12"/>
        <v>100</v>
      </c>
      <c r="T32" s="771" t="s">
        <v>17</v>
      </c>
      <c r="U32" s="772">
        <f t="shared" si="13"/>
        <v>100</v>
      </c>
      <c r="V32" s="771" t="s">
        <v>17</v>
      </c>
      <c r="W32" s="772">
        <f t="shared" si="14"/>
        <v>100</v>
      </c>
      <c r="X32" s="1799"/>
      <c r="Y32" s="3191"/>
      <c r="Z32" s="1800">
        <f t="shared" si="15"/>
        <v>111</v>
      </c>
      <c r="AA32" s="1797">
        <f t="shared" si="3"/>
        <v>1</v>
      </c>
      <c r="AB32" s="1797">
        <f t="shared" si="4"/>
        <v>1</v>
      </c>
      <c r="AC32" s="2654">
        <f t="shared" si="5"/>
        <v>1</v>
      </c>
    </row>
    <row r="33" spans="1:29" ht="15">
      <c r="A33" s="438" t="s">
        <v>2558</v>
      </c>
      <c r="B33" s="71" t="s">
        <v>2688</v>
      </c>
      <c r="C33" s="2659"/>
      <c r="D33" s="465">
        <v>100</v>
      </c>
      <c r="E33" s="2659"/>
      <c r="F33" s="459">
        <f>SUMIF(101:101,E33,102:102)-SUMIF(101:101,C33,102:102)+100</f>
        <v>100</v>
      </c>
      <c r="G33" s="2659"/>
      <c r="H33" s="433">
        <f>SUMIF(101:101,G33,102:102)-SUMIF(101:101,C33,102:102)+100</f>
        <v>100</v>
      </c>
      <c r="I33" s="2659"/>
      <c r="J33" s="465">
        <f>SUMIF(101:101,I33,102:102)-SUMIF(101:101,C33,102:102)+100</f>
        <v>100</v>
      </c>
      <c r="K33" s="610"/>
      <c r="L33" s="1133"/>
      <c r="M33" s="1124"/>
      <c r="N33" s="1124"/>
      <c r="O33" s="1124"/>
      <c r="P33" s="3192" t="s">
        <v>2560</v>
      </c>
      <c r="Q33" s="1796" t="str">
        <f t="shared" si="11"/>
        <v>建筑类型</v>
      </c>
      <c r="R33" s="771" t="s">
        <v>17</v>
      </c>
      <c r="S33" s="772">
        <f t="shared" si="12"/>
        <v>100</v>
      </c>
      <c r="T33" s="771" t="s">
        <v>17</v>
      </c>
      <c r="U33" s="772">
        <f t="shared" si="13"/>
        <v>100</v>
      </c>
      <c r="V33" s="771" t="s">
        <v>17</v>
      </c>
      <c r="W33" s="772">
        <f t="shared" si="14"/>
        <v>100</v>
      </c>
      <c r="X33" s="1799"/>
      <c r="Y33" s="3195" t="s">
        <v>2560</v>
      </c>
      <c r="Z33" s="1800" t="str">
        <f t="shared" si="15"/>
        <v>建筑类型</v>
      </c>
      <c r="AA33" s="1797">
        <f t="shared" si="3"/>
        <v>1</v>
      </c>
      <c r="AB33" s="1797">
        <f t="shared" si="4"/>
        <v>1</v>
      </c>
      <c r="AC33" s="2654">
        <f t="shared" si="5"/>
        <v>1</v>
      </c>
    </row>
    <row r="34" spans="1:29" s="469" customFormat="1" ht="15">
      <c r="A34" s="466"/>
      <c r="B34" s="420" t="s">
        <v>2561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193"/>
      <c r="Q34" s="773" t="str">
        <f t="shared" si="11"/>
        <v>项目建筑规模</v>
      </c>
      <c r="R34" s="774" t="s">
        <v>17</v>
      </c>
      <c r="S34" s="775" t="e">
        <f t="shared" si="12"/>
        <v>#N/A</v>
      </c>
      <c r="T34" s="774" t="s">
        <v>17</v>
      </c>
      <c r="U34" s="775" t="e">
        <f t="shared" si="13"/>
        <v>#N/A</v>
      </c>
      <c r="V34" s="774" t="s">
        <v>17</v>
      </c>
      <c r="W34" s="775" t="e">
        <f t="shared" si="14"/>
        <v>#N/A</v>
      </c>
      <c r="X34" s="776"/>
      <c r="Y34" s="3195"/>
      <c r="Z34" s="777" t="str">
        <f t="shared" si="15"/>
        <v>项目建筑规模</v>
      </c>
      <c r="AA34" s="1797" t="e">
        <f t="shared" si="3"/>
        <v>#N/A</v>
      </c>
      <c r="AB34" s="1797" t="e">
        <f t="shared" si="4"/>
        <v>#N/A</v>
      </c>
      <c r="AC34" s="2654" t="e">
        <f t="shared" si="5"/>
        <v>#N/A</v>
      </c>
    </row>
    <row r="35" spans="1:29" ht="15">
      <c r="A35" s="470"/>
      <c r="B35" s="420" t="s">
        <v>2562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193"/>
      <c r="Q35" s="1796" t="str">
        <f t="shared" si="11"/>
        <v>建筑结构</v>
      </c>
      <c r="R35" s="771" t="s">
        <v>17</v>
      </c>
      <c r="S35" s="772">
        <f t="shared" si="12"/>
        <v>100</v>
      </c>
      <c r="T35" s="771" t="s">
        <v>17</v>
      </c>
      <c r="U35" s="772">
        <f t="shared" si="13"/>
        <v>100</v>
      </c>
      <c r="V35" s="771" t="s">
        <v>17</v>
      </c>
      <c r="W35" s="772">
        <f t="shared" si="14"/>
        <v>100</v>
      </c>
      <c r="X35" s="1799"/>
      <c r="Y35" s="3195"/>
      <c r="Z35" s="1800" t="str">
        <f t="shared" si="15"/>
        <v>建筑结构</v>
      </c>
      <c r="AA35" s="1797">
        <f t="shared" si="3"/>
        <v>1</v>
      </c>
      <c r="AB35" s="1797">
        <f t="shared" si="4"/>
        <v>1</v>
      </c>
      <c r="AC35" s="2654">
        <f t="shared" si="5"/>
        <v>1</v>
      </c>
    </row>
    <row r="36" spans="1:29" ht="15">
      <c r="A36" s="470"/>
      <c r="B36" s="420" t="s">
        <v>2656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193"/>
      <c r="Q36" s="1796" t="str">
        <f t="shared" si="11"/>
        <v>公共部分装修</v>
      </c>
      <c r="R36" s="771" t="s">
        <v>17</v>
      </c>
      <c r="S36" s="772">
        <f t="shared" si="12"/>
        <v>100</v>
      </c>
      <c r="T36" s="771" t="s">
        <v>17</v>
      </c>
      <c r="U36" s="772">
        <f t="shared" si="13"/>
        <v>100</v>
      </c>
      <c r="V36" s="771" t="s">
        <v>17</v>
      </c>
      <c r="W36" s="772">
        <f t="shared" si="14"/>
        <v>100</v>
      </c>
      <c r="X36" s="1799"/>
      <c r="Y36" s="3195"/>
      <c r="Z36" s="1800" t="str">
        <f t="shared" si="15"/>
        <v>公共部分装修</v>
      </c>
      <c r="AA36" s="1797">
        <f t="shared" si="3"/>
        <v>1</v>
      </c>
      <c r="AB36" s="1797">
        <f t="shared" si="4"/>
        <v>1</v>
      </c>
      <c r="AC36" s="2654">
        <f t="shared" si="5"/>
        <v>1</v>
      </c>
    </row>
    <row r="37" spans="1:29" ht="15">
      <c r="A37" s="470"/>
      <c r="B37" s="420" t="s">
        <v>2657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193"/>
      <c r="Q37" s="1796" t="str">
        <f t="shared" si="11"/>
        <v>成新度</v>
      </c>
      <c r="R37" s="771" t="s">
        <v>17</v>
      </c>
      <c r="S37" s="772" t="e">
        <f t="shared" si="12"/>
        <v>#N/A</v>
      </c>
      <c r="T37" s="771" t="s">
        <v>17</v>
      </c>
      <c r="U37" s="772" t="e">
        <f t="shared" si="13"/>
        <v>#N/A</v>
      </c>
      <c r="V37" s="771" t="s">
        <v>17</v>
      </c>
      <c r="W37" s="772" t="e">
        <f t="shared" si="14"/>
        <v>#N/A</v>
      </c>
      <c r="X37" s="1799"/>
      <c r="Y37" s="3195"/>
      <c r="Z37" s="1800" t="str">
        <f t="shared" si="15"/>
        <v>成新度</v>
      </c>
      <c r="AA37" s="1797" t="e">
        <f t="shared" si="3"/>
        <v>#N/A</v>
      </c>
      <c r="AB37" s="1797" t="e">
        <f t="shared" si="4"/>
        <v>#N/A</v>
      </c>
      <c r="AC37" s="2654" t="e">
        <f t="shared" si="5"/>
        <v>#N/A</v>
      </c>
    </row>
    <row r="38" spans="1:29" s="115" customFormat="1" ht="15">
      <c r="A38" s="471"/>
      <c r="B38" s="420" t="s">
        <v>2689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193"/>
      <c r="Q38" s="1781" t="str">
        <f t="shared" si="11"/>
        <v>写字楼等级</v>
      </c>
      <c r="R38" s="767" t="s">
        <v>17</v>
      </c>
      <c r="S38" s="768">
        <f t="shared" si="12"/>
        <v>100</v>
      </c>
      <c r="T38" s="767" t="s">
        <v>17</v>
      </c>
      <c r="U38" s="768">
        <f t="shared" si="13"/>
        <v>100</v>
      </c>
      <c r="V38" s="767" t="s">
        <v>17</v>
      </c>
      <c r="W38" s="768">
        <f t="shared" si="14"/>
        <v>100</v>
      </c>
      <c r="X38" s="769"/>
      <c r="Y38" s="3195"/>
      <c r="Z38" s="55" t="str">
        <f t="shared" si="15"/>
        <v>写字楼等级</v>
      </c>
      <c r="AA38" s="770">
        <f t="shared" si="3"/>
        <v>1</v>
      </c>
      <c r="AB38" s="770">
        <f t="shared" si="4"/>
        <v>1</v>
      </c>
      <c r="AC38" s="2651">
        <f t="shared" si="5"/>
        <v>1</v>
      </c>
    </row>
    <row r="39" spans="1:29" ht="15">
      <c r="A39" s="470"/>
      <c r="B39" s="420" t="s">
        <v>2690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193" t="s">
        <v>2560</v>
      </c>
      <c r="Q39" s="1796" t="str">
        <f t="shared" si="11"/>
        <v>物业管理</v>
      </c>
      <c r="R39" s="771" t="s">
        <v>17</v>
      </c>
      <c r="S39" s="772">
        <f t="shared" si="12"/>
        <v>100</v>
      </c>
      <c r="T39" s="771" t="s">
        <v>17</v>
      </c>
      <c r="U39" s="772">
        <f t="shared" si="13"/>
        <v>100</v>
      </c>
      <c r="V39" s="771" t="s">
        <v>17</v>
      </c>
      <c r="W39" s="772">
        <f t="shared" si="14"/>
        <v>100</v>
      </c>
      <c r="X39" s="1799"/>
      <c r="Y39" s="3195" t="s">
        <v>2560</v>
      </c>
      <c r="Z39" s="1800" t="str">
        <f t="shared" si="15"/>
        <v>物业管理</v>
      </c>
      <c r="AA39" s="1797">
        <f t="shared" si="3"/>
        <v>1</v>
      </c>
      <c r="AB39" s="1797">
        <f t="shared" si="4"/>
        <v>1</v>
      </c>
      <c r="AC39" s="2654">
        <f t="shared" si="5"/>
        <v>1</v>
      </c>
    </row>
    <row r="40" spans="1:29" ht="15">
      <c r="A40" s="470"/>
      <c r="B40" s="420" t="s">
        <v>2658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193"/>
      <c r="Q40" s="1796" t="str">
        <f t="shared" si="11"/>
        <v>市政基础设施</v>
      </c>
      <c r="R40" s="771" t="s">
        <v>17</v>
      </c>
      <c r="S40" s="772">
        <f t="shared" si="12"/>
        <v>100</v>
      </c>
      <c r="T40" s="771" t="s">
        <v>17</v>
      </c>
      <c r="U40" s="772">
        <f t="shared" si="13"/>
        <v>100</v>
      </c>
      <c r="V40" s="771" t="s">
        <v>17</v>
      </c>
      <c r="W40" s="772">
        <f t="shared" si="14"/>
        <v>100</v>
      </c>
      <c r="X40" s="1799"/>
      <c r="Y40" s="3195"/>
      <c r="Z40" s="1800" t="str">
        <f t="shared" si="15"/>
        <v>市政基础设施</v>
      </c>
      <c r="AA40" s="1797">
        <f t="shared" si="3"/>
        <v>1</v>
      </c>
      <c r="AB40" s="1797">
        <f t="shared" si="4"/>
        <v>1</v>
      </c>
      <c r="AC40" s="2654">
        <f t="shared" si="5"/>
        <v>1</v>
      </c>
    </row>
    <row r="41" spans="1:29" ht="15">
      <c r="A41" s="470"/>
      <c r="B41" s="420" t="s">
        <v>2660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193"/>
      <c r="Q41" s="1796" t="str">
        <f t="shared" si="11"/>
        <v>层高</v>
      </c>
      <c r="R41" s="771" t="s">
        <v>17</v>
      </c>
      <c r="S41" s="772">
        <f t="shared" si="12"/>
        <v>100</v>
      </c>
      <c r="T41" s="771" t="s">
        <v>17</v>
      </c>
      <c r="U41" s="772">
        <f t="shared" si="13"/>
        <v>100</v>
      </c>
      <c r="V41" s="771" t="s">
        <v>17</v>
      </c>
      <c r="W41" s="772">
        <f t="shared" si="14"/>
        <v>100</v>
      </c>
      <c r="X41" s="1799"/>
      <c r="Y41" s="3195"/>
      <c r="Z41" s="1800" t="str">
        <f t="shared" si="15"/>
        <v>层高</v>
      </c>
      <c r="AA41" s="1797">
        <f t="shared" si="3"/>
        <v>1</v>
      </c>
      <c r="AB41" s="1797">
        <f t="shared" si="4"/>
        <v>1</v>
      </c>
      <c r="AC41" s="2654">
        <f t="shared" si="5"/>
        <v>1</v>
      </c>
    </row>
    <row r="42" spans="1:29" s="469" customFormat="1" ht="15">
      <c r="A42" s="466"/>
      <c r="B42" s="1798" t="s">
        <v>2691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193"/>
      <c r="Q42" s="773" t="str">
        <f t="shared" si="11"/>
        <v>单套建筑面积</v>
      </c>
      <c r="R42" s="774" t="s">
        <v>17</v>
      </c>
      <c r="S42" s="775">
        <f t="shared" si="12"/>
        <v>100</v>
      </c>
      <c r="T42" s="774" t="s">
        <v>17</v>
      </c>
      <c r="U42" s="775">
        <f t="shared" si="13"/>
        <v>100</v>
      </c>
      <c r="V42" s="774" t="s">
        <v>17</v>
      </c>
      <c r="W42" s="775">
        <f t="shared" si="14"/>
        <v>100</v>
      </c>
      <c r="X42" s="776"/>
      <c r="Y42" s="3195"/>
      <c r="Z42" s="777" t="str">
        <f t="shared" si="15"/>
        <v>单套建筑面积</v>
      </c>
      <c r="AA42" s="1797">
        <f t="shared" si="3"/>
        <v>1</v>
      </c>
      <c r="AB42" s="1797">
        <f t="shared" si="4"/>
        <v>1</v>
      </c>
      <c r="AC42" s="2654">
        <f t="shared" si="5"/>
        <v>1</v>
      </c>
    </row>
    <row r="43" spans="1:29" ht="15">
      <c r="A43" s="470"/>
      <c r="B43" s="420" t="s">
        <v>2663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193"/>
      <c r="Q43" s="1796" t="str">
        <f t="shared" si="11"/>
        <v>内部装修</v>
      </c>
      <c r="R43" s="771" t="s">
        <v>17</v>
      </c>
      <c r="S43" s="772">
        <f t="shared" si="12"/>
        <v>100</v>
      </c>
      <c r="T43" s="771" t="s">
        <v>17</v>
      </c>
      <c r="U43" s="772">
        <f t="shared" si="13"/>
        <v>100</v>
      </c>
      <c r="V43" s="771" t="s">
        <v>17</v>
      </c>
      <c r="W43" s="772">
        <f t="shared" si="14"/>
        <v>100</v>
      </c>
      <c r="X43" s="1799"/>
      <c r="Y43" s="3195"/>
      <c r="Z43" s="1800" t="str">
        <f t="shared" si="15"/>
        <v>内部装修</v>
      </c>
      <c r="AA43" s="1797">
        <f t="shared" si="3"/>
        <v>1</v>
      </c>
      <c r="AB43" s="1797">
        <f t="shared" si="4"/>
        <v>1</v>
      </c>
      <c r="AC43" s="2654">
        <f t="shared" si="5"/>
        <v>1</v>
      </c>
    </row>
    <row r="44" spans="1:29" ht="15">
      <c r="A44" s="470"/>
      <c r="B44" s="420" t="s">
        <v>2571</v>
      </c>
      <c r="C44" s="458"/>
      <c r="D44" s="433">
        <v>100</v>
      </c>
      <c r="E44" s="2596"/>
      <c r="F44" s="459">
        <f>SUMIF(125:125,E44,126:126)-SUMIF(125:125,C44,126:126)+100</f>
        <v>100</v>
      </c>
      <c r="G44" s="2596"/>
      <c r="H44" s="433">
        <f>SUMIF(125:125,G44,126:126)-SUMIF(125:125,C44,126:126)+100</f>
        <v>100</v>
      </c>
      <c r="I44" s="2596"/>
      <c r="J44" s="433">
        <f>SUMIF(125:125,I44,126:126)-SUMIF(125:125,C44,126:126)+100</f>
        <v>100</v>
      </c>
      <c r="K44" s="610"/>
      <c r="L44" s="1133"/>
      <c r="M44" s="1124"/>
      <c r="N44" s="1124"/>
      <c r="O44" s="1124"/>
      <c r="P44" s="3193"/>
      <c r="Q44" s="1796" t="str">
        <f t="shared" si="11"/>
        <v>内部装修维护情况</v>
      </c>
      <c r="R44" s="771" t="s">
        <v>17</v>
      </c>
      <c r="S44" s="772">
        <f t="shared" si="12"/>
        <v>100</v>
      </c>
      <c r="T44" s="771" t="s">
        <v>17</v>
      </c>
      <c r="U44" s="772">
        <f t="shared" si="13"/>
        <v>100</v>
      </c>
      <c r="V44" s="771" t="s">
        <v>17</v>
      </c>
      <c r="W44" s="772">
        <f t="shared" si="14"/>
        <v>100</v>
      </c>
      <c r="X44" s="1799"/>
      <c r="Y44" s="3195"/>
      <c r="Z44" s="1800" t="str">
        <f t="shared" si="15"/>
        <v>内部装修维护情况</v>
      </c>
      <c r="AA44" s="1797">
        <f t="shared" si="3"/>
        <v>1</v>
      </c>
      <c r="AB44" s="1797">
        <f t="shared" si="4"/>
        <v>1</v>
      </c>
      <c r="AC44" s="2654">
        <f t="shared" si="5"/>
        <v>1</v>
      </c>
    </row>
    <row r="45" spans="1:29" s="115" customFormat="1" ht="15">
      <c r="A45" s="471"/>
      <c r="B45" s="137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193"/>
      <c r="Q45" s="1781">
        <f t="shared" si="11"/>
        <v>111</v>
      </c>
      <c r="R45" s="767" t="s">
        <v>17</v>
      </c>
      <c r="S45" s="768">
        <f t="shared" si="12"/>
        <v>100</v>
      </c>
      <c r="T45" s="767" t="s">
        <v>17</v>
      </c>
      <c r="U45" s="768">
        <f t="shared" si="13"/>
        <v>100</v>
      </c>
      <c r="V45" s="767" t="s">
        <v>17</v>
      </c>
      <c r="W45" s="768">
        <f t="shared" si="14"/>
        <v>100</v>
      </c>
      <c r="X45" s="769"/>
      <c r="Y45" s="3195"/>
      <c r="Z45" s="55">
        <f t="shared" si="15"/>
        <v>111</v>
      </c>
      <c r="AA45" s="770">
        <f t="shared" si="3"/>
        <v>1</v>
      </c>
      <c r="AB45" s="770">
        <f t="shared" si="4"/>
        <v>1</v>
      </c>
      <c r="AC45" s="2651">
        <f t="shared" si="5"/>
        <v>1</v>
      </c>
    </row>
    <row r="46" spans="1:29" ht="15">
      <c r="A46" s="470"/>
      <c r="B46" s="137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193"/>
      <c r="Q46" s="1796">
        <f t="shared" si="11"/>
        <v>111</v>
      </c>
      <c r="R46" s="771" t="s">
        <v>17</v>
      </c>
      <c r="S46" s="772">
        <f t="shared" si="12"/>
        <v>100</v>
      </c>
      <c r="T46" s="771" t="s">
        <v>17</v>
      </c>
      <c r="U46" s="772">
        <f t="shared" si="13"/>
        <v>100</v>
      </c>
      <c r="V46" s="771" t="s">
        <v>17</v>
      </c>
      <c r="W46" s="772">
        <f t="shared" si="14"/>
        <v>100</v>
      </c>
      <c r="X46" s="1799"/>
      <c r="Y46" s="3195"/>
      <c r="Z46" s="1800">
        <f t="shared" si="15"/>
        <v>111</v>
      </c>
      <c r="AA46" s="1797">
        <f t="shared" si="3"/>
        <v>1</v>
      </c>
      <c r="AB46" s="1797">
        <f t="shared" si="4"/>
        <v>1</v>
      </c>
      <c r="AC46" s="2654">
        <f t="shared" si="5"/>
        <v>1</v>
      </c>
    </row>
    <row r="47" spans="1:29" ht="15.75" thickBot="1">
      <c r="A47" s="476"/>
      <c r="B47" s="258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194"/>
      <c r="Q47" s="1796">
        <f t="shared" si="11"/>
        <v>111</v>
      </c>
      <c r="R47" s="771" t="s">
        <v>17</v>
      </c>
      <c r="S47" s="772">
        <f t="shared" si="12"/>
        <v>100</v>
      </c>
      <c r="T47" s="771" t="s">
        <v>17</v>
      </c>
      <c r="U47" s="772">
        <f t="shared" si="13"/>
        <v>100</v>
      </c>
      <c r="V47" s="771" t="s">
        <v>17</v>
      </c>
      <c r="W47" s="772">
        <f t="shared" si="14"/>
        <v>100</v>
      </c>
      <c r="X47" s="1799"/>
      <c r="Y47" s="3196"/>
      <c r="Z47" s="1800">
        <f t="shared" si="15"/>
        <v>111</v>
      </c>
      <c r="AA47" s="1797">
        <f t="shared" si="3"/>
        <v>1</v>
      </c>
      <c r="AB47" s="1797">
        <f t="shared" si="4"/>
        <v>1</v>
      </c>
      <c r="AC47" s="2654">
        <f t="shared" si="5"/>
        <v>1</v>
      </c>
    </row>
    <row r="48" spans="1:29" ht="15">
      <c r="A48" s="477" t="s">
        <v>2572</v>
      </c>
      <c r="B48" s="478"/>
      <c r="C48" s="1392" t="s">
        <v>1</v>
      </c>
      <c r="D48" s="1393"/>
      <c r="E48" s="1394"/>
      <c r="F48" s="1395"/>
      <c r="G48" s="1396"/>
      <c r="H48" s="1397"/>
      <c r="I48" s="1394"/>
      <c r="J48" s="483"/>
      <c r="K48" s="780"/>
      <c r="L48" s="1136"/>
      <c r="M48" s="1124"/>
      <c r="N48" s="1124"/>
      <c r="O48" s="1124"/>
      <c r="P48" s="3170" t="str">
        <f>A48</f>
        <v>成交单价（元/平方米）</v>
      </c>
      <c r="Q48" s="3188"/>
      <c r="R48" s="3189">
        <f>E48</f>
        <v>0</v>
      </c>
      <c r="S48" s="3189"/>
      <c r="T48" s="3189">
        <f>G48</f>
        <v>0</v>
      </c>
      <c r="U48" s="3189"/>
      <c r="V48" s="3189">
        <f>I48</f>
        <v>0</v>
      </c>
      <c r="W48" s="3189"/>
      <c r="X48" s="444"/>
      <c r="Y48" s="778"/>
      <c r="Z48" s="444"/>
      <c r="AA48" s="444"/>
      <c r="AB48" s="444"/>
      <c r="AC48" s="627"/>
    </row>
    <row r="49" spans="1:29" ht="15.75" thickBot="1">
      <c r="A49" s="484" t="s">
        <v>2664</v>
      </c>
      <c r="B49" s="485"/>
      <c r="C49" s="1398" t="e">
        <f>R50</f>
        <v>#DIV/0!</v>
      </c>
      <c r="D49" s="1399"/>
      <c r="E49" s="1400" t="e">
        <f>R49</f>
        <v>#DIV/0!</v>
      </c>
      <c r="F49" s="1400"/>
      <c r="G49" s="1398" t="e">
        <f>T49</f>
        <v>#DIV/0!</v>
      </c>
      <c r="H49" s="1399"/>
      <c r="I49" s="1400" t="e">
        <f>V49</f>
        <v>#DIV/0!</v>
      </c>
      <c r="J49" s="487"/>
      <c r="K49" s="781"/>
      <c r="L49" s="1136"/>
      <c r="M49" s="1124"/>
      <c r="N49" s="1124"/>
      <c r="O49" s="1124"/>
      <c r="P49" s="3170"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4"/>
      <c r="Y49" s="444"/>
      <c r="Z49" s="444"/>
      <c r="AA49" s="444"/>
      <c r="AB49" s="444"/>
      <c r="AC49" s="627"/>
    </row>
    <row r="50" spans="1:29" ht="15.75" thickBot="1">
      <c r="A50" s="490" t="s">
        <v>2665</v>
      </c>
      <c r="B50" s="491"/>
      <c r="C50" s="1402" t="e">
        <f>R50</f>
        <v>#DIV/0!</v>
      </c>
      <c r="D50" s="1402"/>
      <c r="E50" s="1402"/>
      <c r="F50" s="1402"/>
      <c r="G50" s="1402"/>
      <c r="H50" s="1402"/>
      <c r="I50" s="1402"/>
      <c r="J50" s="492"/>
      <c r="K50" s="782"/>
      <c r="L50" s="1136"/>
      <c r="M50" s="1124"/>
      <c r="N50" s="1124"/>
      <c r="O50" s="1124"/>
      <c r="P50" s="3246" t="str">
        <f>A50</f>
        <v>估价对象XX用房的比较价值（楼面单价，元/平方米）</v>
      </c>
      <c r="Q50" s="3247"/>
      <c r="R50" s="3248" t="e">
        <f>IF(F1="售价",ROUND(AVERAGE(R49:V49),0),ROUND(AVERAGE(R49:V49),1))</f>
        <v>#DIV/0!</v>
      </c>
      <c r="S50" s="3248"/>
      <c r="T50" s="3248"/>
      <c r="U50" s="3248"/>
      <c r="V50" s="3248"/>
      <c r="W50" s="3248"/>
      <c r="X50" s="2634"/>
      <c r="Y50" s="2634"/>
      <c r="Z50" s="2634"/>
      <c r="AA50" s="2634"/>
      <c r="AB50" s="2634"/>
      <c r="AC50" s="2635"/>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2666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2667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2668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0"/>
    </row>
    <row r="56" spans="1:29" s="500" customFormat="1">
      <c r="A56" s="1138"/>
      <c r="B56" s="1139"/>
      <c r="C56" s="1143"/>
      <c r="D56" s="1138"/>
      <c r="E56" s="1138"/>
      <c r="F56" s="1138"/>
      <c r="G56" s="1138"/>
      <c r="H56" s="1138"/>
      <c r="I56" s="1138"/>
      <c r="J56" s="1138"/>
      <c r="K56" s="1141"/>
      <c r="L56" s="1142"/>
      <c r="M56" s="1138"/>
      <c r="N56" s="1138"/>
      <c r="O56" s="1138"/>
      <c r="P56" s="2660"/>
    </row>
    <row r="57" spans="1:29">
      <c r="A57" s="1137"/>
      <c r="B57" s="1139"/>
      <c r="C57" s="1143"/>
      <c r="D57" s="1137"/>
      <c r="E57" s="1137"/>
      <c r="F57" s="1137"/>
      <c r="G57" s="1137"/>
      <c r="H57" s="1137"/>
      <c r="I57" s="1137"/>
      <c r="J57" s="1137"/>
      <c r="K57" s="1098"/>
      <c r="L57" s="1099"/>
      <c r="M57" s="1137"/>
      <c r="N57" s="1137"/>
      <c r="O57" s="1137"/>
    </row>
    <row r="58" spans="1:29" ht="21.75" thickBot="1">
      <c r="A58" s="760" t="s">
        <v>2669</v>
      </c>
      <c r="B58" s="756"/>
      <c r="C58" s="761"/>
      <c r="D58" s="761"/>
      <c r="E58" s="761"/>
      <c r="F58" s="762"/>
      <c r="G58" s="762"/>
      <c r="H58" s="761"/>
      <c r="I58" s="761"/>
      <c r="J58" s="761"/>
      <c r="K58" s="763"/>
      <c r="L58" s="1154"/>
      <c r="M58" s="1152"/>
      <c r="N58" s="1152"/>
      <c r="O58" s="1152"/>
      <c r="P58" s="2661"/>
      <c r="Q58" s="502"/>
    </row>
    <row r="59" spans="1:29" s="506" customFormat="1" ht="15">
      <c r="A59" s="503" t="s">
        <v>2543</v>
      </c>
      <c r="B59" s="504"/>
      <c r="C59" s="1560" t="str">
        <f>YEAR(C7)&amp;"-"&amp;MONTH(C7)</f>
        <v>2017-11</v>
      </c>
      <c r="D59" s="1561">
        <f>EDATE(C59,-1)</f>
        <v>43009</v>
      </c>
      <c r="E59" s="1561">
        <f>EDATE(D59,-1)</f>
        <v>42979</v>
      </c>
      <c r="F59" s="1561">
        <f t="shared" ref="F59:O59" si="16">EDATE(E59,-1)</f>
        <v>42948</v>
      </c>
      <c r="G59" s="1561">
        <f t="shared" si="16"/>
        <v>42917</v>
      </c>
      <c r="H59" s="1561">
        <f t="shared" si="16"/>
        <v>42887</v>
      </c>
      <c r="I59" s="1561">
        <f t="shared" si="16"/>
        <v>42856</v>
      </c>
      <c r="J59" s="1561">
        <f t="shared" si="16"/>
        <v>42826</v>
      </c>
      <c r="K59" s="1561">
        <f t="shared" si="16"/>
        <v>42795</v>
      </c>
      <c r="L59" s="1561">
        <f t="shared" si="16"/>
        <v>42767</v>
      </c>
      <c r="M59" s="1561">
        <f t="shared" si="16"/>
        <v>42736</v>
      </c>
      <c r="N59" s="1561">
        <f t="shared" si="16"/>
        <v>42705</v>
      </c>
      <c r="O59" s="1561">
        <f t="shared" si="16"/>
        <v>42675</v>
      </c>
      <c r="P59" s="1557"/>
    </row>
    <row r="60" spans="1:29" s="115" customFormat="1" ht="15">
      <c r="A60" s="507"/>
      <c r="B60" s="508"/>
      <c r="C60" s="1559">
        <v>100</v>
      </c>
      <c r="D60" s="510"/>
      <c r="E60" s="510"/>
      <c r="F60" s="510"/>
      <c r="G60" s="510"/>
      <c r="H60" s="510"/>
      <c r="I60" s="510"/>
      <c r="J60" s="510"/>
      <c r="K60" s="510"/>
      <c r="L60" s="510"/>
      <c r="M60" s="511"/>
      <c r="N60" s="510"/>
      <c r="O60" s="511"/>
      <c r="P60" s="2662"/>
    </row>
    <row r="61" spans="1:29" s="115" customFormat="1" ht="15.75" thickBot="1">
      <c r="A61" s="513" t="s">
        <v>2580</v>
      </c>
      <c r="B61" s="514"/>
      <c r="C61" s="515"/>
      <c r="D61" s="516"/>
      <c r="E61" s="516"/>
      <c r="F61" s="516"/>
      <c r="G61" s="516"/>
      <c r="H61" s="516"/>
      <c r="I61" s="516"/>
      <c r="J61" s="516"/>
      <c r="K61" s="516"/>
      <c r="L61" s="516"/>
      <c r="M61" s="517"/>
      <c r="N61" s="516"/>
      <c r="O61" s="517"/>
      <c r="P61" s="2662"/>
      <c r="Q61" s="502"/>
    </row>
    <row r="62" spans="1:29" s="115" customFormat="1" ht="15">
      <c r="A62" s="519" t="s">
        <v>2545</v>
      </c>
      <c r="B62" s="508"/>
      <c r="C62" s="520" t="s">
        <v>2647</v>
      </c>
      <c r="D62" s="521"/>
      <c r="E62" s="521"/>
      <c r="F62" s="521"/>
      <c r="G62" s="521"/>
      <c r="H62" s="521"/>
      <c r="I62" s="521"/>
      <c r="J62" s="521"/>
      <c r="K62" s="521"/>
      <c r="L62" s="522"/>
      <c r="M62" s="523"/>
      <c r="N62" s="1144"/>
      <c r="O62" s="1144"/>
      <c r="P62" s="2663"/>
      <c r="Q62" s="502"/>
    </row>
    <row r="63" spans="1:29" s="115" customFormat="1" ht="15.75" thickBot="1">
      <c r="A63" s="519"/>
      <c r="B63" s="508"/>
      <c r="C63" s="509">
        <v>100</v>
      </c>
      <c r="D63" s="510"/>
      <c r="E63" s="510"/>
      <c r="F63" s="510"/>
      <c r="G63" s="510"/>
      <c r="H63" s="510"/>
      <c r="I63" s="510"/>
      <c r="J63" s="510"/>
      <c r="K63" s="510"/>
      <c r="L63" s="510"/>
      <c r="M63" s="512"/>
      <c r="N63" s="1144"/>
      <c r="O63" s="1144"/>
      <c r="P63" s="2662"/>
      <c r="Q63" s="502"/>
    </row>
    <row r="64" spans="1:29">
      <c r="A64" s="525" t="s">
        <v>2583</v>
      </c>
      <c r="B64" s="526" t="s">
        <v>2549</v>
      </c>
      <c r="C64" s="527">
        <f>C9</f>
        <v>0</v>
      </c>
      <c r="D64" s="528"/>
      <c r="E64" s="528"/>
      <c r="F64" s="528"/>
      <c r="G64" s="528"/>
      <c r="H64" s="528"/>
      <c r="I64" s="528"/>
      <c r="J64" s="528"/>
      <c r="K64" s="529"/>
      <c r="L64" s="530"/>
      <c r="M64" s="531"/>
      <c r="N64" s="1145"/>
      <c r="O64" s="1145"/>
      <c r="P64" s="2664"/>
      <c r="Q64" s="502"/>
    </row>
    <row r="65" spans="1:17" ht="15.75" thickBot="1">
      <c r="A65" s="532"/>
      <c r="B65" s="533"/>
      <c r="C65" s="534">
        <v>100</v>
      </c>
      <c r="D65" s="534"/>
      <c r="E65" s="534"/>
      <c r="F65" s="534"/>
      <c r="G65" s="534"/>
      <c r="H65" s="534"/>
      <c r="I65" s="534"/>
      <c r="J65" s="534"/>
      <c r="K65" s="534"/>
      <c r="L65" s="534"/>
      <c r="M65" s="535"/>
      <c r="N65" s="1146"/>
      <c r="O65" s="1146"/>
      <c r="P65" s="2664"/>
      <c r="Q65" s="502"/>
    </row>
    <row r="66" spans="1:17" ht="27.75" thickTop="1">
      <c r="A66" s="532"/>
      <c r="B66" s="536" t="s">
        <v>2552</v>
      </c>
      <c r="C66" s="537" t="s">
        <v>2584</v>
      </c>
      <c r="D66" s="537" t="s">
        <v>2585</v>
      </c>
      <c r="E66" s="537" t="s">
        <v>2586</v>
      </c>
      <c r="F66" s="537" t="s">
        <v>2587</v>
      </c>
      <c r="G66" s="537" t="s">
        <v>2588</v>
      </c>
      <c r="H66" s="537" t="s">
        <v>2589</v>
      </c>
      <c r="I66" s="537" t="s">
        <v>2590</v>
      </c>
      <c r="J66" s="537"/>
      <c r="K66" s="538"/>
      <c r="L66" s="539"/>
      <c r="M66" s="540"/>
      <c r="N66" s="1145"/>
      <c r="O66" s="1145"/>
      <c r="P66" s="266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64"/>
      <c r="Q67" s="502"/>
    </row>
    <row r="68" spans="1:17" ht="15.75" thickTop="1">
      <c r="A68" s="532"/>
      <c r="B68" s="544" t="s">
        <v>2553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64"/>
      <c r="Q68" s="502"/>
    </row>
    <row r="69" spans="1:17" ht="15">
      <c r="A69" s="532"/>
      <c r="B69" s="546"/>
      <c r="C69" s="547"/>
      <c r="D69" s="547"/>
      <c r="E69" s="547"/>
      <c r="F69" s="547"/>
      <c r="G69" s="547"/>
      <c r="H69" s="547"/>
      <c r="I69" s="547"/>
      <c r="J69" s="547"/>
      <c r="K69" s="548"/>
      <c r="L69" s="549"/>
      <c r="M69" s="550"/>
      <c r="N69" s="1145"/>
      <c r="O69" s="1145"/>
      <c r="P69" s="266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64"/>
      <c r="Q70" s="502"/>
    </row>
    <row r="71" spans="1:17" s="469" customFormat="1" ht="15.75" thickTop="1">
      <c r="A71" s="551"/>
      <c r="B71" s="536">
        <f>B12</f>
        <v>111</v>
      </c>
      <c r="C71" s="552"/>
      <c r="D71" s="552"/>
      <c r="E71" s="552"/>
      <c r="F71" s="552"/>
      <c r="G71" s="552"/>
      <c r="H71" s="553"/>
      <c r="I71" s="553"/>
      <c r="J71" s="553"/>
      <c r="K71" s="553"/>
      <c r="L71" s="554"/>
      <c r="M71" s="555"/>
      <c r="N71" s="1147"/>
      <c r="O71" s="1147"/>
      <c r="P71" s="2665"/>
      <c r="Q71" s="557"/>
    </row>
    <row r="72" spans="1:17" s="469" customFormat="1" ht="15.75" thickBot="1">
      <c r="A72" s="551"/>
      <c r="B72" s="541"/>
      <c r="C72" s="558"/>
      <c r="D72" s="534"/>
      <c r="E72" s="534"/>
      <c r="F72" s="534"/>
      <c r="G72" s="534"/>
      <c r="H72" s="534"/>
      <c r="I72" s="534"/>
      <c r="J72" s="534"/>
      <c r="K72" s="534"/>
      <c r="L72" s="534"/>
      <c r="M72" s="535"/>
      <c r="N72" s="1146"/>
      <c r="O72" s="1146"/>
      <c r="P72" s="2665"/>
      <c r="Q72" s="557"/>
    </row>
    <row r="73" spans="1:17" s="469" customFormat="1" ht="15.75" thickTop="1">
      <c r="A73" s="551"/>
      <c r="B73" s="536">
        <f>B13</f>
        <v>111</v>
      </c>
      <c r="C73" s="552"/>
      <c r="D73" s="552"/>
      <c r="E73" s="552"/>
      <c r="F73" s="552"/>
      <c r="G73" s="552"/>
      <c r="H73" s="553"/>
      <c r="I73" s="553"/>
      <c r="J73" s="553"/>
      <c r="K73" s="553"/>
      <c r="L73" s="554"/>
      <c r="M73" s="555"/>
      <c r="N73" s="1147"/>
      <c r="O73" s="1147"/>
      <c r="P73" s="2666"/>
      <c r="Q73" s="559"/>
    </row>
    <row r="74" spans="1:17" s="469" customFormat="1" ht="15.75" thickBot="1">
      <c r="A74" s="551"/>
      <c r="B74" s="541"/>
      <c r="C74" s="558"/>
      <c r="D74" s="558"/>
      <c r="E74" s="558"/>
      <c r="F74" s="558"/>
      <c r="G74" s="558"/>
      <c r="H74" s="560"/>
      <c r="I74" s="560"/>
      <c r="J74" s="560"/>
      <c r="K74" s="560"/>
      <c r="L74" s="560"/>
      <c r="M74" s="561"/>
      <c r="N74" s="1147"/>
      <c r="O74" s="1147"/>
      <c r="P74" s="2665"/>
      <c r="Q74" s="557"/>
    </row>
    <row r="75" spans="1:17" s="469" customFormat="1" ht="15.75" thickTop="1">
      <c r="A75" s="551"/>
      <c r="B75" s="544">
        <f>B14</f>
        <v>111</v>
      </c>
      <c r="C75" s="521"/>
      <c r="D75" s="521"/>
      <c r="E75" s="521"/>
      <c r="F75" s="521"/>
      <c r="G75" s="521"/>
      <c r="H75" s="562"/>
      <c r="I75" s="562"/>
      <c r="J75" s="562"/>
      <c r="K75" s="562"/>
      <c r="L75" s="563"/>
      <c r="M75" s="564"/>
      <c r="N75" s="1147"/>
      <c r="O75" s="1147"/>
      <c r="P75" s="2667"/>
      <c r="Q75" s="557"/>
    </row>
    <row r="76" spans="1:17" s="469" customFormat="1" ht="15.75" thickBot="1">
      <c r="A76" s="566"/>
      <c r="B76" s="567"/>
      <c r="C76" s="568"/>
      <c r="D76" s="568"/>
      <c r="E76" s="568"/>
      <c r="F76" s="568"/>
      <c r="G76" s="568"/>
      <c r="H76" s="569"/>
      <c r="I76" s="569"/>
      <c r="J76" s="569"/>
      <c r="K76" s="569"/>
      <c r="L76" s="569"/>
      <c r="M76" s="570"/>
      <c r="N76" s="1147"/>
      <c r="O76" s="1147"/>
      <c r="P76" s="2665"/>
      <c r="Q76" s="557"/>
    </row>
    <row r="77" spans="1:17">
      <c r="A77" s="525" t="s">
        <v>2554</v>
      </c>
      <c r="B77" s="526" t="s">
        <v>2692</v>
      </c>
      <c r="C77" s="571" t="s">
        <v>2592</v>
      </c>
      <c r="D77" s="571" t="s">
        <v>2593</v>
      </c>
      <c r="E77" s="571" t="s">
        <v>2594</v>
      </c>
      <c r="F77" s="571" t="s">
        <v>2595</v>
      </c>
      <c r="G77" s="571" t="s">
        <v>2596</v>
      </c>
      <c r="H77" s="527"/>
      <c r="I77" s="527"/>
      <c r="J77" s="527"/>
      <c r="K77" s="572"/>
      <c r="L77" s="573"/>
      <c r="M77" s="574"/>
      <c r="N77" s="1145"/>
      <c r="O77" s="1145"/>
      <c r="P77" s="266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64"/>
      <c r="Q78" s="502"/>
    </row>
    <row r="79" spans="1:17" ht="15.75" thickTop="1">
      <c r="A79" s="532"/>
      <c r="B79" s="536" t="s">
        <v>2597</v>
      </c>
      <c r="C79" s="576" t="s">
        <v>2592</v>
      </c>
      <c r="D79" s="576" t="s">
        <v>2593</v>
      </c>
      <c r="E79" s="576" t="s">
        <v>2594</v>
      </c>
      <c r="F79" s="576" t="s">
        <v>2595</v>
      </c>
      <c r="G79" s="576" t="s">
        <v>2596</v>
      </c>
      <c r="H79" s="537"/>
      <c r="I79" s="537"/>
      <c r="J79" s="537"/>
      <c r="K79" s="538"/>
      <c r="L79" s="539"/>
      <c r="M79" s="540"/>
      <c r="N79" s="1145"/>
      <c r="O79" s="1145"/>
      <c r="P79" s="266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64"/>
      <c r="Q80" s="502"/>
    </row>
    <row r="81" spans="1:17" ht="15.75" thickTop="1">
      <c r="A81" s="532"/>
      <c r="B81" s="536" t="s">
        <v>2598</v>
      </c>
      <c r="C81" s="576" t="s">
        <v>2592</v>
      </c>
      <c r="D81" s="576" t="s">
        <v>2593</v>
      </c>
      <c r="E81" s="576" t="s">
        <v>2594</v>
      </c>
      <c r="F81" s="576" t="s">
        <v>2595</v>
      </c>
      <c r="G81" s="576" t="s">
        <v>2596</v>
      </c>
      <c r="H81" s="537"/>
      <c r="I81" s="537"/>
      <c r="J81" s="537"/>
      <c r="K81" s="538"/>
      <c r="L81" s="539"/>
      <c r="M81" s="540"/>
      <c r="N81" s="1145"/>
      <c r="O81" s="1145"/>
      <c r="P81" s="266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64"/>
      <c r="Q82" s="502"/>
    </row>
    <row r="83" spans="1:17" ht="15.75" thickTop="1">
      <c r="A83" s="532"/>
      <c r="B83" s="544" t="s">
        <v>2684</v>
      </c>
      <c r="C83" s="657" t="s">
        <v>2670</v>
      </c>
      <c r="D83" s="657" t="s">
        <v>2671</v>
      </c>
      <c r="E83" s="657" t="s">
        <v>2672</v>
      </c>
      <c r="F83" s="657" t="s">
        <v>2673</v>
      </c>
      <c r="G83" s="657" t="s">
        <v>2674</v>
      </c>
      <c r="H83" s="537"/>
      <c r="I83" s="537"/>
      <c r="J83" s="537"/>
      <c r="K83" s="537"/>
      <c r="L83" s="537"/>
      <c r="M83" s="1367"/>
      <c r="N83" s="1146"/>
      <c r="O83" s="1146"/>
      <c r="P83" s="2664"/>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6"/>
      <c r="O84" s="1146"/>
      <c r="P84" s="2664"/>
      <c r="Q84" s="502"/>
    </row>
    <row r="85" spans="1:17" ht="15.75" thickTop="1">
      <c r="A85" s="532"/>
      <c r="B85" s="536" t="s">
        <v>2693</v>
      </c>
      <c r="C85" s="576" t="s">
        <v>2592</v>
      </c>
      <c r="D85" s="576" t="s">
        <v>2593</v>
      </c>
      <c r="E85" s="576" t="s">
        <v>2594</v>
      </c>
      <c r="F85" s="576" t="s">
        <v>2595</v>
      </c>
      <c r="G85" s="576" t="s">
        <v>2596</v>
      </c>
      <c r="H85" s="537"/>
      <c r="I85" s="537"/>
      <c r="J85" s="537"/>
      <c r="K85" s="538"/>
      <c r="L85" s="539"/>
      <c r="M85" s="540"/>
      <c r="N85" s="1145"/>
      <c r="O85" s="1145"/>
      <c r="P85" s="266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64"/>
      <c r="Q86" s="502"/>
    </row>
    <row r="87" spans="1:17" s="115" customFormat="1" ht="27.75" thickTop="1">
      <c r="A87" s="577"/>
      <c r="B87" s="536" t="s">
        <v>2694</v>
      </c>
      <c r="C87" s="552"/>
      <c r="D87" s="552"/>
      <c r="E87" s="552"/>
      <c r="F87" s="552"/>
      <c r="G87" s="552"/>
      <c r="H87" s="552"/>
      <c r="I87" s="552"/>
      <c r="J87" s="552"/>
      <c r="K87" s="552"/>
      <c r="L87" s="578"/>
      <c r="M87" s="579"/>
      <c r="N87" s="1144"/>
      <c r="O87" s="1144"/>
      <c r="P87" s="2664"/>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64"/>
      <c r="Q88" s="502"/>
    </row>
    <row r="89" spans="1:17" s="115" customFormat="1" ht="15.75" thickTop="1">
      <c r="A89" s="577"/>
      <c r="B89" s="536" t="str">
        <f>B27</f>
        <v>楼层</v>
      </c>
      <c r="C89" s="552"/>
      <c r="D89" s="552"/>
      <c r="E89" s="552"/>
      <c r="F89" s="2615"/>
      <c r="G89" s="552"/>
      <c r="H89" s="552"/>
      <c r="I89" s="552"/>
      <c r="J89" s="552"/>
      <c r="K89" s="552"/>
      <c r="L89" s="552"/>
      <c r="M89" s="579"/>
      <c r="N89" s="1144"/>
      <c r="O89" s="1144"/>
      <c r="P89" s="2664"/>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64"/>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6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65"/>
      <c r="Q92" s="557"/>
    </row>
    <row r="93" spans="1:17" ht="15.75" thickTop="1">
      <c r="A93" s="532"/>
      <c r="B93" s="536">
        <f>B29</f>
        <v>111</v>
      </c>
      <c r="C93" s="552"/>
      <c r="D93" s="552"/>
      <c r="E93" s="552"/>
      <c r="F93" s="552"/>
      <c r="G93" s="552"/>
      <c r="H93" s="552"/>
      <c r="I93" s="552"/>
      <c r="J93" s="552"/>
      <c r="K93" s="552"/>
      <c r="L93" s="578"/>
      <c r="M93" s="579"/>
      <c r="N93" s="1145"/>
      <c r="O93" s="1145"/>
      <c r="P93" s="2664"/>
      <c r="Q93" s="502"/>
    </row>
    <row r="94" spans="1:17" ht="15.75" thickBot="1">
      <c r="A94" s="532"/>
      <c r="B94" s="541"/>
      <c r="C94" s="558"/>
      <c r="D94" s="534"/>
      <c r="E94" s="534"/>
      <c r="F94" s="534"/>
      <c r="G94" s="534"/>
      <c r="H94" s="534"/>
      <c r="I94" s="534"/>
      <c r="J94" s="534"/>
      <c r="K94" s="534"/>
      <c r="L94" s="534"/>
      <c r="M94" s="535"/>
      <c r="N94" s="1146"/>
      <c r="O94" s="1146"/>
      <c r="P94" s="2664"/>
      <c r="Q94" s="502"/>
    </row>
    <row r="95" spans="1:17" ht="15.75" thickTop="1">
      <c r="A95" s="532"/>
      <c r="B95" s="536">
        <f>B30</f>
        <v>111</v>
      </c>
      <c r="C95" s="552"/>
      <c r="D95" s="552"/>
      <c r="E95" s="552"/>
      <c r="F95" s="552"/>
      <c r="G95" s="581"/>
      <c r="H95" s="581"/>
      <c r="I95" s="581"/>
      <c r="J95" s="581"/>
      <c r="K95" s="582"/>
      <c r="L95" s="583"/>
      <c r="M95" s="584"/>
      <c r="N95" s="1145"/>
      <c r="O95" s="1145"/>
      <c r="P95" s="2664"/>
      <c r="Q95" s="502"/>
    </row>
    <row r="96" spans="1:17" ht="15.75" thickBot="1">
      <c r="A96" s="532"/>
      <c r="B96" s="541"/>
      <c r="C96" s="558"/>
      <c r="D96" s="558"/>
      <c r="E96" s="558"/>
      <c r="F96" s="558"/>
      <c r="G96" s="534"/>
      <c r="H96" s="534"/>
      <c r="I96" s="534"/>
      <c r="J96" s="534"/>
      <c r="K96" s="534"/>
      <c r="L96" s="534"/>
      <c r="M96" s="535"/>
      <c r="N96" s="1146"/>
      <c r="O96" s="1146"/>
      <c r="P96" s="2664"/>
      <c r="Q96" s="502"/>
    </row>
    <row r="97" spans="1:17" ht="15.75" thickTop="1">
      <c r="A97" s="532"/>
      <c r="B97" s="536">
        <f>B31</f>
        <v>111</v>
      </c>
      <c r="C97" s="552"/>
      <c r="D97" s="552"/>
      <c r="E97" s="552"/>
      <c r="F97" s="552"/>
      <c r="G97" s="581"/>
      <c r="H97" s="581"/>
      <c r="I97" s="581"/>
      <c r="J97" s="581"/>
      <c r="K97" s="582"/>
      <c r="L97" s="583"/>
      <c r="M97" s="584"/>
      <c r="N97" s="1145"/>
      <c r="O97" s="1145"/>
      <c r="P97" s="2664"/>
      <c r="Q97" s="502"/>
    </row>
    <row r="98" spans="1:17" ht="15.75" thickBot="1">
      <c r="A98" s="532"/>
      <c r="B98" s="541"/>
      <c r="C98" s="558"/>
      <c r="D98" s="534"/>
      <c r="E98" s="534"/>
      <c r="F98" s="534"/>
      <c r="G98" s="534"/>
      <c r="H98" s="534"/>
      <c r="I98" s="534"/>
      <c r="J98" s="534"/>
      <c r="K98" s="534"/>
      <c r="L98" s="534"/>
      <c r="M98" s="535"/>
      <c r="N98" s="1146"/>
      <c r="O98" s="1146"/>
      <c r="P98" s="2664"/>
      <c r="Q98" s="502"/>
    </row>
    <row r="99" spans="1:17" ht="15.75" thickTop="1">
      <c r="A99" s="532"/>
      <c r="B99" s="544">
        <f>B32</f>
        <v>111</v>
      </c>
      <c r="C99" s="521"/>
      <c r="D99" s="521"/>
      <c r="E99" s="521"/>
      <c r="F99" s="521"/>
      <c r="G99" s="585"/>
      <c r="H99" s="585"/>
      <c r="I99" s="585"/>
      <c r="J99" s="585"/>
      <c r="K99" s="586"/>
      <c r="L99" s="587"/>
      <c r="M99" s="588"/>
      <c r="N99" s="1145"/>
      <c r="O99" s="1145"/>
      <c r="P99" s="2664"/>
      <c r="Q99" s="502"/>
    </row>
    <row r="100" spans="1:17" ht="15.75" thickBot="1">
      <c r="A100" s="2616"/>
      <c r="B100" s="567"/>
      <c r="C100" s="568"/>
      <c r="D100" s="568"/>
      <c r="E100" s="568"/>
      <c r="F100" s="568"/>
      <c r="G100" s="589"/>
      <c r="H100" s="589"/>
      <c r="I100" s="589"/>
      <c r="J100" s="589"/>
      <c r="K100" s="589"/>
      <c r="L100" s="589"/>
      <c r="M100" s="590"/>
      <c r="N100" s="1146"/>
      <c r="O100" s="1146"/>
      <c r="P100" s="2664"/>
      <c r="Q100" s="502"/>
    </row>
    <row r="101" spans="1:17">
      <c r="A101" s="525" t="s">
        <v>2558</v>
      </c>
      <c r="B101" s="526" t="s">
        <v>2607</v>
      </c>
      <c r="C101" s="528"/>
      <c r="D101" s="528"/>
      <c r="E101" s="528"/>
      <c r="F101" s="528"/>
      <c r="G101" s="528"/>
      <c r="H101" s="528"/>
      <c r="I101" s="528"/>
      <c r="J101" s="528"/>
      <c r="K101" s="529"/>
      <c r="L101" s="530"/>
      <c r="M101" s="531"/>
      <c r="N101" s="1145"/>
      <c r="O101" s="1145"/>
      <c r="P101" s="266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64"/>
      <c r="Q102" s="502"/>
    </row>
    <row r="103" spans="1:17" ht="15.75" thickTop="1">
      <c r="A103" s="532"/>
      <c r="B103" s="536" t="s">
        <v>2608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9" t="str">
        <f>M104&amp;"(含)"&amp;"-"&amp;P104</f>
        <v>(含)-</v>
      </c>
      <c r="N103" s="1144"/>
      <c r="O103" s="1144"/>
      <c r="P103" s="2664"/>
      <c r="Q103" s="502"/>
    </row>
    <row r="104" spans="1:17" s="469" customFormat="1">
      <c r="A104" s="591"/>
      <c r="B104" s="592"/>
      <c r="C104" s="593"/>
      <c r="D104" s="593"/>
      <c r="E104" s="593"/>
      <c r="F104" s="593"/>
      <c r="G104" s="593"/>
      <c r="H104" s="593"/>
      <c r="I104" s="593"/>
      <c r="J104" s="594"/>
      <c r="K104" s="594"/>
      <c r="L104" s="595"/>
      <c r="M104" s="596"/>
      <c r="N104" s="1147"/>
      <c r="O104" s="1147"/>
      <c r="P104" s="2665"/>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65"/>
      <c r="Q105" s="557"/>
    </row>
    <row r="106" spans="1:17" ht="15" thickTop="1">
      <c r="A106" s="597"/>
      <c r="B106" s="536" t="s">
        <v>2609</v>
      </c>
      <c r="C106" s="552"/>
      <c r="D106" s="552"/>
      <c r="E106" s="581"/>
      <c r="F106" s="581"/>
      <c r="G106" s="581"/>
      <c r="H106" s="581"/>
      <c r="I106" s="581"/>
      <c r="J106" s="581"/>
      <c r="K106" s="582"/>
      <c r="L106" s="583"/>
      <c r="M106" s="584"/>
      <c r="N106" s="1145"/>
      <c r="O106" s="1145"/>
      <c r="P106" s="266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64"/>
      <c r="Q107" s="502"/>
    </row>
    <row r="108" spans="1:17" ht="15" thickTop="1">
      <c r="A108" s="597"/>
      <c r="B108" s="536" t="s">
        <v>2611</v>
      </c>
      <c r="C108" s="552"/>
      <c r="D108" s="552"/>
      <c r="E108" s="552"/>
      <c r="F108" s="581"/>
      <c r="G108" s="581"/>
      <c r="H108" s="581"/>
      <c r="I108" s="581"/>
      <c r="J108" s="581"/>
      <c r="K108" s="582"/>
      <c r="L108" s="583"/>
      <c r="M108" s="584"/>
      <c r="N108" s="1145"/>
      <c r="O108" s="1145"/>
      <c r="P108" s="266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64"/>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4"/>
      <c r="Q110" s="502"/>
    </row>
    <row r="111" spans="1:17">
      <c r="A111" s="597"/>
      <c r="B111" s="544"/>
      <c r="C111" s="601">
        <v>0.5</v>
      </c>
      <c r="D111" s="601">
        <v>0.6</v>
      </c>
      <c r="E111" s="601">
        <v>0.7</v>
      </c>
      <c r="F111" s="601">
        <v>0.8</v>
      </c>
      <c r="G111" s="601">
        <v>0.9</v>
      </c>
      <c r="H111" s="601">
        <v>1.0001</v>
      </c>
      <c r="I111" s="620"/>
      <c r="J111" s="620"/>
      <c r="K111" s="621"/>
      <c r="L111" s="622"/>
      <c r="M111" s="623"/>
      <c r="N111" s="1145"/>
      <c r="O111" s="1145"/>
      <c r="P111" s="266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64"/>
      <c r="Q112" s="502"/>
    </row>
    <row r="113" spans="1:17" s="469" customFormat="1" ht="15" thickTop="1">
      <c r="A113" s="591"/>
      <c r="B113" s="536" t="s">
        <v>2695</v>
      </c>
      <c r="C113" s="552"/>
      <c r="D113" s="552"/>
      <c r="E113" s="552"/>
      <c r="F113" s="552"/>
      <c r="G113" s="552"/>
      <c r="H113" s="581"/>
      <c r="I113" s="581"/>
      <c r="J113" s="581"/>
      <c r="K113" s="582"/>
      <c r="L113" s="583"/>
      <c r="M113" s="584"/>
      <c r="N113" s="1147"/>
      <c r="O113" s="1147"/>
      <c r="P113" s="266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65"/>
      <c r="Q114" s="557"/>
    </row>
    <row r="115" spans="1:17" ht="15" thickTop="1">
      <c r="A115" s="597"/>
      <c r="B115" s="536" t="s">
        <v>2612</v>
      </c>
      <c r="C115" s="552"/>
      <c r="D115" s="552"/>
      <c r="E115" s="581"/>
      <c r="F115" s="581"/>
      <c r="G115" s="581"/>
      <c r="H115" s="581"/>
      <c r="I115" s="581"/>
      <c r="J115" s="581"/>
      <c r="K115" s="582"/>
      <c r="L115" s="583"/>
      <c r="M115" s="584"/>
      <c r="N115" s="1145"/>
      <c r="O115" s="1145"/>
      <c r="P115" s="266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64"/>
      <c r="Q116" s="502"/>
    </row>
    <row r="117" spans="1:17" ht="15" thickTop="1">
      <c r="A117" s="597"/>
      <c r="B117" s="536" t="s">
        <v>2613</v>
      </c>
      <c r="C117" s="552"/>
      <c r="D117" s="552"/>
      <c r="E117" s="552"/>
      <c r="F117" s="552"/>
      <c r="G117" s="552"/>
      <c r="H117" s="581"/>
      <c r="I117" s="581"/>
      <c r="J117" s="581"/>
      <c r="K117" s="582"/>
      <c r="L117" s="583"/>
      <c r="M117" s="584"/>
      <c r="N117" s="1145"/>
      <c r="O117" s="1145"/>
      <c r="P117" s="266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64"/>
      <c r="Q118" s="502"/>
    </row>
    <row r="119" spans="1:17" ht="15" thickTop="1">
      <c r="A119" s="597"/>
      <c r="B119" s="633" t="s">
        <v>2696</v>
      </c>
      <c r="C119" s="581"/>
      <c r="D119" s="581"/>
      <c r="E119" s="581"/>
      <c r="F119" s="581"/>
      <c r="G119" s="581"/>
      <c r="H119" s="581"/>
      <c r="I119" s="581"/>
      <c r="J119" s="581"/>
      <c r="K119" s="581"/>
      <c r="L119" s="2669"/>
      <c r="M119" s="2670"/>
      <c r="N119" s="1146"/>
      <c r="O119" s="1146"/>
      <c r="P119" s="2671"/>
      <c r="Q119" s="635"/>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64"/>
      <c r="Q120" s="502"/>
    </row>
    <row r="121" spans="1:17" s="469" customFormat="1" ht="15" thickTop="1">
      <c r="A121" s="591"/>
      <c r="B121" s="536" t="s">
        <v>2679</v>
      </c>
      <c r="C121" s="552"/>
      <c r="D121" s="552"/>
      <c r="E121" s="552"/>
      <c r="F121" s="581"/>
      <c r="G121" s="553"/>
      <c r="H121" s="553"/>
      <c r="I121" s="553"/>
      <c r="J121" s="553"/>
      <c r="K121" s="553"/>
      <c r="L121" s="554"/>
      <c r="M121" s="555"/>
      <c r="N121" s="1147"/>
      <c r="O121" s="1147"/>
      <c r="P121" s="2665"/>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65"/>
      <c r="Q122" s="557"/>
    </row>
    <row r="123" spans="1:17" ht="15" thickTop="1">
      <c r="A123" s="597"/>
      <c r="B123" s="536" t="s">
        <v>2615</v>
      </c>
      <c r="C123" s="552"/>
      <c r="D123" s="552"/>
      <c r="E123" s="552"/>
      <c r="F123" s="581"/>
      <c r="G123" s="581"/>
      <c r="H123" s="581"/>
      <c r="I123" s="581"/>
      <c r="J123" s="581"/>
      <c r="K123" s="582"/>
      <c r="L123" s="583"/>
      <c r="M123" s="584"/>
      <c r="N123" s="1145"/>
      <c r="O123" s="1145"/>
      <c r="P123" s="266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64"/>
      <c r="Q124" s="502"/>
    </row>
    <row r="125" spans="1:17" ht="15" thickTop="1">
      <c r="A125" s="597"/>
      <c r="B125" s="536" t="s">
        <v>2616</v>
      </c>
      <c r="C125" s="576" t="s">
        <v>2592</v>
      </c>
      <c r="D125" s="576" t="s">
        <v>2593</v>
      </c>
      <c r="E125" s="576" t="s">
        <v>2594</v>
      </c>
      <c r="F125" s="576" t="s">
        <v>2595</v>
      </c>
      <c r="G125" s="576" t="s">
        <v>2596</v>
      </c>
      <c r="H125" s="537"/>
      <c r="I125" s="537"/>
      <c r="J125" s="537"/>
      <c r="K125" s="538"/>
      <c r="L125" s="539"/>
      <c r="M125" s="540"/>
      <c r="N125" s="1145"/>
      <c r="O125" s="1145"/>
      <c r="P125" s="266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64"/>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65"/>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65"/>
      <c r="Q128" s="557"/>
    </row>
    <row r="129" spans="1:17" ht="15" thickTop="1">
      <c r="A129" s="597"/>
      <c r="B129" s="536">
        <f>B46</f>
        <v>111</v>
      </c>
      <c r="C129" s="552"/>
      <c r="D129" s="552"/>
      <c r="E129" s="552"/>
      <c r="F129" s="552"/>
      <c r="G129" s="581"/>
      <c r="H129" s="581"/>
      <c r="I129" s="581"/>
      <c r="J129" s="581"/>
      <c r="K129" s="582"/>
      <c r="L129" s="583"/>
      <c r="M129" s="584"/>
      <c r="N129" s="1145"/>
      <c r="O129" s="1145"/>
      <c r="P129" s="2664"/>
      <c r="Q129" s="502"/>
    </row>
    <row r="130" spans="1:17" ht="15.75" thickBot="1">
      <c r="A130" s="532"/>
      <c r="B130" s="541"/>
      <c r="C130" s="558"/>
      <c r="D130" s="558"/>
      <c r="E130" s="558"/>
      <c r="F130" s="558"/>
      <c r="G130" s="534"/>
      <c r="H130" s="534"/>
      <c r="I130" s="534"/>
      <c r="J130" s="534"/>
      <c r="K130" s="534"/>
      <c r="L130" s="534"/>
      <c r="M130" s="535"/>
      <c r="N130" s="1146"/>
      <c r="O130" s="1146"/>
      <c r="P130" s="2664"/>
      <c r="Q130" s="502"/>
    </row>
    <row r="131" spans="1:17" ht="15" thickTop="1">
      <c r="A131" s="597"/>
      <c r="B131" s="544">
        <f>B47</f>
        <v>111</v>
      </c>
      <c r="C131" s="521"/>
      <c r="D131" s="521"/>
      <c r="E131" s="521"/>
      <c r="F131" s="521"/>
      <c r="G131" s="585"/>
      <c r="H131" s="585"/>
      <c r="I131" s="585"/>
      <c r="J131" s="585"/>
      <c r="K131" s="521"/>
      <c r="L131" s="522"/>
      <c r="M131" s="588"/>
      <c r="N131" s="1145"/>
      <c r="O131" s="1145"/>
      <c r="P131" s="2664"/>
      <c r="Q131" s="502"/>
    </row>
    <row r="132" spans="1:17" ht="15.75" thickBot="1">
      <c r="A132" s="2616"/>
      <c r="B132" s="567"/>
      <c r="C132" s="568"/>
      <c r="D132" s="568"/>
      <c r="E132" s="568"/>
      <c r="F132" s="568"/>
      <c r="G132" s="589"/>
      <c r="H132" s="589"/>
      <c r="I132" s="589"/>
      <c r="J132" s="589"/>
      <c r="K132" s="589"/>
      <c r="L132" s="589"/>
      <c r="M132" s="590"/>
      <c r="N132" s="1146"/>
      <c r="O132" s="1146"/>
      <c r="P132" s="2664"/>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649" t="s">
        <v>2697</v>
      </c>
      <c r="C1" s="1606" t="s">
        <v>2525</v>
      </c>
      <c r="D1" s="1607"/>
      <c r="E1" s="1616"/>
      <c r="F1" s="2567"/>
      <c r="G1" s="1617" t="s">
        <v>2638</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6" customFormat="1" ht="28.5" customHeight="1" thickTop="1">
      <c r="A2" s="1603" t="s">
        <v>2322</v>
      </c>
      <c r="B2" s="1403" t="e">
        <f ca="1">IF(C2="——",ROUND(C43*D3/10000,0),ROUND(C43*D3/10000,0)-D2)</f>
        <v>#DIV/0!</v>
      </c>
      <c r="C2" s="2569"/>
      <c r="D2" s="1117" t="e">
        <f ca="1">SUMIF(INDIRECT("'"&amp;F2&amp;"'"&amp;"!A:A"),"承租人权益价值",INDIRECT("'"&amp;F2&amp;"'"&amp;"!c:c"))</f>
        <v>#REF!</v>
      </c>
      <c r="E2" s="2570" t="s">
        <v>2323</v>
      </c>
      <c r="F2" s="2571"/>
      <c r="G2" s="1118"/>
      <c r="H2" s="1118"/>
      <c r="I2" s="1118"/>
      <c r="J2" s="1118"/>
      <c r="K2" s="1118"/>
      <c r="L2" s="1121"/>
      <c r="M2" s="1122"/>
      <c r="N2" s="1122"/>
      <c r="O2" s="1122"/>
      <c r="P2" s="765"/>
      <c r="Q2" s="765"/>
      <c r="R2" s="765"/>
      <c r="S2" s="765"/>
      <c r="T2" s="765"/>
      <c r="U2" s="765"/>
      <c r="V2" s="765"/>
      <c r="W2" s="765"/>
      <c r="X2" s="765"/>
      <c r="Y2" s="765"/>
      <c r="Z2" s="765"/>
      <c r="AA2" s="765"/>
      <c r="AB2" s="765"/>
      <c r="AC2" s="779"/>
    </row>
    <row r="3" spans="1:29" s="396" customFormat="1" ht="28.5" customHeight="1" thickBot="1">
      <c r="A3" s="245" t="s">
        <v>2324</v>
      </c>
      <c r="B3" s="607" t="e">
        <f ca="1">IF(C2="——",C43,ROUND(B2*10000/D3,0))</f>
        <v>#DIV/0!</v>
      </c>
      <c r="C3" s="398" t="s">
        <v>2639</v>
      </c>
      <c r="D3" s="397">
        <f>IF(D1="",'数据-汇总表'!E3,SUMIF('数据-汇总表'!$C19:$C33,D1,'数据-汇总表'!$E19:$E33))</f>
        <v>28703.600000000002</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2640</v>
      </c>
      <c r="B4" s="400"/>
      <c r="C4" s="3171" t="s">
        <v>2641</v>
      </c>
      <c r="D4" s="3172"/>
      <c r="E4" s="3173" t="s">
        <v>2642</v>
      </c>
      <c r="F4" s="3174"/>
      <c r="G4" s="3171" t="s">
        <v>2643</v>
      </c>
      <c r="H4" s="3172"/>
      <c r="I4" s="3171" t="s">
        <v>2644</v>
      </c>
      <c r="J4" s="3172"/>
      <c r="K4" s="608" t="s">
        <v>2645</v>
      </c>
      <c r="L4" s="1123"/>
      <c r="M4" s="1124"/>
      <c r="N4" s="1124"/>
      <c r="O4" s="1124"/>
      <c r="P4" s="3175" t="s">
        <v>2646</v>
      </c>
      <c r="Q4" s="3176"/>
      <c r="R4" s="3157" t="s">
        <v>2642</v>
      </c>
      <c r="S4" s="3158"/>
      <c r="T4" s="3157" t="s">
        <v>2643</v>
      </c>
      <c r="U4" s="3158"/>
      <c r="V4" s="3183" t="s">
        <v>2644</v>
      </c>
      <c r="W4" s="3183"/>
      <c r="X4" s="1799"/>
      <c r="Y4" s="3157" t="s">
        <v>2646</v>
      </c>
      <c r="Z4" s="3158"/>
      <c r="AA4" s="3152" t="s">
        <v>2642</v>
      </c>
      <c r="AB4" s="3153" t="s">
        <v>2643</v>
      </c>
      <c r="AC4" s="3152" t="s">
        <v>2644</v>
      </c>
    </row>
    <row r="5" spans="1:29" ht="15">
      <c r="A5" s="402"/>
      <c r="B5" s="403"/>
      <c r="C5" s="3230" t="s">
        <v>2537</v>
      </c>
      <c r="D5" s="3164"/>
      <c r="E5" s="3234" t="s">
        <v>2538</v>
      </c>
      <c r="F5" s="3162"/>
      <c r="G5" s="3230" t="s">
        <v>2539</v>
      </c>
      <c r="H5" s="3164"/>
      <c r="I5" s="3230" t="s">
        <v>2540</v>
      </c>
      <c r="J5" s="3164"/>
      <c r="K5" s="608"/>
      <c r="L5" s="1123"/>
      <c r="M5" s="1124"/>
      <c r="N5" s="1124"/>
      <c r="O5" s="1124"/>
      <c r="P5" s="3177"/>
      <c r="Q5" s="3178"/>
      <c r="R5" s="3159"/>
      <c r="S5" s="3160"/>
      <c r="T5" s="3159"/>
      <c r="U5" s="3160"/>
      <c r="V5" s="3183"/>
      <c r="W5" s="3183"/>
      <c r="X5" s="1799"/>
      <c r="Y5" s="3159"/>
      <c r="Z5" s="3160"/>
      <c r="AA5" s="3153"/>
      <c r="AB5" s="3153"/>
      <c r="AC5" s="3153"/>
    </row>
    <row r="6" spans="1:29" ht="15.75" thickBot="1">
      <c r="A6" s="404"/>
      <c r="B6" s="405"/>
      <c r="C6" s="3235" t="s">
        <v>2541</v>
      </c>
      <c r="D6" s="3169"/>
      <c r="E6" s="3236" t="s">
        <v>2541</v>
      </c>
      <c r="F6" s="3166"/>
      <c r="G6" s="3235" t="s">
        <v>2541</v>
      </c>
      <c r="H6" s="3169"/>
      <c r="I6" s="3235" t="s">
        <v>2541</v>
      </c>
      <c r="J6" s="3169"/>
      <c r="K6" s="608" t="s">
        <v>2542</v>
      </c>
      <c r="L6" s="1123"/>
      <c r="M6" s="1124"/>
      <c r="N6" s="1124"/>
      <c r="O6" s="1124"/>
      <c r="P6" s="3179"/>
      <c r="Q6" s="3180"/>
      <c r="R6" s="3159"/>
      <c r="S6" s="3160"/>
      <c r="T6" s="3181"/>
      <c r="U6" s="3182"/>
      <c r="V6" s="3183"/>
      <c r="W6" s="3183"/>
      <c r="X6" s="1799"/>
      <c r="Y6" s="3181"/>
      <c r="Z6" s="3182"/>
      <c r="AA6" s="3154"/>
      <c r="AB6" s="3154"/>
      <c r="AC6" s="3154"/>
    </row>
    <row r="7" spans="1:29" s="115" customFormat="1" ht="15.75" thickBot="1">
      <c r="A7" s="406" t="s">
        <v>2543</v>
      </c>
      <c r="B7" s="407"/>
      <c r="C7" s="408">
        <f>'数据-取费表'!B2</f>
        <v>43061</v>
      </c>
      <c r="D7" s="409">
        <v>100</v>
      </c>
      <c r="E7" s="410"/>
      <c r="F7" s="411">
        <f>SUMIF(52:52,YEAR(E7)&amp;"-"&amp;MONTH(E7),53:53)</f>
        <v>0</v>
      </c>
      <c r="G7" s="410"/>
      <c r="H7" s="409">
        <f>SUMIF(52:52,YEAR(G7)&amp;"-"&amp;MONTH(G7),53:53)</f>
        <v>0</v>
      </c>
      <c r="I7" s="410"/>
      <c r="J7" s="409">
        <f>SUMIF(52:52,YEAR(I7)&amp;"-"&amp;MONTH(I7),53:53)</f>
        <v>0</v>
      </c>
      <c r="K7" s="609"/>
      <c r="L7" s="1125"/>
      <c r="M7" s="1126"/>
      <c r="N7" s="1126"/>
      <c r="O7" s="1126"/>
      <c r="P7" s="3155" t="s">
        <v>2544</v>
      </c>
      <c r="Q7" s="3184"/>
      <c r="R7" s="767" t="s">
        <v>17</v>
      </c>
      <c r="S7" s="768">
        <f t="shared" ref="S7:S15" si="0">F7</f>
        <v>0</v>
      </c>
      <c r="T7" s="767" t="s">
        <v>17</v>
      </c>
      <c r="U7" s="768">
        <f t="shared" ref="U7:U15" si="1">H7</f>
        <v>0</v>
      </c>
      <c r="V7" s="767" t="s">
        <v>17</v>
      </c>
      <c r="W7" s="768">
        <f t="shared" ref="W7:W15" si="2">J7</f>
        <v>0</v>
      </c>
      <c r="X7" s="769"/>
      <c r="Y7" s="3155" t="s">
        <v>2544</v>
      </c>
      <c r="Z7" s="3156"/>
      <c r="AA7" s="770" t="e">
        <f>D7/F7</f>
        <v>#DIV/0!</v>
      </c>
      <c r="AB7" s="770" t="e">
        <f>D7/H7</f>
        <v>#DIV/0!</v>
      </c>
      <c r="AC7" s="770" t="e">
        <f>D7/J7</f>
        <v>#DIV/0!</v>
      </c>
    </row>
    <row r="8" spans="1:29" s="115" customFormat="1" ht="15.75" thickBot="1">
      <c r="A8" s="406" t="s">
        <v>2545</v>
      </c>
      <c r="B8" s="407"/>
      <c r="C8" s="412" t="s">
        <v>2546</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155" t="s">
        <v>2547</v>
      </c>
      <c r="Q8" s="3156"/>
      <c r="R8" s="767" t="s">
        <v>17</v>
      </c>
      <c r="S8" s="768">
        <f t="shared" si="0"/>
        <v>0</v>
      </c>
      <c r="T8" s="767" t="s">
        <v>17</v>
      </c>
      <c r="U8" s="768">
        <f t="shared" si="1"/>
        <v>0</v>
      </c>
      <c r="V8" s="767" t="s">
        <v>17</v>
      </c>
      <c r="W8" s="768">
        <f t="shared" si="2"/>
        <v>0</v>
      </c>
      <c r="X8" s="769"/>
      <c r="Y8" s="3155" t="s">
        <v>2547</v>
      </c>
      <c r="Z8" s="3156"/>
      <c r="AA8" s="770" t="e">
        <f t="shared" ref="AA8:AA40" si="3">D8/F8</f>
        <v>#DIV/0!</v>
      </c>
      <c r="AB8" s="770" t="e">
        <f t="shared" ref="AB8:AB40" si="4">D8/H8</f>
        <v>#DIV/0!</v>
      </c>
      <c r="AC8" s="770" t="e">
        <f t="shared" ref="AC8:AC40" si="5">D8/J8</f>
        <v>#DIV/0!</v>
      </c>
    </row>
    <row r="9" spans="1:29" s="115" customFormat="1">
      <c r="A9" s="413" t="s">
        <v>2548</v>
      </c>
      <c r="B9" s="71" t="s">
        <v>2549</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188" t="s">
        <v>2550</v>
      </c>
      <c r="Q9" s="1781" t="str">
        <f t="shared" ref="Q9:Q15" si="6">B9</f>
        <v>用途</v>
      </c>
      <c r="R9" s="767" t="s">
        <v>17</v>
      </c>
      <c r="S9" s="768">
        <f t="shared" si="0"/>
        <v>100</v>
      </c>
      <c r="T9" s="767" t="s">
        <v>17</v>
      </c>
      <c r="U9" s="768">
        <f t="shared" si="1"/>
        <v>100</v>
      </c>
      <c r="V9" s="767" t="s">
        <v>17</v>
      </c>
      <c r="W9" s="768">
        <f t="shared" si="2"/>
        <v>100</v>
      </c>
      <c r="X9" s="769"/>
      <c r="Y9" s="3029" t="s">
        <v>2551</v>
      </c>
      <c r="Z9" s="55" t="str">
        <f t="shared" ref="Z9:Z15" si="7">Q9</f>
        <v>用途</v>
      </c>
      <c r="AA9" s="770">
        <f t="shared" si="3"/>
        <v>1</v>
      </c>
      <c r="AB9" s="770">
        <f t="shared" si="4"/>
        <v>1</v>
      </c>
      <c r="AC9" s="770">
        <f t="shared" si="5"/>
        <v>1</v>
      </c>
    </row>
    <row r="10" spans="1:29" s="425" customFormat="1" ht="27">
      <c r="A10" s="419"/>
      <c r="B10" s="420" t="s">
        <v>2552</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188"/>
      <c r="Q10" s="1781"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6"/>
      <c r="B11" s="420" t="s">
        <v>2553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188"/>
      <c r="Q11" s="1781"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29" s="115" customFormat="1" ht="15">
      <c r="A12" s="429"/>
      <c r="B12" s="2583">
        <v>111</v>
      </c>
      <c r="C12" s="430"/>
      <c r="D12" s="431">
        <v>100</v>
      </c>
      <c r="E12" s="432"/>
      <c r="F12" s="134">
        <f>SUMIF(64:64,E12,65:65)-SUMIF(64:64,C12,65:65)+100</f>
        <v>100</v>
      </c>
      <c r="G12" s="2672"/>
      <c r="H12" s="134">
        <f>SUMIF(64:64,G12,65:65)-SUMIF(64:64,C12,65:65)+100</f>
        <v>100</v>
      </c>
      <c r="I12" s="467"/>
      <c r="J12" s="134">
        <f>SUMIF(64:64,I12,65:65)-SUMIF(64:64,C12,65:65)+100</f>
        <v>100</v>
      </c>
      <c r="K12" s="611"/>
      <c r="L12" s="1125"/>
      <c r="M12" s="1126"/>
      <c r="N12" s="1126"/>
      <c r="O12" s="1127"/>
      <c r="P12" s="3188"/>
      <c r="Q12" s="1781">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6"/>
      <c r="B13" s="2583">
        <v>111</v>
      </c>
      <c r="C13" s="432"/>
      <c r="D13" s="433">
        <v>100</v>
      </c>
      <c r="E13" s="432"/>
      <c r="F13" s="134">
        <f>SUMIF(66:66,E13,67:67)-SUMIF(66:66,C13,67:67)+100</f>
        <v>100</v>
      </c>
      <c r="G13" s="2672"/>
      <c r="H13" s="433">
        <f>SUMIF(66:66,G13,67:67)-SUMIF(66:66,C13,67:67)+100</f>
        <v>100</v>
      </c>
      <c r="I13" s="467"/>
      <c r="J13" s="433">
        <f>SUMIF(66:66,I13,67:67)-SUMIF(66:66,C13,67:67)+100</f>
        <v>100</v>
      </c>
      <c r="K13" s="611"/>
      <c r="L13" s="1133"/>
      <c r="M13" s="1124"/>
      <c r="N13" s="1124"/>
      <c r="O13" s="1132"/>
      <c r="P13" s="3188"/>
      <c r="Q13" s="1781">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75" thickBot="1">
      <c r="A14" s="434"/>
      <c r="B14" s="2585">
        <v>111</v>
      </c>
      <c r="C14" s="435"/>
      <c r="D14" s="436">
        <v>100</v>
      </c>
      <c r="E14" s="435"/>
      <c r="F14" s="436">
        <f>SUMIF(68:68,E14,69:69)-SUMIF(68:68,C14,69:69)+100</f>
        <v>100</v>
      </c>
      <c r="G14" s="2672"/>
      <c r="H14" s="436">
        <f>SUMIF(68:68,G14,69:69)-SUMIF(68:68,C14,69:69)+100</f>
        <v>100</v>
      </c>
      <c r="I14" s="467"/>
      <c r="J14" s="436">
        <f>SUMIF(68:68,I14,69:69)-SUMIF(68:68,C14,69:69)+100</f>
        <v>100</v>
      </c>
      <c r="K14" s="611"/>
      <c r="L14" s="1133"/>
      <c r="M14" s="1124"/>
      <c r="N14" s="1124"/>
      <c r="O14" s="1132"/>
      <c r="P14" s="3188"/>
      <c r="Q14" s="1781">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57">
      <c r="A15" s="438" t="s">
        <v>2554</v>
      </c>
      <c r="B15" s="69" t="s">
        <v>2698</v>
      </c>
      <c r="C15" s="267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190" t="s">
        <v>2555</v>
      </c>
      <c r="Q15" s="1796" t="str">
        <f t="shared" si="6"/>
        <v>产业集聚程度</v>
      </c>
      <c r="R15" s="771" t="s">
        <v>17</v>
      </c>
      <c r="S15" s="772">
        <f t="shared" si="0"/>
        <v>100</v>
      </c>
      <c r="T15" s="771" t="s">
        <v>17</v>
      </c>
      <c r="U15" s="772">
        <f t="shared" si="1"/>
        <v>100</v>
      </c>
      <c r="V15" s="771" t="s">
        <v>17</v>
      </c>
      <c r="W15" s="772">
        <f t="shared" si="2"/>
        <v>100</v>
      </c>
      <c r="X15" s="1799"/>
      <c r="Y15" s="3190" t="s">
        <v>2555</v>
      </c>
      <c r="Z15" s="1800" t="str">
        <f t="shared" si="7"/>
        <v>产业集聚程度</v>
      </c>
      <c r="AA15" s="1797">
        <f t="shared" si="3"/>
        <v>1</v>
      </c>
      <c r="AB15" s="1797">
        <f t="shared" si="4"/>
        <v>1</v>
      </c>
      <c r="AC15" s="1797">
        <f t="shared" si="5"/>
        <v>1</v>
      </c>
    </row>
    <row r="16" spans="1:29" ht="15">
      <c r="A16" s="426"/>
      <c r="B16" s="444"/>
      <c r="C16" s="445"/>
      <c r="D16" s="446"/>
      <c r="E16" s="445"/>
      <c r="F16" s="447"/>
      <c r="G16" s="445"/>
      <c r="H16" s="448"/>
      <c r="I16" s="445"/>
      <c r="J16" s="446"/>
      <c r="K16" s="613"/>
      <c r="L16" s="1133"/>
      <c r="M16" s="1124"/>
      <c r="N16" s="1124"/>
      <c r="O16" s="1132"/>
      <c r="P16" s="3191"/>
      <c r="Q16" s="1796"/>
      <c r="R16" s="771"/>
      <c r="S16" s="772"/>
      <c r="T16" s="771"/>
      <c r="U16" s="772"/>
      <c r="V16" s="771"/>
      <c r="W16" s="772"/>
      <c r="X16" s="1799"/>
      <c r="Y16" s="3191"/>
      <c r="Z16" s="1800"/>
      <c r="AA16" s="1797">
        <v>1</v>
      </c>
      <c r="AB16" s="1797">
        <v>1</v>
      </c>
      <c r="AC16" s="1797">
        <v>1</v>
      </c>
    </row>
    <row r="17" spans="1:29" ht="85.5">
      <c r="A17" s="426"/>
      <c r="B17" s="449" t="s">
        <v>2094</v>
      </c>
      <c r="C17" s="259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191"/>
      <c r="Q17" s="1796" t="str">
        <f>B17</f>
        <v>交通便捷度</v>
      </c>
      <c r="R17" s="771" t="s">
        <v>17</v>
      </c>
      <c r="S17" s="772">
        <f>F17</f>
        <v>100</v>
      </c>
      <c r="T17" s="771" t="s">
        <v>17</v>
      </c>
      <c r="U17" s="772">
        <f>H17</f>
        <v>100</v>
      </c>
      <c r="V17" s="771" t="s">
        <v>17</v>
      </c>
      <c r="W17" s="772">
        <f>J17</f>
        <v>100</v>
      </c>
      <c r="X17" s="1799"/>
      <c r="Y17" s="3191"/>
      <c r="Z17" s="1800" t="str">
        <f>Q17</f>
        <v>交通便捷度</v>
      </c>
      <c r="AA17" s="1797">
        <f t="shared" si="3"/>
        <v>1</v>
      </c>
      <c r="AB17" s="1797">
        <f t="shared" si="4"/>
        <v>1</v>
      </c>
      <c r="AC17" s="1797">
        <f t="shared" si="5"/>
        <v>1</v>
      </c>
    </row>
    <row r="18" spans="1:29" ht="15">
      <c r="A18" s="426"/>
      <c r="B18" s="454"/>
      <c r="C18" s="2591"/>
      <c r="D18" s="448"/>
      <c r="E18" s="2593"/>
      <c r="F18" s="451"/>
      <c r="G18" s="2592"/>
      <c r="H18" s="446"/>
      <c r="I18" s="2593"/>
      <c r="J18" s="446"/>
      <c r="K18" s="613"/>
      <c r="L18" s="1133"/>
      <c r="M18" s="1124"/>
      <c r="N18" s="1124"/>
      <c r="O18" s="1132"/>
      <c r="P18" s="3191"/>
      <c r="Q18" s="1796"/>
      <c r="R18" s="771"/>
      <c r="S18" s="772"/>
      <c r="T18" s="771"/>
      <c r="U18" s="772"/>
      <c r="V18" s="771"/>
      <c r="W18" s="772"/>
      <c r="X18" s="1799"/>
      <c r="Y18" s="3191"/>
      <c r="Z18" s="1800"/>
      <c r="AA18" s="1797">
        <v>1</v>
      </c>
      <c r="AB18" s="1797">
        <v>1</v>
      </c>
      <c r="AC18" s="1797">
        <v>1</v>
      </c>
    </row>
    <row r="19" spans="1:29" ht="42.75">
      <c r="A19" s="426"/>
      <c r="B19" s="449" t="s">
        <v>2683</v>
      </c>
      <c r="C19" s="259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191"/>
      <c r="Q19" s="1796" t="str">
        <f>B19</f>
        <v>公共配套设施</v>
      </c>
      <c r="R19" s="771" t="s">
        <v>17</v>
      </c>
      <c r="S19" s="772">
        <f>F19</f>
        <v>100</v>
      </c>
      <c r="T19" s="771" t="s">
        <v>17</v>
      </c>
      <c r="U19" s="772">
        <f>H19</f>
        <v>100</v>
      </c>
      <c r="V19" s="771" t="s">
        <v>17</v>
      </c>
      <c r="W19" s="772">
        <f>J19</f>
        <v>100</v>
      </c>
      <c r="X19" s="1799"/>
      <c r="Y19" s="3191"/>
      <c r="Z19" s="1800" t="str">
        <f>Q19</f>
        <v>公共配套设施</v>
      </c>
      <c r="AA19" s="1797">
        <f t="shared" si="3"/>
        <v>1</v>
      </c>
      <c r="AB19" s="1797">
        <f t="shared" si="4"/>
        <v>1</v>
      </c>
      <c r="AC19" s="1797">
        <f t="shared" si="5"/>
        <v>1</v>
      </c>
    </row>
    <row r="20" spans="1:29" ht="15">
      <c r="A20" s="426"/>
      <c r="B20" s="454"/>
      <c r="C20" s="445"/>
      <c r="D20" s="446"/>
      <c r="E20" s="2588"/>
      <c r="F20" s="447"/>
      <c r="G20" s="2587"/>
      <c r="H20" s="446"/>
      <c r="I20" s="2588"/>
      <c r="J20" s="446"/>
      <c r="K20" s="613"/>
      <c r="L20" s="1133"/>
      <c r="M20" s="1124"/>
      <c r="N20" s="1124"/>
      <c r="O20" s="1132"/>
      <c r="P20" s="3191"/>
      <c r="Q20" s="1796"/>
      <c r="R20" s="771"/>
      <c r="S20" s="772"/>
      <c r="T20" s="771"/>
      <c r="U20" s="772"/>
      <c r="V20" s="771"/>
      <c r="W20" s="772"/>
      <c r="X20" s="1799"/>
      <c r="Y20" s="3191"/>
      <c r="Z20" s="1800"/>
      <c r="AA20" s="1797">
        <v>1</v>
      </c>
      <c r="AB20" s="1797">
        <v>1</v>
      </c>
      <c r="AC20" s="1797">
        <v>1</v>
      </c>
    </row>
    <row r="21" spans="1:29" ht="28.5">
      <c r="A21" s="426"/>
      <c r="B21" s="1369" t="s">
        <v>2684</v>
      </c>
      <c r="C21" s="259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191"/>
      <c r="Q21" s="1796" t="str">
        <f>B21</f>
        <v>基础设施水平</v>
      </c>
      <c r="R21" s="771" t="s">
        <v>17</v>
      </c>
      <c r="S21" s="772">
        <f>F21</f>
        <v>100</v>
      </c>
      <c r="T21" s="771" t="s">
        <v>17</v>
      </c>
      <c r="U21" s="772">
        <f>H21</f>
        <v>100</v>
      </c>
      <c r="V21" s="771" t="s">
        <v>17</v>
      </c>
      <c r="W21" s="772">
        <f>J21</f>
        <v>100</v>
      </c>
      <c r="X21" s="1799"/>
      <c r="Y21" s="3191"/>
      <c r="Z21" s="1800" t="str">
        <f>Q21</f>
        <v>基础设施水平</v>
      </c>
      <c r="AA21" s="1797">
        <f t="shared" ref="AA21" si="8">D21/F21</f>
        <v>1</v>
      </c>
      <c r="AB21" s="1797">
        <f t="shared" ref="AB21" si="9">D21/H21</f>
        <v>1</v>
      </c>
      <c r="AC21" s="1797">
        <f t="shared" ref="AC21" si="10">D21/J21</f>
        <v>1</v>
      </c>
    </row>
    <row r="22" spans="1:29" ht="15">
      <c r="A22" s="426"/>
      <c r="B22" s="1369"/>
      <c r="C22" s="2591"/>
      <c r="D22" s="446"/>
      <c r="E22" s="445"/>
      <c r="F22" s="447"/>
      <c r="G22" s="445"/>
      <c r="H22" s="446"/>
      <c r="I22" s="445"/>
      <c r="J22" s="446"/>
      <c r="K22" s="1368"/>
      <c r="L22" s="1133"/>
      <c r="M22" s="1124"/>
      <c r="N22" s="1124"/>
      <c r="O22" s="1132"/>
      <c r="P22" s="3191"/>
      <c r="Q22" s="1796"/>
      <c r="R22" s="771"/>
      <c r="S22" s="772"/>
      <c r="T22" s="771"/>
      <c r="U22" s="772"/>
      <c r="V22" s="771"/>
      <c r="W22" s="772"/>
      <c r="X22" s="1799"/>
      <c r="Y22" s="3191"/>
      <c r="Z22" s="1800"/>
      <c r="AA22" s="1797">
        <v>1</v>
      </c>
      <c r="AB22" s="1797">
        <v>1</v>
      </c>
      <c r="AC22" s="1797">
        <v>1</v>
      </c>
    </row>
    <row r="23" spans="1:29" ht="71.25">
      <c r="A23" s="426"/>
      <c r="B23" s="449" t="s">
        <v>2685</v>
      </c>
      <c r="C23" s="259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191"/>
      <c r="Q23" s="1796" t="str">
        <f>B23</f>
        <v>环境质量</v>
      </c>
      <c r="R23" s="771" t="s">
        <v>17</v>
      </c>
      <c r="S23" s="772">
        <f>F23</f>
        <v>100</v>
      </c>
      <c r="T23" s="771" t="s">
        <v>17</v>
      </c>
      <c r="U23" s="772">
        <f>H23</f>
        <v>100</v>
      </c>
      <c r="V23" s="771" t="s">
        <v>17</v>
      </c>
      <c r="W23" s="772">
        <f>J23</f>
        <v>100</v>
      </c>
      <c r="X23" s="1799"/>
      <c r="Y23" s="3191"/>
      <c r="Z23" s="1800" t="str">
        <f>Q23</f>
        <v>环境质量</v>
      </c>
      <c r="AA23" s="1797">
        <f t="shared" si="3"/>
        <v>1</v>
      </c>
      <c r="AB23" s="1797">
        <f t="shared" si="4"/>
        <v>1</v>
      </c>
      <c r="AC23" s="1797">
        <f t="shared" si="5"/>
        <v>1</v>
      </c>
    </row>
    <row r="24" spans="1:29" ht="15">
      <c r="A24" s="426"/>
      <c r="B24" s="1369"/>
      <c r="C24" s="445"/>
      <c r="D24" s="446"/>
      <c r="E24" s="2588"/>
      <c r="F24" s="447"/>
      <c r="G24" s="2587"/>
      <c r="H24" s="446"/>
      <c r="I24" s="2588"/>
      <c r="J24" s="446"/>
      <c r="K24" s="613"/>
      <c r="L24" s="1133"/>
      <c r="M24" s="1124"/>
      <c r="N24" s="1124"/>
      <c r="O24" s="1132"/>
      <c r="P24" s="3191"/>
      <c r="Q24" s="1796"/>
      <c r="R24" s="771"/>
      <c r="S24" s="772"/>
      <c r="T24" s="771"/>
      <c r="U24" s="772"/>
      <c r="V24" s="771"/>
      <c r="W24" s="772"/>
      <c r="X24" s="1799"/>
      <c r="Y24" s="3191"/>
      <c r="Z24" s="1800"/>
      <c r="AA24" s="1797">
        <v>1</v>
      </c>
      <c r="AB24" s="1797">
        <v>1</v>
      </c>
      <c r="AC24" s="1797">
        <v>1</v>
      </c>
    </row>
    <row r="25" spans="1:29" ht="15">
      <c r="A25" s="402"/>
      <c r="B25" s="137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191"/>
      <c r="Q25" s="1796">
        <f>B25</f>
        <v>111</v>
      </c>
      <c r="R25" s="771" t="s">
        <v>17</v>
      </c>
      <c r="S25" s="772">
        <f>F25</f>
        <v>100</v>
      </c>
      <c r="T25" s="771" t="s">
        <v>17</v>
      </c>
      <c r="U25" s="772">
        <f>H25</f>
        <v>100</v>
      </c>
      <c r="V25" s="771" t="s">
        <v>17</v>
      </c>
      <c r="W25" s="772">
        <f>J25</f>
        <v>100</v>
      </c>
      <c r="X25" s="1799"/>
      <c r="Y25" s="3191"/>
      <c r="Z25" s="1800">
        <f>Q25</f>
        <v>111</v>
      </c>
      <c r="AA25" s="1797">
        <f t="shared" si="3"/>
        <v>1</v>
      </c>
      <c r="AB25" s="1797">
        <f t="shared" si="4"/>
        <v>1</v>
      </c>
      <c r="AC25" s="1797">
        <f t="shared" si="5"/>
        <v>1</v>
      </c>
    </row>
    <row r="26" spans="1:29" ht="15">
      <c r="A26" s="426"/>
      <c r="B26" s="137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191"/>
      <c r="Q26" s="1796">
        <f t="shared" ref="Q26:Q40" si="11">B26</f>
        <v>111</v>
      </c>
      <c r="R26" s="771" t="s">
        <v>17</v>
      </c>
      <c r="S26" s="772">
        <f>F26</f>
        <v>100</v>
      </c>
      <c r="T26" s="771" t="s">
        <v>17</v>
      </c>
      <c r="U26" s="772">
        <f>H26</f>
        <v>100</v>
      </c>
      <c r="V26" s="771" t="s">
        <v>17</v>
      </c>
      <c r="W26" s="772">
        <f>J26</f>
        <v>100</v>
      </c>
      <c r="X26" s="1799"/>
      <c r="Y26" s="3191"/>
      <c r="Z26" s="1800">
        <f>Q26</f>
        <v>111</v>
      </c>
      <c r="AA26" s="1797">
        <f t="shared" si="3"/>
        <v>1</v>
      </c>
      <c r="AB26" s="1797">
        <f t="shared" si="4"/>
        <v>1</v>
      </c>
      <c r="AC26" s="1797">
        <f t="shared" si="5"/>
        <v>1</v>
      </c>
    </row>
    <row r="27" spans="1:29" s="115" customFormat="1" ht="15">
      <c r="A27" s="429"/>
      <c r="B27" s="137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191"/>
      <c r="Q27" s="1781">
        <f t="shared" si="11"/>
        <v>111</v>
      </c>
      <c r="R27" s="767" t="s">
        <v>17</v>
      </c>
      <c r="S27" s="768">
        <f>F27</f>
        <v>100</v>
      </c>
      <c r="T27" s="767" t="s">
        <v>17</v>
      </c>
      <c r="U27" s="768">
        <f>H27</f>
        <v>100</v>
      </c>
      <c r="V27" s="767" t="s">
        <v>17</v>
      </c>
      <c r="W27" s="768">
        <f>J27</f>
        <v>100</v>
      </c>
      <c r="X27" s="769"/>
      <c r="Y27" s="3191"/>
      <c r="Z27" s="55">
        <f>Q27</f>
        <v>111</v>
      </c>
      <c r="AA27" s="1797">
        <f>D27/F27</f>
        <v>1</v>
      </c>
      <c r="AB27" s="1797">
        <f>D27/H27</f>
        <v>1</v>
      </c>
      <c r="AC27" s="1797">
        <f>D27/J27</f>
        <v>1</v>
      </c>
    </row>
    <row r="28" spans="1:29" ht="15.75" thickBot="1">
      <c r="A28" s="434"/>
      <c r="B28" s="137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191"/>
      <c r="Q28" s="1796">
        <f t="shared" si="11"/>
        <v>111</v>
      </c>
      <c r="R28" s="771" t="s">
        <v>17</v>
      </c>
      <c r="S28" s="772">
        <f t="shared" ref="S28:S40" si="12">F28</f>
        <v>100</v>
      </c>
      <c r="T28" s="771" t="s">
        <v>17</v>
      </c>
      <c r="U28" s="772">
        <f t="shared" ref="U28:U40" si="13">H28</f>
        <v>100</v>
      </c>
      <c r="V28" s="771" t="s">
        <v>17</v>
      </c>
      <c r="W28" s="772">
        <f t="shared" ref="W28:W40" si="14">J28</f>
        <v>100</v>
      </c>
      <c r="X28" s="1799"/>
      <c r="Y28" s="3191"/>
      <c r="Z28" s="1800">
        <f t="shared" ref="Z28:Z40" si="15">Q28</f>
        <v>111</v>
      </c>
      <c r="AA28" s="1797">
        <f t="shared" si="3"/>
        <v>1</v>
      </c>
      <c r="AB28" s="1797">
        <f t="shared" si="4"/>
        <v>1</v>
      </c>
      <c r="AC28" s="1797">
        <f t="shared" si="5"/>
        <v>1</v>
      </c>
    </row>
    <row r="29" spans="1:29" ht="15">
      <c r="A29" s="464" t="s">
        <v>2558</v>
      </c>
      <c r="B29" s="71" t="s">
        <v>2688</v>
      </c>
      <c r="C29" s="2659"/>
      <c r="D29" s="465">
        <v>100</v>
      </c>
      <c r="E29" s="2659"/>
      <c r="F29" s="459">
        <f>SUMIF(88:88,E29,89:89)-SUMIF(88:88,C29,89:89)+100</f>
        <v>100</v>
      </c>
      <c r="G29" s="2659"/>
      <c r="H29" s="433">
        <f>SUMIF(88:88,G29,89:89)-SUMIF(88:88,C29,89:89)+100</f>
        <v>100</v>
      </c>
      <c r="I29" s="2659"/>
      <c r="J29" s="465">
        <f>SUMIF(88:88,I29,89:89)-SUMIF(88:88,C29,89:89)+100</f>
        <v>100</v>
      </c>
      <c r="K29" s="610"/>
      <c r="L29" s="1133"/>
      <c r="M29" s="1124"/>
      <c r="N29" s="1124"/>
      <c r="O29" s="1132"/>
      <c r="P29" s="3249" t="s">
        <v>2560</v>
      </c>
      <c r="Q29" s="1796" t="str">
        <f t="shared" si="11"/>
        <v>建筑类型</v>
      </c>
      <c r="R29" s="771" t="s">
        <v>17</v>
      </c>
      <c r="S29" s="772">
        <f t="shared" si="12"/>
        <v>100</v>
      </c>
      <c r="T29" s="771" t="s">
        <v>17</v>
      </c>
      <c r="U29" s="772">
        <f t="shared" si="13"/>
        <v>100</v>
      </c>
      <c r="V29" s="771" t="s">
        <v>17</v>
      </c>
      <c r="W29" s="772">
        <f t="shared" si="14"/>
        <v>100</v>
      </c>
      <c r="X29" s="1799"/>
      <c r="Y29" s="3195" t="s">
        <v>2560</v>
      </c>
      <c r="Z29" s="1800" t="str">
        <f t="shared" si="15"/>
        <v>建筑类型</v>
      </c>
      <c r="AA29" s="1797">
        <f t="shared" si="3"/>
        <v>1</v>
      </c>
      <c r="AB29" s="1797">
        <f t="shared" si="4"/>
        <v>1</v>
      </c>
      <c r="AC29" s="1797">
        <f t="shared" si="5"/>
        <v>1</v>
      </c>
    </row>
    <row r="30" spans="1:29" s="469" customFormat="1" ht="15">
      <c r="A30" s="466"/>
      <c r="B30" s="420" t="s">
        <v>2561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195"/>
      <c r="Q30" s="773" t="str">
        <f t="shared" si="11"/>
        <v>项目建筑规模</v>
      </c>
      <c r="R30" s="774" t="s">
        <v>17</v>
      </c>
      <c r="S30" s="775" t="e">
        <f t="shared" si="12"/>
        <v>#N/A</v>
      </c>
      <c r="T30" s="774" t="s">
        <v>17</v>
      </c>
      <c r="U30" s="775" t="e">
        <f t="shared" si="13"/>
        <v>#N/A</v>
      </c>
      <c r="V30" s="774" t="s">
        <v>17</v>
      </c>
      <c r="W30" s="775" t="e">
        <f t="shared" si="14"/>
        <v>#N/A</v>
      </c>
      <c r="X30" s="776"/>
      <c r="Y30" s="3195"/>
      <c r="Z30" s="777" t="str">
        <f t="shared" si="15"/>
        <v>项目建筑规模</v>
      </c>
      <c r="AA30" s="1797" t="e">
        <f t="shared" si="3"/>
        <v>#N/A</v>
      </c>
      <c r="AB30" s="1797" t="e">
        <f t="shared" si="4"/>
        <v>#N/A</v>
      </c>
      <c r="AC30" s="1797" t="e">
        <f t="shared" si="5"/>
        <v>#N/A</v>
      </c>
    </row>
    <row r="31" spans="1:29" ht="15">
      <c r="A31" s="470"/>
      <c r="B31" s="420" t="s">
        <v>2562</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195"/>
      <c r="Q31" s="1796" t="str">
        <f t="shared" si="11"/>
        <v>建筑结构</v>
      </c>
      <c r="R31" s="771" t="s">
        <v>17</v>
      </c>
      <c r="S31" s="772">
        <f t="shared" si="12"/>
        <v>100</v>
      </c>
      <c r="T31" s="771" t="s">
        <v>17</v>
      </c>
      <c r="U31" s="772">
        <f t="shared" si="13"/>
        <v>100</v>
      </c>
      <c r="V31" s="771" t="s">
        <v>17</v>
      </c>
      <c r="W31" s="772">
        <f t="shared" si="14"/>
        <v>100</v>
      </c>
      <c r="X31" s="1799"/>
      <c r="Y31" s="3195"/>
      <c r="Z31" s="1800" t="str">
        <f t="shared" si="15"/>
        <v>建筑结构</v>
      </c>
      <c r="AA31" s="1797">
        <f t="shared" si="3"/>
        <v>1</v>
      </c>
      <c r="AB31" s="1797">
        <f t="shared" si="4"/>
        <v>1</v>
      </c>
      <c r="AC31" s="1797">
        <f t="shared" si="5"/>
        <v>1</v>
      </c>
    </row>
    <row r="32" spans="1:29" ht="15">
      <c r="A32" s="470"/>
      <c r="B32" s="420" t="s">
        <v>2656</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195"/>
      <c r="Q32" s="1796" t="str">
        <f t="shared" si="11"/>
        <v>公共部分装修</v>
      </c>
      <c r="R32" s="771" t="s">
        <v>17</v>
      </c>
      <c r="S32" s="772">
        <f t="shared" si="12"/>
        <v>100</v>
      </c>
      <c r="T32" s="771" t="s">
        <v>17</v>
      </c>
      <c r="U32" s="772">
        <f t="shared" si="13"/>
        <v>100</v>
      </c>
      <c r="V32" s="771" t="s">
        <v>17</v>
      </c>
      <c r="W32" s="772">
        <f t="shared" si="14"/>
        <v>100</v>
      </c>
      <c r="X32" s="1799"/>
      <c r="Y32" s="3195"/>
      <c r="Z32" s="1800" t="str">
        <f t="shared" si="15"/>
        <v>公共部分装修</v>
      </c>
      <c r="AA32" s="1797">
        <f t="shared" si="3"/>
        <v>1</v>
      </c>
      <c r="AB32" s="1797">
        <f t="shared" si="4"/>
        <v>1</v>
      </c>
      <c r="AC32" s="1797">
        <f t="shared" si="5"/>
        <v>1</v>
      </c>
    </row>
    <row r="33" spans="1:29" ht="15">
      <c r="A33" s="470"/>
      <c r="B33" s="420" t="s">
        <v>2657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195"/>
      <c r="Q33" s="1796" t="str">
        <f t="shared" si="11"/>
        <v>成新度</v>
      </c>
      <c r="R33" s="771" t="s">
        <v>17</v>
      </c>
      <c r="S33" s="772" t="e">
        <f t="shared" si="12"/>
        <v>#N/A</v>
      </c>
      <c r="T33" s="771" t="s">
        <v>17</v>
      </c>
      <c r="U33" s="772" t="e">
        <f t="shared" si="13"/>
        <v>#N/A</v>
      </c>
      <c r="V33" s="771" t="s">
        <v>17</v>
      </c>
      <c r="W33" s="772" t="e">
        <f t="shared" si="14"/>
        <v>#N/A</v>
      </c>
      <c r="X33" s="1799"/>
      <c r="Y33" s="3195"/>
      <c r="Z33" s="1800" t="str">
        <f t="shared" si="15"/>
        <v>成新度</v>
      </c>
      <c r="AA33" s="1797" t="e">
        <f t="shared" si="3"/>
        <v>#N/A</v>
      </c>
      <c r="AB33" s="1797" t="e">
        <f t="shared" si="4"/>
        <v>#N/A</v>
      </c>
      <c r="AC33" s="1797" t="e">
        <f t="shared" si="5"/>
        <v>#N/A</v>
      </c>
    </row>
    <row r="34" spans="1:29" s="115" customFormat="1" ht="15">
      <c r="A34" s="471"/>
      <c r="B34" s="420" t="s">
        <v>2690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195"/>
      <c r="Q34" s="1781" t="str">
        <f t="shared" si="11"/>
        <v>物业管理</v>
      </c>
      <c r="R34" s="767" t="s">
        <v>17</v>
      </c>
      <c r="S34" s="768">
        <f t="shared" si="12"/>
        <v>100</v>
      </c>
      <c r="T34" s="767" t="s">
        <v>17</v>
      </c>
      <c r="U34" s="768">
        <f t="shared" si="13"/>
        <v>100</v>
      </c>
      <c r="V34" s="767" t="s">
        <v>17</v>
      </c>
      <c r="W34" s="768">
        <f t="shared" si="14"/>
        <v>100</v>
      </c>
      <c r="X34" s="769"/>
      <c r="Y34" s="3195"/>
      <c r="Z34" s="55" t="str">
        <f t="shared" si="15"/>
        <v>物业管理</v>
      </c>
      <c r="AA34" s="770">
        <f t="shared" si="3"/>
        <v>1</v>
      </c>
      <c r="AB34" s="770">
        <f t="shared" si="4"/>
        <v>1</v>
      </c>
      <c r="AC34" s="770">
        <f t="shared" si="5"/>
        <v>1</v>
      </c>
    </row>
    <row r="35" spans="1:29" ht="15">
      <c r="A35" s="470"/>
      <c r="B35" s="420" t="s">
        <v>2658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195" t="s">
        <v>2560</v>
      </c>
      <c r="Q35" s="1796" t="str">
        <f t="shared" si="11"/>
        <v>市政基础设施</v>
      </c>
      <c r="R35" s="771" t="s">
        <v>17</v>
      </c>
      <c r="S35" s="772">
        <f t="shared" si="12"/>
        <v>100</v>
      </c>
      <c r="T35" s="771" t="s">
        <v>17</v>
      </c>
      <c r="U35" s="772">
        <f t="shared" si="13"/>
        <v>100</v>
      </c>
      <c r="V35" s="771" t="s">
        <v>17</v>
      </c>
      <c r="W35" s="772">
        <f t="shared" si="14"/>
        <v>100</v>
      </c>
      <c r="X35" s="1799"/>
      <c r="Y35" s="3195" t="s">
        <v>2560</v>
      </c>
      <c r="Z35" s="1800" t="str">
        <f t="shared" si="15"/>
        <v>市政基础设施</v>
      </c>
      <c r="AA35" s="1797">
        <f t="shared" si="3"/>
        <v>1</v>
      </c>
      <c r="AB35" s="1797">
        <f t="shared" si="4"/>
        <v>1</v>
      </c>
      <c r="AC35" s="1797">
        <f t="shared" si="5"/>
        <v>1</v>
      </c>
    </row>
    <row r="36" spans="1:29" ht="15">
      <c r="A36" s="470"/>
      <c r="B36" s="420" t="s">
        <v>2663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195"/>
      <c r="Q36" s="1796" t="str">
        <f t="shared" si="11"/>
        <v>内部装修</v>
      </c>
      <c r="R36" s="771" t="s">
        <v>17</v>
      </c>
      <c r="S36" s="772">
        <f t="shared" si="12"/>
        <v>100</v>
      </c>
      <c r="T36" s="771" t="s">
        <v>17</v>
      </c>
      <c r="U36" s="772">
        <f t="shared" si="13"/>
        <v>100</v>
      </c>
      <c r="V36" s="771" t="s">
        <v>17</v>
      </c>
      <c r="W36" s="772">
        <f t="shared" si="14"/>
        <v>100</v>
      </c>
      <c r="X36" s="1799"/>
      <c r="Y36" s="3195"/>
      <c r="Z36" s="1800" t="str">
        <f t="shared" si="15"/>
        <v>内部装修</v>
      </c>
      <c r="AA36" s="1797">
        <f t="shared" si="3"/>
        <v>1</v>
      </c>
      <c r="AB36" s="1797">
        <f t="shared" si="4"/>
        <v>1</v>
      </c>
      <c r="AC36" s="1797">
        <f t="shared" si="5"/>
        <v>1</v>
      </c>
    </row>
    <row r="37" spans="1:29" ht="15">
      <c r="A37" s="470"/>
      <c r="B37" s="420" t="s">
        <v>2699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195"/>
      <c r="Q37" s="1796" t="str">
        <f t="shared" si="11"/>
        <v>内部装修状况</v>
      </c>
      <c r="R37" s="771" t="s">
        <v>17</v>
      </c>
      <c r="S37" s="772">
        <f t="shared" si="12"/>
        <v>100</v>
      </c>
      <c r="T37" s="771" t="s">
        <v>17</v>
      </c>
      <c r="U37" s="772">
        <f t="shared" si="13"/>
        <v>100</v>
      </c>
      <c r="V37" s="771" t="s">
        <v>17</v>
      </c>
      <c r="W37" s="772">
        <f t="shared" si="14"/>
        <v>100</v>
      </c>
      <c r="X37" s="1799"/>
      <c r="Y37" s="3195"/>
      <c r="Z37" s="1800" t="str">
        <f t="shared" si="15"/>
        <v>内部装修状况</v>
      </c>
      <c r="AA37" s="1797">
        <f t="shared" si="3"/>
        <v>1</v>
      </c>
      <c r="AB37" s="1797">
        <f t="shared" si="4"/>
        <v>1</v>
      </c>
      <c r="AC37" s="1797">
        <f t="shared" si="5"/>
        <v>1</v>
      </c>
    </row>
    <row r="38" spans="1:29" s="469" customFormat="1" ht="15">
      <c r="A38" s="466"/>
      <c r="B38" s="137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195"/>
      <c r="Q38" s="773">
        <f t="shared" si="11"/>
        <v>111</v>
      </c>
      <c r="R38" s="774" t="s">
        <v>17</v>
      </c>
      <c r="S38" s="775">
        <f t="shared" si="12"/>
        <v>100</v>
      </c>
      <c r="T38" s="774" t="s">
        <v>17</v>
      </c>
      <c r="U38" s="775">
        <f t="shared" si="13"/>
        <v>100</v>
      </c>
      <c r="V38" s="774" t="s">
        <v>17</v>
      </c>
      <c r="W38" s="775">
        <f t="shared" si="14"/>
        <v>100</v>
      </c>
      <c r="X38" s="776"/>
      <c r="Y38" s="3195"/>
      <c r="Z38" s="777">
        <f t="shared" si="15"/>
        <v>111</v>
      </c>
      <c r="AA38" s="1797">
        <f t="shared" si="3"/>
        <v>1</v>
      </c>
      <c r="AB38" s="1797">
        <f t="shared" si="4"/>
        <v>1</v>
      </c>
      <c r="AC38" s="1797">
        <f t="shared" si="5"/>
        <v>1</v>
      </c>
    </row>
    <row r="39" spans="1:29" ht="15">
      <c r="A39" s="470"/>
      <c r="B39" s="137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195"/>
      <c r="Q39" s="1796">
        <f t="shared" si="11"/>
        <v>111</v>
      </c>
      <c r="R39" s="771" t="s">
        <v>17</v>
      </c>
      <c r="S39" s="772">
        <f t="shared" si="12"/>
        <v>100</v>
      </c>
      <c r="T39" s="771" t="s">
        <v>17</v>
      </c>
      <c r="U39" s="772">
        <f t="shared" si="13"/>
        <v>100</v>
      </c>
      <c r="V39" s="771" t="s">
        <v>17</v>
      </c>
      <c r="W39" s="772">
        <f t="shared" si="14"/>
        <v>100</v>
      </c>
      <c r="X39" s="1799"/>
      <c r="Y39" s="3195"/>
      <c r="Z39" s="1800">
        <f t="shared" si="15"/>
        <v>111</v>
      </c>
      <c r="AA39" s="1797">
        <f t="shared" si="3"/>
        <v>1</v>
      </c>
      <c r="AB39" s="1797">
        <f t="shared" si="4"/>
        <v>1</v>
      </c>
      <c r="AC39" s="1797">
        <f t="shared" si="5"/>
        <v>1</v>
      </c>
    </row>
    <row r="40" spans="1:29" ht="15.75" thickBot="1">
      <c r="A40" s="476"/>
      <c r="B40" s="258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196"/>
      <c r="Q40" s="1796">
        <f t="shared" si="11"/>
        <v>111</v>
      </c>
      <c r="R40" s="771" t="s">
        <v>17</v>
      </c>
      <c r="S40" s="772">
        <f t="shared" si="12"/>
        <v>100</v>
      </c>
      <c r="T40" s="771" t="s">
        <v>17</v>
      </c>
      <c r="U40" s="772">
        <f t="shared" si="13"/>
        <v>100</v>
      </c>
      <c r="V40" s="771" t="s">
        <v>17</v>
      </c>
      <c r="W40" s="772">
        <f t="shared" si="14"/>
        <v>100</v>
      </c>
      <c r="X40" s="1799"/>
      <c r="Y40" s="3196"/>
      <c r="Z40" s="1800">
        <f t="shared" si="15"/>
        <v>111</v>
      </c>
      <c r="AA40" s="1797">
        <f t="shared" si="3"/>
        <v>1</v>
      </c>
      <c r="AB40" s="1797">
        <f t="shared" si="4"/>
        <v>1</v>
      </c>
      <c r="AC40" s="1797">
        <f t="shared" si="5"/>
        <v>1</v>
      </c>
    </row>
    <row r="41" spans="1:29" ht="15">
      <c r="A41" s="477" t="s">
        <v>2572</v>
      </c>
      <c r="B41" s="478"/>
      <c r="C41" s="1392" t="s">
        <v>1</v>
      </c>
      <c r="D41" s="1393"/>
      <c r="E41" s="1394"/>
      <c r="F41" s="1395"/>
      <c r="G41" s="1396"/>
      <c r="H41" s="1397"/>
      <c r="I41" s="1394"/>
      <c r="J41" s="1397"/>
      <c r="K41" s="780"/>
      <c r="L41" s="1136"/>
      <c r="M41" s="1137"/>
      <c r="N41" s="1124"/>
      <c r="O41" s="1137"/>
      <c r="P41" s="3188" t="str">
        <f>A41</f>
        <v>成交单价（元/平方米）</v>
      </c>
      <c r="Q41" s="3188"/>
      <c r="R41" s="3189">
        <f>E41</f>
        <v>0</v>
      </c>
      <c r="S41" s="3189"/>
      <c r="T41" s="3189">
        <f>G41</f>
        <v>0</v>
      </c>
      <c r="U41" s="3189"/>
      <c r="V41" s="3189">
        <f>I41</f>
        <v>0</v>
      </c>
      <c r="W41" s="3189"/>
      <c r="X41" s="756"/>
      <c r="Y41" s="778"/>
      <c r="Z41" s="756"/>
      <c r="AA41" s="756"/>
      <c r="AB41" s="756"/>
      <c r="AC41" s="756"/>
    </row>
    <row r="42" spans="1:29" ht="15.75" thickBot="1">
      <c r="A42" s="484" t="s">
        <v>2664</v>
      </c>
      <c r="B42" s="485"/>
      <c r="C42" s="1398" t="e">
        <f>R43</f>
        <v>#DIV/0!</v>
      </c>
      <c r="D42" s="1399"/>
      <c r="E42" s="1400" t="e">
        <f>R42</f>
        <v>#DIV/0!</v>
      </c>
      <c r="F42" s="1400"/>
      <c r="G42" s="1398" t="e">
        <f>T42</f>
        <v>#DIV/0!</v>
      </c>
      <c r="H42" s="1399"/>
      <c r="I42" s="1400" t="e">
        <f>V42</f>
        <v>#DIV/0!</v>
      </c>
      <c r="J42" s="1399"/>
      <c r="K42" s="781"/>
      <c r="L42" s="1136"/>
      <c r="M42" s="1137"/>
      <c r="N42" s="1124"/>
      <c r="O42" s="113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6"/>
      <c r="Y42" s="756"/>
      <c r="Z42" s="756"/>
      <c r="AA42" s="756"/>
      <c r="AB42" s="756"/>
      <c r="AC42" s="756"/>
    </row>
    <row r="43" spans="1:29" ht="15.75" thickBot="1">
      <c r="A43" s="490" t="s">
        <v>2665</v>
      </c>
      <c r="B43" s="491"/>
      <c r="C43" s="1402" t="e">
        <f>R43</f>
        <v>#DIV/0!</v>
      </c>
      <c r="D43" s="1402"/>
      <c r="E43" s="1402"/>
      <c r="F43" s="1402"/>
      <c r="G43" s="1402"/>
      <c r="H43" s="1402"/>
      <c r="I43" s="1402"/>
      <c r="J43" s="1402"/>
      <c r="K43" s="782"/>
      <c r="L43" s="1136"/>
      <c r="M43" s="1137"/>
      <c r="N43" s="1137"/>
      <c r="O43" s="1137"/>
      <c r="P43" s="3185" t="str">
        <f>A43</f>
        <v>估价对象XX用房的比较价值（楼面单价，元/平方米）</v>
      </c>
      <c r="Q43" s="3186"/>
      <c r="R43" s="3187" t="e">
        <f>IF(F1="售价",ROUND(AVERAGE(R42:V42),0),ROUND(AVERAGE(R42:V42),1))</f>
        <v>#DIV/0!</v>
      </c>
      <c r="S43" s="3187"/>
      <c r="T43" s="3187"/>
      <c r="U43" s="3187"/>
      <c r="V43" s="3187"/>
      <c r="W43" s="3187"/>
      <c r="X43" s="756"/>
      <c r="Y43" s="756"/>
      <c r="Z43" s="756"/>
      <c r="AA43" s="756"/>
      <c r="AB43" s="756"/>
      <c r="AC43" s="756"/>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0" t="s">
        <v>2669</v>
      </c>
      <c r="B51" s="756"/>
      <c r="C51" s="761"/>
      <c r="D51" s="761"/>
      <c r="E51" s="761"/>
      <c r="F51" s="762"/>
      <c r="G51" s="762"/>
      <c r="H51" s="761"/>
      <c r="I51" s="761"/>
      <c r="J51" s="761"/>
      <c r="K51" s="1153"/>
      <c r="L51" s="1154"/>
      <c r="M51" s="1152"/>
      <c r="N51" s="1152"/>
      <c r="O51" s="1152"/>
      <c r="P51" s="501"/>
      <c r="Q51" s="502"/>
    </row>
    <row r="52" spans="1:17" s="506" customFormat="1" ht="15">
      <c r="A52" s="503" t="s">
        <v>2543</v>
      </c>
      <c r="B52" s="504"/>
      <c r="C52" s="1560" t="str">
        <f>YEAR(C7)&amp;"-"&amp;MONTH(C7)</f>
        <v>2017-11</v>
      </c>
      <c r="D52" s="1561">
        <f>EDATE(C52,-1)</f>
        <v>43009</v>
      </c>
      <c r="E52" s="1561">
        <f t="shared" ref="E52:O52" si="16">EDATE(D52,-1)</f>
        <v>42979</v>
      </c>
      <c r="F52" s="1561">
        <f t="shared" si="16"/>
        <v>42948</v>
      </c>
      <c r="G52" s="1561">
        <f t="shared" si="16"/>
        <v>42917</v>
      </c>
      <c r="H52" s="1561">
        <f t="shared" si="16"/>
        <v>42887</v>
      </c>
      <c r="I52" s="1561">
        <f t="shared" si="16"/>
        <v>42856</v>
      </c>
      <c r="J52" s="1561">
        <f t="shared" si="16"/>
        <v>42826</v>
      </c>
      <c r="K52" s="1561">
        <f t="shared" si="16"/>
        <v>42795</v>
      </c>
      <c r="L52" s="1561">
        <f t="shared" si="16"/>
        <v>42767</v>
      </c>
      <c r="M52" s="1561">
        <f t="shared" si="16"/>
        <v>42736</v>
      </c>
      <c r="N52" s="1561">
        <f t="shared" si="16"/>
        <v>42705</v>
      </c>
      <c r="O52" s="1561">
        <f t="shared" si="16"/>
        <v>42675</v>
      </c>
      <c r="P52" s="505"/>
    </row>
    <row r="53" spans="1:17" s="115" customFormat="1" ht="15">
      <c r="A53" s="507"/>
      <c r="B53" s="508"/>
      <c r="C53" s="1559">
        <v>100</v>
      </c>
      <c r="D53" s="510"/>
      <c r="E53" s="510"/>
      <c r="F53" s="510"/>
      <c r="G53" s="510"/>
      <c r="H53" s="510"/>
      <c r="I53" s="510"/>
      <c r="J53" s="510"/>
      <c r="K53" s="510"/>
      <c r="L53" s="510"/>
      <c r="M53" s="511"/>
      <c r="N53" s="510"/>
      <c r="O53" s="512"/>
      <c r="P53" s="502"/>
    </row>
    <row r="54" spans="1:17" s="115" customFormat="1" ht="15.75" thickBot="1">
      <c r="A54" s="513" t="s">
        <v>2580</v>
      </c>
      <c r="B54" s="514"/>
      <c r="C54" s="515"/>
      <c r="D54" s="516"/>
      <c r="E54" s="516"/>
      <c r="F54" s="516"/>
      <c r="G54" s="516"/>
      <c r="H54" s="516"/>
      <c r="I54" s="516"/>
      <c r="J54" s="516"/>
      <c r="K54" s="516"/>
      <c r="L54" s="516"/>
      <c r="M54" s="517"/>
      <c r="N54" s="516"/>
      <c r="O54" s="518"/>
      <c r="P54" s="502"/>
      <c r="Q54" s="502"/>
    </row>
    <row r="55" spans="1:17" s="115" customFormat="1" ht="15">
      <c r="A55" s="519" t="s">
        <v>2545</v>
      </c>
      <c r="B55" s="508"/>
      <c r="C55" s="520" t="s">
        <v>2647</v>
      </c>
      <c r="D55" s="521"/>
      <c r="E55" s="521"/>
      <c r="F55" s="521"/>
      <c r="G55" s="521"/>
      <c r="H55" s="521"/>
      <c r="I55" s="521"/>
      <c r="J55" s="521"/>
      <c r="K55" s="521"/>
      <c r="L55" s="522"/>
      <c r="M55" s="523"/>
      <c r="N55" s="1144"/>
      <c r="O55" s="1144"/>
      <c r="P55" s="524"/>
      <c r="Q55" s="502"/>
    </row>
    <row r="56" spans="1:17" s="115" customFormat="1" ht="15.75" thickBot="1">
      <c r="A56" s="519"/>
      <c r="B56" s="508"/>
      <c r="C56" s="636">
        <v>100</v>
      </c>
      <c r="D56" s="510"/>
      <c r="E56" s="510"/>
      <c r="F56" s="510"/>
      <c r="G56" s="510"/>
      <c r="H56" s="510"/>
      <c r="I56" s="510"/>
      <c r="J56" s="510"/>
      <c r="K56" s="510"/>
      <c r="L56" s="510"/>
      <c r="M56" s="512"/>
      <c r="N56" s="1144"/>
      <c r="O56" s="1144"/>
      <c r="P56" s="502"/>
      <c r="Q56" s="502"/>
    </row>
    <row r="57" spans="1:17">
      <c r="A57" s="525" t="s">
        <v>2583</v>
      </c>
      <c r="B57" s="526" t="s">
        <v>2549</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2552</v>
      </c>
      <c r="C59" s="537" t="s">
        <v>2584</v>
      </c>
      <c r="D59" s="537" t="s">
        <v>2585</v>
      </c>
      <c r="E59" s="537" t="s">
        <v>2586</v>
      </c>
      <c r="F59" s="537" t="s">
        <v>2587</v>
      </c>
      <c r="G59" s="537" t="s">
        <v>2588</v>
      </c>
      <c r="H59" s="537" t="s">
        <v>2589</v>
      </c>
      <c r="I59" s="537" t="s">
        <v>2590</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2553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2554</v>
      </c>
      <c r="B70" s="526" t="s">
        <v>2700</v>
      </c>
      <c r="C70" s="571" t="s">
        <v>2592</v>
      </c>
      <c r="D70" s="571" t="s">
        <v>2593</v>
      </c>
      <c r="E70" s="571" t="s">
        <v>2594</v>
      </c>
      <c r="F70" s="571" t="s">
        <v>2595</v>
      </c>
      <c r="G70" s="571" t="s">
        <v>2596</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2597</v>
      </c>
      <c r="C72" s="576" t="s">
        <v>2592</v>
      </c>
      <c r="D72" s="576" t="s">
        <v>2593</v>
      </c>
      <c r="E72" s="576" t="s">
        <v>2594</v>
      </c>
      <c r="F72" s="576" t="s">
        <v>2595</v>
      </c>
      <c r="G72" s="576" t="s">
        <v>2596</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2598</v>
      </c>
      <c r="C74" s="576" t="s">
        <v>2592</v>
      </c>
      <c r="D74" s="576" t="s">
        <v>2593</v>
      </c>
      <c r="E74" s="576" t="s">
        <v>2594</v>
      </c>
      <c r="F74" s="576" t="s">
        <v>2595</v>
      </c>
      <c r="G74" s="576" t="s">
        <v>2596</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2684</v>
      </c>
      <c r="C76" s="657" t="s">
        <v>2670</v>
      </c>
      <c r="D76" s="657" t="s">
        <v>2671</v>
      </c>
      <c r="E76" s="657" t="s">
        <v>2672</v>
      </c>
      <c r="F76" s="657" t="s">
        <v>2673</v>
      </c>
      <c r="G76" s="657" t="s">
        <v>2674</v>
      </c>
      <c r="H76" s="537"/>
      <c r="I76" s="537"/>
      <c r="J76" s="537"/>
      <c r="K76" s="537"/>
      <c r="L76" s="537"/>
      <c r="M76" s="1367"/>
      <c r="N76" s="1146"/>
      <c r="O76" s="1146"/>
      <c r="P76" s="45"/>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6"/>
      <c r="O77" s="1146"/>
      <c r="P77" s="45"/>
      <c r="Q77" s="502"/>
    </row>
    <row r="78" spans="1:17" ht="15.75" thickTop="1">
      <c r="A78" s="532"/>
      <c r="B78" s="536" t="s">
        <v>2693</v>
      </c>
      <c r="C78" s="576" t="s">
        <v>2592</v>
      </c>
      <c r="D78" s="576" t="s">
        <v>2593</v>
      </c>
      <c r="E78" s="576" t="s">
        <v>2594</v>
      </c>
      <c r="F78" s="576" t="s">
        <v>2595</v>
      </c>
      <c r="G78" s="576" t="s">
        <v>2596</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5" customFormat="1" ht="15.75" thickTop="1">
      <c r="A80" s="577"/>
      <c r="B80" s="536">
        <f>B25</f>
        <v>111</v>
      </c>
      <c r="C80" s="552"/>
      <c r="D80" s="552"/>
      <c r="E80" s="552"/>
      <c r="F80" s="552"/>
      <c r="G80" s="552"/>
      <c r="H80" s="552"/>
      <c r="I80" s="552"/>
      <c r="J80" s="552"/>
      <c r="K80" s="552"/>
      <c r="L80" s="578"/>
      <c r="M80" s="579"/>
      <c r="N80" s="1144"/>
      <c r="O80" s="1144"/>
      <c r="P80" s="45"/>
      <c r="Q80" s="502"/>
    </row>
    <row r="81" spans="1:17" s="115" customFormat="1" ht="15.75" thickBot="1">
      <c r="A81" s="577"/>
      <c r="B81" s="541"/>
      <c r="C81" s="558"/>
      <c r="D81" s="534"/>
      <c r="E81" s="534"/>
      <c r="F81" s="534"/>
      <c r="G81" s="534"/>
      <c r="H81" s="534"/>
      <c r="I81" s="534"/>
      <c r="J81" s="534"/>
      <c r="K81" s="534"/>
      <c r="L81" s="534"/>
      <c r="M81" s="535"/>
      <c r="N81" s="1146"/>
      <c r="O81" s="1146"/>
      <c r="P81" s="45"/>
      <c r="Q81" s="502"/>
    </row>
    <row r="82" spans="1:17" s="115" customFormat="1" ht="15.75" thickTop="1">
      <c r="A82" s="577"/>
      <c r="B82" s="536">
        <f>B26</f>
        <v>111</v>
      </c>
      <c r="C82" s="552"/>
      <c r="D82" s="552"/>
      <c r="E82" s="552"/>
      <c r="F82" s="552"/>
      <c r="G82" s="552"/>
      <c r="H82" s="552"/>
      <c r="I82" s="552"/>
      <c r="J82" s="552"/>
      <c r="K82" s="552"/>
      <c r="L82" s="578"/>
      <c r="M82" s="579"/>
      <c r="N82" s="1144"/>
      <c r="O82" s="1144"/>
      <c r="P82" s="45"/>
      <c r="Q82" s="502"/>
    </row>
    <row r="83" spans="1:17" s="115"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16"/>
      <c r="B87" s="567"/>
      <c r="C87" s="568"/>
      <c r="D87" s="568"/>
      <c r="E87" s="568"/>
      <c r="F87" s="568"/>
      <c r="G87" s="589"/>
      <c r="H87" s="589"/>
      <c r="I87" s="589"/>
      <c r="J87" s="589"/>
      <c r="K87" s="589"/>
      <c r="L87" s="589"/>
      <c r="M87" s="590"/>
      <c r="N87" s="1146"/>
      <c r="O87" s="1146"/>
      <c r="P87" s="45"/>
      <c r="Q87" s="502"/>
    </row>
    <row r="88" spans="1:17">
      <c r="A88" s="525" t="s">
        <v>2558</v>
      </c>
      <c r="B88" s="526" t="s">
        <v>2607</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2608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9"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2609</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2611</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0"/>
      <c r="J98" s="620"/>
      <c r="K98" s="621"/>
      <c r="L98" s="622"/>
      <c r="M98" s="623"/>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2612</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2613</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2615</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3" t="s">
        <v>2701</v>
      </c>
      <c r="C106" s="576" t="s">
        <v>2592</v>
      </c>
      <c r="D106" s="576" t="s">
        <v>2593</v>
      </c>
      <c r="E106" s="576" t="s">
        <v>2594</v>
      </c>
      <c r="F106" s="576" t="s">
        <v>2595</v>
      </c>
      <c r="G106" s="576" t="s">
        <v>2596</v>
      </c>
      <c r="H106" s="537"/>
      <c r="I106" s="537"/>
      <c r="J106" s="537"/>
      <c r="K106" s="538"/>
      <c r="L106" s="539"/>
      <c r="M106" s="540"/>
      <c r="N106" s="1146"/>
      <c r="O106" s="1146"/>
      <c r="P106" s="634"/>
      <c r="Q106" s="635"/>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16"/>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topLeftCell="A13" zoomScale="90" zoomScaleNormal="90" zoomScaleSheetLayoutView="90" workbookViewId="0">
      <selection activeCell="D15" sqref="D15"/>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3058</v>
      </c>
      <c r="D1" s="1806" t="s">
        <v>70</v>
      </c>
      <c r="E1" s="1807" t="s">
        <v>1388</v>
      </c>
      <c r="F1" s="1268">
        <f ca="1">J53</f>
        <v>31.28</v>
      </c>
      <c r="G1" s="182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f ca="1">C40+J29+L46</f>
        <v>4994</v>
      </c>
      <c r="C2" s="1831" t="s">
        <v>1518</v>
      </c>
      <c r="D2" s="1831"/>
      <c r="E2" s="1832"/>
      <c r="F2" s="1833"/>
      <c r="G2" s="1834"/>
      <c r="H2" s="1826"/>
      <c r="I2" s="1826"/>
      <c r="J2" s="1826"/>
      <c r="K2" s="1827"/>
      <c r="L2" s="1826"/>
      <c r="M2" s="1826"/>
    </row>
    <row r="3" spans="1:37" ht="18" customHeight="1" thickBot="1">
      <c r="A3" s="1835" t="s">
        <v>1519</v>
      </c>
      <c r="B3" s="1836">
        <f ca="1">IF(ISERROR(B2*10000/F43),0,ROUND(B2*10000/F43,0))</f>
        <v>22399</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f ca="1">C6+C10+C12</f>
        <v>330</v>
      </c>
      <c r="D5" s="1808" t="s">
        <v>1403</v>
      </c>
      <c r="E5" s="1278"/>
      <c r="F5" s="1279"/>
      <c r="G5" s="1837"/>
      <c r="H5" s="342">
        <v>1</v>
      </c>
      <c r="I5" s="343" t="s">
        <v>1402</v>
      </c>
      <c r="J5" s="1277">
        <f ca="1">J6+J10+J12</f>
        <v>0</v>
      </c>
      <c r="K5" s="1808" t="s">
        <v>1403</v>
      </c>
      <c r="L5" s="1278"/>
      <c r="M5" s="1279"/>
    </row>
    <row r="6" spans="1:37" ht="18" customHeight="1">
      <c r="A6" s="1276" t="s">
        <v>1035</v>
      </c>
      <c r="B6" s="3199" t="s">
        <v>1404</v>
      </c>
      <c r="C6" s="1281">
        <f ca="1">ROUND(F6*F8*F7*(1-F9)/10000,0)</f>
        <v>330</v>
      </c>
      <c r="D6" s="162" t="s">
        <v>3029</v>
      </c>
      <c r="E6" s="345" t="s">
        <v>1406</v>
      </c>
      <c r="F6" s="346">
        <f ca="1">INDIRECT("'数据-取费表'!u"&amp;$G$1)</f>
        <v>4.5</v>
      </c>
      <c r="G6" s="1837"/>
      <c r="H6" s="1276" t="s">
        <v>1035</v>
      </c>
      <c r="I6" s="3199" t="s">
        <v>1404</v>
      </c>
      <c r="J6" s="344">
        <f ca="1">ROUND(M6*M8*M7*(1-M9)/10000,0)</f>
        <v>0</v>
      </c>
      <c r="K6" s="162" t="s">
        <v>3028</v>
      </c>
      <c r="L6" s="345" t="s">
        <v>1406</v>
      </c>
      <c r="M6" s="346">
        <f ca="1">INDIRECT("'数据-取费表'!z"&amp;$G$1)</f>
        <v>0</v>
      </c>
    </row>
    <row r="7" spans="1:37" ht="18" customHeight="1">
      <c r="A7" s="1280"/>
      <c r="B7" s="3200"/>
      <c r="C7" s="1282"/>
      <c r="D7" s="350"/>
      <c r="E7" s="2914" t="s">
        <v>1407</v>
      </c>
      <c r="F7" s="346">
        <f ca="1">IF(INDIRECT("'数据-取费表'!ah"&amp;$G$1)="",INDIRECT("'数据-取费表'!k"&amp;$G$1),INDIRECT("'数据-取费表'!ah"&amp;$G$1))</f>
        <v>2229.56</v>
      </c>
      <c r="G7" s="1837"/>
      <c r="H7" s="347"/>
      <c r="I7" s="3200"/>
      <c r="J7" s="349"/>
      <c r="K7" s="350"/>
      <c r="L7" s="345" t="s">
        <v>1407</v>
      </c>
      <c r="M7" s="346">
        <f ca="1">F7</f>
        <v>2229.56</v>
      </c>
    </row>
    <row r="8" spans="1:37" ht="18" customHeight="1">
      <c r="A8" s="347"/>
      <c r="B8" s="3200"/>
      <c r="C8" s="349"/>
      <c r="D8" s="350"/>
      <c r="E8" s="345" t="s">
        <v>1408</v>
      </c>
      <c r="F8" s="346">
        <f ca="1">INDIRECT("'数据-取费表'!ai"&amp;$G$1)</f>
        <v>365</v>
      </c>
      <c r="G8" s="1837"/>
      <c r="H8" s="347"/>
      <c r="I8" s="3200"/>
      <c r="J8" s="349"/>
      <c r="K8" s="350"/>
      <c r="L8" s="345" t="s">
        <v>1408</v>
      </c>
      <c r="M8" s="346">
        <f ca="1">INDIRECT("'数据-取费表'!ai"&amp;$G$1)</f>
        <v>365</v>
      </c>
    </row>
    <row r="9" spans="1:37" ht="18" customHeight="1">
      <c r="A9" s="347"/>
      <c r="B9" s="3201"/>
      <c r="C9" s="349"/>
      <c r="D9" s="350"/>
      <c r="E9" s="345" t="s">
        <v>1409</v>
      </c>
      <c r="F9" s="355">
        <f ca="1">INDIRECT("'数据-取费表'!w"&amp;$G$1)</f>
        <v>0.1</v>
      </c>
      <c r="G9" s="1837"/>
      <c r="H9" s="347"/>
      <c r="I9" s="3201"/>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ROUND(IF(F10="押一",F6*F8*F7/12*F11,IF(F10="押二",F6*F8*F7/12*2*F11,IF(F10="押三",F6*F8*F7/12*3*F11,C11*F11)))/10000,0)</f>
        <v>0</v>
      </c>
      <c r="D10" s="1810" t="s">
        <v>3025</v>
      </c>
      <c r="E10" s="356" t="s">
        <v>1412</v>
      </c>
      <c r="F10" s="1351" t="s">
        <v>3060</v>
      </c>
      <c r="G10" s="1837"/>
      <c r="H10" s="1276" t="s">
        <v>1039</v>
      </c>
      <c r="I10" s="1809" t="s">
        <v>1410</v>
      </c>
      <c r="J10" s="344">
        <f ca="1">ROUND(IF(M10="押一",M6*M8*M7/12*M11,IF(M10="押二",M6*M8*M7/12*2*M11,IF(M10="押三",M6*M8*M7/12*3*M11,J11*M11)))/10000,0)</f>
        <v>0</v>
      </c>
      <c r="K10" s="1810" t="s">
        <v>3025</v>
      </c>
      <c r="L10" s="356" t="s">
        <v>1412</v>
      </c>
      <c r="M10" s="1351" t="s">
        <v>1413</v>
      </c>
    </row>
    <row r="11" spans="1:37" ht="18" customHeight="1">
      <c r="A11" s="351"/>
      <c r="B11" s="1811" t="s">
        <v>1389</v>
      </c>
      <c r="C11" s="1171"/>
      <c r="D11" s="1812"/>
      <c r="E11" s="356" t="s">
        <v>1414</v>
      </c>
      <c r="F11" s="357">
        <f ca="1">'数据-取费表'!B39</f>
        <v>1.4999999999999999E-2</v>
      </c>
      <c r="G11" s="1837"/>
      <c r="H11" s="1284"/>
      <c r="I11" s="1811" t="s">
        <v>1389</v>
      </c>
      <c r="J11" s="1171"/>
      <c r="K11" s="745"/>
      <c r="L11" s="356" t="s">
        <v>1414</v>
      </c>
      <c r="M11" s="1049">
        <f ca="1">'数据-取费表'!B39</f>
        <v>1.4999999999999999E-2</v>
      </c>
    </row>
    <row r="12" spans="1:37" ht="18"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thickTop="1">
      <c r="A13" s="1314">
        <v>2</v>
      </c>
      <c r="B13" s="1315" t="s">
        <v>1416</v>
      </c>
      <c r="C13" s="353">
        <f ca="1">ROUND(C29*F13,0)</f>
        <v>1055</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INDIRECT("'数据-取费表'!m"&amp;$G$1)+INDIRECT("'数据-取费表'!t"&amp;$G$1)</f>
        <v>681</v>
      </c>
      <c r="D14" s="2923" t="s">
        <v>1420</v>
      </c>
      <c r="E14" s="2922"/>
      <c r="F14" s="362"/>
      <c r="G14" s="1837"/>
      <c r="H14" s="1194" t="s">
        <v>1035</v>
      </c>
      <c r="I14" s="345" t="s">
        <v>1421</v>
      </c>
      <c r="J14" s="24">
        <f ca="1">C29</f>
        <v>1134</v>
      </c>
      <c r="K14" s="2913"/>
      <c r="L14" s="972"/>
      <c r="M14" s="973"/>
    </row>
    <row r="15" spans="1:37" s="1844" customFormat="1" ht="18" customHeight="1" thickBot="1">
      <c r="A15" s="1194" t="s">
        <v>1036</v>
      </c>
      <c r="B15" s="345" t="s">
        <v>1422</v>
      </c>
      <c r="C15" s="24">
        <f ca="1">ROUND(C14*F15,0)</f>
        <v>20</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ROUND(INDIRECT("'数据-取费表'!m"&amp;$G$1)*F16,0)</f>
        <v>0</v>
      </c>
      <c r="D16" s="345" t="s">
        <v>1423</v>
      </c>
      <c r="E16" s="345" t="s">
        <v>1424</v>
      </c>
      <c r="F16" s="365">
        <f ca="1">IF(INDIRECT("'数据-取费表'!c"&amp;$G$1)="住宅",'数据-取费表'!B34,0)</f>
        <v>0</v>
      </c>
      <c r="G16" s="1837"/>
      <c r="H16" s="1314" t="s">
        <v>1030</v>
      </c>
      <c r="I16" s="1315" t="s">
        <v>1426</v>
      </c>
      <c r="J16" s="353">
        <f ca="1">ROUND(J17+J22+J23+J24,0)</f>
        <v>27</v>
      </c>
      <c r="K16" s="1322" t="s">
        <v>1427</v>
      </c>
      <c r="L16" s="2926"/>
      <c r="M16" s="1279"/>
    </row>
    <row r="17" spans="1:37" s="1844" customFormat="1" ht="18" customHeight="1">
      <c r="A17" s="1194" t="s">
        <v>1391</v>
      </c>
      <c r="B17" s="345" t="s">
        <v>1428</v>
      </c>
      <c r="C17" s="24">
        <f ca="1">ROUND(F17*(F43+INDIRECT("'数据-取费表'!S"&amp;$G$1))/10000,0)</f>
        <v>46</v>
      </c>
      <c r="D17" s="345" t="s">
        <v>1429</v>
      </c>
      <c r="E17" s="345" t="s">
        <v>1430</v>
      </c>
      <c r="F17" s="26">
        <f>'数据-取费表'!B35</f>
        <v>200</v>
      </c>
      <c r="G17" s="1840"/>
      <c r="H17" s="1194" t="s">
        <v>1035</v>
      </c>
      <c r="I17" s="345" t="s">
        <v>1431</v>
      </c>
      <c r="J17" s="24">
        <f ca="1">ROUND(IF(项目基本情况!B11="自然人",J5*M17,J18+J19+J20),1)</f>
        <v>9.6</v>
      </c>
      <c r="K17" s="2923" t="s">
        <v>1432</v>
      </c>
      <c r="L17" s="2925"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10</v>
      </c>
      <c r="D18" s="345" t="s">
        <v>1423</v>
      </c>
      <c r="E18" s="345" t="s">
        <v>1424</v>
      </c>
      <c r="F18" s="365">
        <f>'数据-取费表'!B36</f>
        <v>1.4999999999999999E-2</v>
      </c>
      <c r="G18" s="1840"/>
      <c r="H18" s="1194" t="s">
        <v>1034</v>
      </c>
      <c r="I18" s="345" t="s">
        <v>1435</v>
      </c>
      <c r="J18" s="24">
        <f ca="1">ROUND(J5*M18/(1+'数据-取费表'!C42),2)</f>
        <v>0</v>
      </c>
      <c r="K18" s="2925"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757</v>
      </c>
      <c r="D19" s="138" t="s">
        <v>1438</v>
      </c>
      <c r="E19" s="2911"/>
      <c r="F19" s="26"/>
      <c r="G19" s="1837"/>
      <c r="H19" s="1194" t="s">
        <v>1036</v>
      </c>
      <c r="I19" s="345" t="s">
        <v>1439</v>
      </c>
      <c r="J19" s="24">
        <f ca="1">IF(K19="按租金收入计税",ROUND(J5*M19,2),ROUND(C29*M19*0.7,2))</f>
        <v>9.5299999999999994</v>
      </c>
      <c r="K19" s="1814" t="s">
        <v>1440</v>
      </c>
      <c r="L19" s="345" t="s">
        <v>1424</v>
      </c>
      <c r="M19" s="365">
        <f>IF(K19="按租金收入计税",'数据-取费表'!B51,'数据-取费表'!B50)</f>
        <v>1.2E-2</v>
      </c>
    </row>
    <row r="20" spans="1:37" s="1844" customFormat="1" ht="18" customHeight="1">
      <c r="A20" s="1194" t="s">
        <v>1039</v>
      </c>
      <c r="B20" s="345" t="s">
        <v>1441</v>
      </c>
      <c r="C20" s="24">
        <f ca="1">ROUND(C19*F20,0)</f>
        <v>11</v>
      </c>
      <c r="D20" s="367" t="s">
        <v>1442</v>
      </c>
      <c r="E20" s="345" t="s">
        <v>1424</v>
      </c>
      <c r="F20" s="365">
        <f>'数据-取费表'!B37</f>
        <v>1.4999999999999999E-2</v>
      </c>
      <c r="G20" s="1840"/>
      <c r="H20" s="1194" t="s">
        <v>1390</v>
      </c>
      <c r="I20" s="162" t="s">
        <v>1443</v>
      </c>
      <c r="J20" s="25">
        <f ca="1">ROUND(M20*M21/10000,2)</f>
        <v>0.09</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18</v>
      </c>
      <c r="D21" s="367" t="s">
        <v>1447</v>
      </c>
      <c r="E21" s="345" t="s">
        <v>1448</v>
      </c>
      <c r="F21" s="365">
        <f>'数据-取费表'!B38</f>
        <v>2.5000000000000001E-2</v>
      </c>
      <c r="G21" s="1840"/>
      <c r="H21" s="370"/>
      <c r="I21" s="354"/>
      <c r="J21" s="29"/>
      <c r="K21" s="371"/>
      <c r="L21" s="345" t="s">
        <v>1449</v>
      </c>
      <c r="M21" s="346">
        <f ca="1">INDIRECT("'数据-取费表'!r"&amp;$G$1)</f>
        <v>186.32</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2911"/>
      <c r="F22" s="26"/>
      <c r="G22" s="1837"/>
      <c r="H22" s="1194" t="s">
        <v>1039</v>
      </c>
      <c r="I22" s="345" t="s">
        <v>1451</v>
      </c>
      <c r="J22" s="24">
        <f ca="1">ROUND(J14*M22,1)</f>
        <v>17</v>
      </c>
      <c r="K22" s="2925"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37</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ROUND(J13*M23,1)</f>
        <v>0</v>
      </c>
      <c r="K23" s="2925" t="s">
        <v>1456</v>
      </c>
      <c r="L23" s="345" t="s">
        <v>1424</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1036</v>
      </c>
      <c r="B24" s="345" t="s">
        <v>1459</v>
      </c>
      <c r="C24" s="24">
        <f ca="1">ROUND(IF('数据-取费表'!B22&lt;=1,F21*F24*F23/2,F21*(POWER((1+F24),F23/2)-1)),4)</f>
        <v>1.1999999999999999E-3</v>
      </c>
      <c r="D24" s="373" t="str">
        <f>IF(F23&lt;=1,"销售费用×利率×(建设周期÷2)","销售费用×((1+利率)^(建设周期÷2)-1)")</f>
        <v>销售费用×((1+利率)^(建设周期÷2)-1)</v>
      </c>
      <c r="E24" s="345" t="s">
        <v>1460</v>
      </c>
      <c r="F24" s="375">
        <f ca="1">'数据-取费表'!B40</f>
        <v>4.7500000000000001E-2</v>
      </c>
      <c r="G24" s="1840"/>
      <c r="H24" s="1324" t="s">
        <v>1393</v>
      </c>
      <c r="I24" s="1325" t="s">
        <v>1441</v>
      </c>
      <c r="J24" s="1326">
        <f ca="1">ROUND(J5*M24,1)</f>
        <v>0</v>
      </c>
      <c r="K24" s="1327" t="s">
        <v>1461</v>
      </c>
      <c r="L24" s="1325" t="s">
        <v>1424</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4" t="s">
        <v>1462</v>
      </c>
      <c r="B25" s="345" t="s">
        <v>1463</v>
      </c>
      <c r="C25" s="24"/>
      <c r="D25" s="138" t="s">
        <v>1464</v>
      </c>
      <c r="E25" s="2911"/>
      <c r="F25" s="26"/>
      <c r="G25" s="1837"/>
      <c r="H25" s="1314" t="s">
        <v>1031</v>
      </c>
      <c r="I25" s="1329" t="s">
        <v>1465</v>
      </c>
      <c r="J25" s="353">
        <f ca="1">J5-J16</f>
        <v>-27</v>
      </c>
      <c r="K25" s="1330" t="s">
        <v>1466</v>
      </c>
      <c r="L25" s="1331"/>
      <c r="M25" s="1332"/>
    </row>
    <row r="26" spans="1:37">
      <c r="A26" s="1194" t="s">
        <v>1034</v>
      </c>
      <c r="B26" s="345" t="s">
        <v>1467</v>
      </c>
      <c r="C26" s="24">
        <f ca="1">ROUND((C19+C20)*F26,0)</f>
        <v>230</v>
      </c>
      <c r="D26" s="367" t="s">
        <v>1468</v>
      </c>
      <c r="E26" s="356" t="s">
        <v>1469</v>
      </c>
      <c r="F26" s="355">
        <f ca="1">INDIRECT("'数据-取费表'!q"&amp;$G$1)</f>
        <v>0.3</v>
      </c>
      <c r="G26" s="1837"/>
      <c r="H26" s="342" t="s">
        <v>1032</v>
      </c>
      <c r="I26" s="343" t="s">
        <v>1470</v>
      </c>
      <c r="J26" s="344">
        <f ca="1">IF(J5&lt;&gt;0,ROUND(J25*(1-((1+M28)/(1+M26))^M27)/(M26-M28),0),0)</f>
        <v>0</v>
      </c>
      <c r="K26" s="368" t="s">
        <v>1471</v>
      </c>
      <c r="L26" s="345" t="s">
        <v>1472</v>
      </c>
      <c r="M26" s="355">
        <f ca="1">INDIRECT("'数据-取费表'!I"&amp;$G$1)</f>
        <v>0.06</v>
      </c>
    </row>
    <row r="27" spans="1:37" ht="18" customHeight="1">
      <c r="A27" s="1194" t="s">
        <v>1036</v>
      </c>
      <c r="B27" s="345" t="s">
        <v>1473</v>
      </c>
      <c r="C27" s="24">
        <f ca="1">ROUND(F21*F26,4)</f>
        <v>7.4999999999999997E-3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1134</v>
      </c>
      <c r="D29" s="1327"/>
      <c r="E29" s="1325"/>
      <c r="F29" s="1328"/>
      <c r="G29" s="1840"/>
      <c r="H29" s="378" t="s">
        <v>1033</v>
      </c>
      <c r="I29" s="379" t="s">
        <v>1481</v>
      </c>
      <c r="J29" s="380">
        <f ca="1">ROUND(J26/(1+F40)^F41,0)</f>
        <v>0</v>
      </c>
      <c r="K29" s="381" t="s">
        <v>1482</v>
      </c>
      <c r="L29" s="382"/>
      <c r="M29" s="383">
        <f ca="1">INDIRECT("'数据-取费表'!k"&amp;$G$1)</f>
        <v>2229.56</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79</v>
      </c>
      <c r="D30" s="1322" t="s">
        <v>1427</v>
      </c>
      <c r="E30" s="2926"/>
      <c r="F30" s="1279"/>
      <c r="G30" s="1837"/>
      <c r="H30" s="742"/>
      <c r="I30" s="743"/>
      <c r="J30" s="744"/>
      <c r="K30" s="745"/>
      <c r="L30" s="746"/>
      <c r="M30" s="747"/>
    </row>
    <row r="31" spans="1:37" ht="18" customHeight="1">
      <c r="A31" s="1194" t="s">
        <v>1035</v>
      </c>
      <c r="B31" s="345" t="s">
        <v>1431</v>
      </c>
      <c r="C31" s="24">
        <f ca="1">ROUND(IF(项目基本情况!B11="自然人",C5*F31,C32+C33+C34),1)</f>
        <v>57.5</v>
      </c>
      <c r="D31" s="2923" t="s">
        <v>1432</v>
      </c>
      <c r="E31" s="2925"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IF(项目基本情况!B11="自然人","——",ROUND(C5*F32/(1+'数据-取费表'!C42),2))</f>
        <v>17.760000000000002</v>
      </c>
      <c r="D32" s="2925"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IF(项目基本情况!B11="自然人","——",IF(D33="按租金收入计税",ROUND(C5*F33,2),IF(D33="按房产原值计税",ROUND(C29*F33*0.7,2),INDIRECT("'数据-取费表'!Aj"&amp;$G$1))))</f>
        <v>39.6</v>
      </c>
      <c r="D33" s="1814" t="s">
        <v>3204</v>
      </c>
      <c r="E33" s="345" t="s">
        <v>1424</v>
      </c>
      <c r="F33" s="365">
        <f>IF(D33="按票据","——",IF(D33="按租金收入计税",'数据-取费表'!B51,'数据-取费表'!B50))</f>
        <v>0.12</v>
      </c>
      <c r="G33" s="1837"/>
      <c r="H33" s="1845"/>
      <c r="I33" s="1846"/>
      <c r="J33" s="1847"/>
      <c r="K33" s="1848"/>
      <c r="L33" s="1845"/>
      <c r="M33" s="1845"/>
    </row>
    <row r="34" spans="1:18" ht="18" customHeight="1">
      <c r="A34" s="1276" t="s">
        <v>1390</v>
      </c>
      <c r="B34" s="162" t="s">
        <v>1443</v>
      </c>
      <c r="C34" s="25">
        <f ca="1">IF(项目基本情况!B11="自然人","——",ROUND(F34*F35/10000,2))</f>
        <v>0.09</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186.32</v>
      </c>
      <c r="G35" s="1837"/>
      <c r="H35" s="742"/>
      <c r="I35" s="1846"/>
      <c r="J35" s="1847"/>
      <c r="K35" s="1848"/>
      <c r="L35" s="1845"/>
      <c r="M35" s="1845"/>
    </row>
    <row r="36" spans="1:18" ht="18" customHeight="1">
      <c r="A36" s="1337" t="s">
        <v>1039</v>
      </c>
      <c r="B36" s="345" t="s">
        <v>1451</v>
      </c>
      <c r="C36" s="24">
        <f ca="1">ROUND(C29*F36,1)</f>
        <v>17</v>
      </c>
      <c r="D36" s="2925"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ROUND(C13*F37,1)</f>
        <v>1.6</v>
      </c>
      <c r="D37" s="2925" t="s">
        <v>1456</v>
      </c>
      <c r="E37" s="345" t="s">
        <v>1424</v>
      </c>
      <c r="F37" s="374">
        <f ca="1">INDIRECT("'数据-取费表'!Al"&amp;$G$1)</f>
        <v>1.5E-3</v>
      </c>
      <c r="G37" s="1837"/>
      <c r="H37" s="1845"/>
      <c r="I37" s="1846"/>
      <c r="J37" s="1847"/>
      <c r="K37" s="748"/>
      <c r="L37" s="1845"/>
      <c r="M37" s="1845"/>
    </row>
    <row r="38" spans="1:18" ht="18" customHeight="1" thickBot="1">
      <c r="A38" s="1324" t="s">
        <v>1393</v>
      </c>
      <c r="B38" s="1325" t="s">
        <v>1441</v>
      </c>
      <c r="C38" s="1326">
        <f ca="1">ROUND(C5*F38,1)</f>
        <v>3.3</v>
      </c>
      <c r="D38" s="1327" t="s">
        <v>1461</v>
      </c>
      <c r="E38" s="1325" t="s">
        <v>1424</v>
      </c>
      <c r="F38" s="1321">
        <f ca="1">INDIRECT("'数据-取费表'!Am"&amp;$G$1)</f>
        <v>0.01</v>
      </c>
      <c r="G38" s="1837"/>
      <c r="H38" s="1845"/>
      <c r="I38" s="1846"/>
      <c r="J38" s="1847"/>
      <c r="K38" s="1851"/>
      <c r="L38" s="1845"/>
      <c r="M38" s="1845"/>
    </row>
    <row r="39" spans="1:18" ht="24.6" customHeight="1" thickTop="1">
      <c r="A39" s="1314" t="s">
        <v>1031</v>
      </c>
      <c r="B39" s="1329" t="s">
        <v>1465</v>
      </c>
      <c r="C39" s="353">
        <f ca="1">C5-C30</f>
        <v>251</v>
      </c>
      <c r="D39" s="1330" t="s">
        <v>1466</v>
      </c>
      <c r="E39" s="1331"/>
      <c r="F39" s="1332"/>
      <c r="G39" s="1837"/>
      <c r="H39" s="1845"/>
      <c r="I39" s="1846"/>
      <c r="J39" s="1847"/>
      <c r="K39" s="1851"/>
      <c r="L39" s="1845"/>
      <c r="M39" s="1845"/>
    </row>
    <row r="40" spans="1:18" ht="18" customHeight="1">
      <c r="A40" s="342" t="s">
        <v>1032</v>
      </c>
      <c r="B40" s="343" t="s">
        <v>1487</v>
      </c>
      <c r="C40" s="344">
        <f ca="1">ROUND(C39*(1-((1+F42)/(1+F40))^F41)/(F40-F42),0)</f>
        <v>4958</v>
      </c>
      <c r="D40" s="368" t="s">
        <v>1471</v>
      </c>
      <c r="E40" s="345" t="s">
        <v>1472</v>
      </c>
      <c r="F40" s="355">
        <f ca="1">INDIRECT("'数据-取费表'!I"&amp;$G$1)</f>
        <v>0.06</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31.28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ROUND(C40*10000/F43,0)</f>
        <v>22238</v>
      </c>
      <c r="D43" s="381" t="s">
        <v>1490</v>
      </c>
      <c r="E43" s="382" t="s">
        <v>1491</v>
      </c>
      <c r="F43" s="383">
        <f ca="1">INDIRECT("'数据-取费表'!k"&amp;$G$1)</f>
        <v>2229.56</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3"/>
      <c r="O45" s="1855" t="s">
        <v>1521</v>
      </c>
      <c r="P45" s="1825"/>
      <c r="Q45" s="1825"/>
      <c r="R45" s="1825"/>
    </row>
    <row r="46" spans="1:18" s="1828" customFormat="1" ht="13.5" thickBot="1">
      <c r="A46" s="1856" t="s">
        <v>1522</v>
      </c>
      <c r="C46" s="1857">
        <f ca="1">C68-C40</f>
        <v>-6551</v>
      </c>
      <c r="D46" s="1858" t="str">
        <f>C2</f>
        <v>万元</v>
      </c>
      <c r="E46" s="1852"/>
      <c r="F46" s="1852"/>
      <c r="I46" s="1859" t="s">
        <v>1523</v>
      </c>
      <c r="J46" s="1860"/>
      <c r="K46" s="1861"/>
      <c r="L46" s="1862">
        <f ca="1">IF(M47="住宅",0,IF(L48&gt;J51,L60,J60))</f>
        <v>36</v>
      </c>
      <c r="O46" s="1863" t="s">
        <v>1524</v>
      </c>
      <c r="P46" s="1864" t="s">
        <v>1525</v>
      </c>
      <c r="Q46" s="1865" t="s">
        <v>1526</v>
      </c>
      <c r="R46" s="1865" t="s">
        <v>1527</v>
      </c>
    </row>
    <row r="47" spans="1:18" s="1828" customFormat="1" ht="13.5" thickBot="1">
      <c r="A47" s="1158" t="s">
        <v>1397</v>
      </c>
      <c r="B47" s="1190" t="s">
        <v>1398</v>
      </c>
      <c r="C47" s="1352" t="s">
        <v>1399</v>
      </c>
      <c r="D47" s="1190" t="s">
        <v>1400</v>
      </c>
      <c r="E47" s="1264" t="s">
        <v>1401</v>
      </c>
      <c r="F47" s="1265"/>
      <c r="G47" s="789"/>
      <c r="I47" s="1866" t="s">
        <v>1528</v>
      </c>
      <c r="J47" s="1867" t="s">
        <v>3061</v>
      </c>
      <c r="K47" s="1868" t="s">
        <v>1529</v>
      </c>
      <c r="L47" s="1869">
        <f ca="1">INDIRECT("'数据-取费表'!d"&amp;$G$1)</f>
        <v>40</v>
      </c>
      <c r="M47" s="1824" t="str">
        <f>IF(ISNUMBER(FIND("住宅",C1)),"住宅","非住宅")</f>
        <v>非住宅</v>
      </c>
      <c r="O47" s="1870" t="s">
        <v>1040</v>
      </c>
      <c r="P47" s="1871" t="s">
        <v>1530</v>
      </c>
      <c r="Q47" s="1872">
        <f ca="1">C40+J29</f>
        <v>4958</v>
      </c>
      <c r="R47" s="1872" t="s">
        <v>1531</v>
      </c>
    </row>
    <row r="48" spans="1:18" s="1828" customFormat="1" ht="28.5" thickBot="1">
      <c r="A48" s="1345" t="s">
        <v>1135</v>
      </c>
      <c r="B48" s="343" t="s">
        <v>1402</v>
      </c>
      <c r="C48" s="2910">
        <f ca="1">C49+C53+C55</f>
        <v>0</v>
      </c>
      <c r="D48" s="1347"/>
      <c r="E48" s="1348"/>
      <c r="F48" s="1174"/>
      <c r="G48" s="789"/>
      <c r="H48" s="790"/>
      <c r="I48" s="1873" t="s">
        <v>1532</v>
      </c>
      <c r="J48" s="1874" t="s">
        <v>3062</v>
      </c>
      <c r="K48" s="1875" t="s">
        <v>1533</v>
      </c>
      <c r="L48" s="1876">
        <f ca="1">INDIRECT("'数据-取费表'!f"&amp;$G$1)</f>
        <v>31.28</v>
      </c>
      <c r="O48" s="1870" t="s">
        <v>1041</v>
      </c>
      <c r="P48" s="1871" t="s">
        <v>1534</v>
      </c>
      <c r="Q48" s="1872">
        <f ca="1">J60</f>
        <v>36</v>
      </c>
      <c r="R48" s="1872" t="s">
        <v>1535</v>
      </c>
    </row>
    <row r="49" spans="1:18" s="1828" customFormat="1" ht="13.5" thickBot="1">
      <c r="A49" s="1187" t="s">
        <v>1136</v>
      </c>
      <c r="B49" s="1815" t="s">
        <v>1492</v>
      </c>
      <c r="C49" s="1349">
        <f ca="1">ROUND(F49*F51*F50*(1-F52)/10000,0)</f>
        <v>0</v>
      </c>
      <c r="D49" s="1261" t="s">
        <v>3028</v>
      </c>
      <c r="E49" s="1816" t="s">
        <v>1493</v>
      </c>
      <c r="F49" s="1266"/>
      <c r="G49" s="1877"/>
      <c r="H49" s="790"/>
      <c r="I49" s="1873" t="s">
        <v>1536</v>
      </c>
      <c r="J49" s="2954">
        <v>2013</v>
      </c>
      <c r="K49" s="1875" t="s">
        <v>1537</v>
      </c>
      <c r="L49" s="1879"/>
      <c r="O49" s="1880" t="s">
        <v>1042</v>
      </c>
      <c r="P49" s="1871" t="s">
        <v>1538</v>
      </c>
      <c r="Q49" s="1872">
        <f ca="1">C29</f>
        <v>1134</v>
      </c>
      <c r="R49" s="1872" t="s">
        <v>1531</v>
      </c>
    </row>
    <row r="50" spans="1:18" s="1828" customFormat="1" ht="13.5" thickBot="1">
      <c r="A50" s="1188"/>
      <c r="B50" s="1191"/>
      <c r="C50" s="1353"/>
      <c r="D50" s="1165"/>
      <c r="E50" s="1262" t="s">
        <v>1407</v>
      </c>
      <c r="F50" s="1263">
        <f ca="1">F7</f>
        <v>2229.56</v>
      </c>
      <c r="H50" s="790"/>
      <c r="I50" s="1873" t="s">
        <v>1539</v>
      </c>
      <c r="J50" s="1881">
        <f>SUMPRODUCT((I63:I65=J47)*(J62:L62=J48)*(J63:L65))</f>
        <v>60</v>
      </c>
      <c r="K50" s="1875" t="s">
        <v>1540</v>
      </c>
      <c r="L50" s="1879"/>
      <c r="M50" s="1882"/>
      <c r="O50" s="1880" t="s">
        <v>1043</v>
      </c>
      <c r="P50" s="1871" t="s">
        <v>1541</v>
      </c>
      <c r="Q50" s="1883">
        <f ca="1">J58</f>
        <v>0.41199999999999998</v>
      </c>
      <c r="R50" s="1872"/>
    </row>
    <row r="51" spans="1:18" s="1828" customFormat="1" ht="13.5" thickBot="1">
      <c r="A51" s="1189"/>
      <c r="B51" s="1191"/>
      <c r="C51" s="1192"/>
      <c r="D51" s="1165"/>
      <c r="E51" s="1193" t="s">
        <v>1408</v>
      </c>
      <c r="F51" s="346">
        <f ca="1">F8</f>
        <v>365</v>
      </c>
      <c r="I51" s="1884" t="s">
        <v>1542</v>
      </c>
      <c r="J51" s="1885">
        <f>IF(J49="",J50,J49+J50-YEAR('数据-取费表'!B2))</f>
        <v>56</v>
      </c>
      <c r="K51" s="1886" t="s">
        <v>1543</v>
      </c>
      <c r="L51" s="1887">
        <f ca="1">ROUND(-PV(INDIRECT("'数据-取费表'!h"&amp;$G$1),L48,(C39-C13*C76),0),0)</f>
        <v>2384</v>
      </c>
      <c r="M51" s="1888"/>
      <c r="O51" s="1880" t="s">
        <v>1044</v>
      </c>
      <c r="P51" s="1871" t="s">
        <v>1544</v>
      </c>
      <c r="Q51" s="1883">
        <f>J52</f>
        <v>8.5000000000000006E-2</v>
      </c>
      <c r="R51" s="1872"/>
    </row>
    <row r="52" spans="1:18" s="1828" customFormat="1" ht="13.5" thickBot="1">
      <c r="A52" s="1189"/>
      <c r="B52" s="1191"/>
      <c r="C52" s="1192"/>
      <c r="D52" s="1165"/>
      <c r="E52" s="1193" t="s">
        <v>1409</v>
      </c>
      <c r="F52" s="1260"/>
      <c r="I52" s="1889" t="s">
        <v>1545</v>
      </c>
      <c r="J52" s="1890">
        <f>'数据-取费表'!J7</f>
        <v>8.5000000000000006E-2</v>
      </c>
      <c r="K52" s="1889" t="s">
        <v>1546</v>
      </c>
      <c r="L52" s="1890">
        <f>'数据-取费表'!H7</f>
        <v>5.5E-2</v>
      </c>
      <c r="O52" s="1880" t="s">
        <v>1045</v>
      </c>
      <c r="P52" s="1871" t="s">
        <v>1547</v>
      </c>
      <c r="Q52" s="1872">
        <f ca="1">J53</f>
        <v>31.28</v>
      </c>
      <c r="R52" s="1872" t="s">
        <v>1548</v>
      </c>
    </row>
    <row r="53" spans="1:18" s="1828" customFormat="1" ht="24.75" thickBot="1">
      <c r="A53" s="1390" t="s">
        <v>1137</v>
      </c>
      <c r="B53" s="1817" t="s">
        <v>1410</v>
      </c>
      <c r="C53" s="359">
        <f ca="1">ROUND(IF(F53="押一",F49*F51*F50/12*F11,IF(F53="押二",F49*F51*F50/12*2*F11,IF(F53="押三",F49*F51*F50/12*3*F11,C54*F11)))/10000,0)</f>
        <v>0</v>
      </c>
      <c r="D53" s="1810" t="s">
        <v>3025</v>
      </c>
      <c r="E53" s="356" t="s">
        <v>1412</v>
      </c>
      <c r="F53" s="1351"/>
      <c r="I53" s="1891" t="s">
        <v>1549</v>
      </c>
      <c r="J53" s="1892">
        <f ca="1">IF(M47="住宅",J51,IF(D1="——",MIN(J51,L48),IF(D1="在建（套用方法）",MIN(J51,L48-'数据-取费表'!B24),IF(D1="土地（套用方法）",MIN(J51,L48-'数据-取费表'!B20)))))</f>
        <v>31.28</v>
      </c>
      <c r="K53" s="3202" t="s">
        <v>1550</v>
      </c>
      <c r="L53" s="3203"/>
      <c r="O53" s="1870" t="s">
        <v>1046</v>
      </c>
      <c r="P53" s="1871" t="s">
        <v>1551</v>
      </c>
      <c r="Q53" s="1872">
        <f ca="1">Q47+Q48</f>
        <v>4994</v>
      </c>
      <c r="R53" s="1872" t="s">
        <v>1047</v>
      </c>
    </row>
    <row r="54" spans="1:18" s="1828" customFormat="1" ht="13.5" thickBot="1">
      <c r="A54" s="1391"/>
      <c r="B54" s="1811" t="s">
        <v>1389</v>
      </c>
      <c r="C54" s="1171"/>
      <c r="D54" s="1810"/>
      <c r="E54" s="2915"/>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2915"/>
      <c r="F55" s="1893"/>
      <c r="I55" s="1896" t="s">
        <v>1553</v>
      </c>
      <c r="J55" s="1897">
        <f ca="1">ROUND(IF(J47="钢混",J57/J50,1-(1-2%)*(J50-J57)/J50),3)</f>
        <v>0.41199999999999998</v>
      </c>
      <c r="K55" s="1898" t="s">
        <v>1554</v>
      </c>
      <c r="L55" s="1899" t="s">
        <v>1555</v>
      </c>
      <c r="O55" s="1863" t="s">
        <v>1524</v>
      </c>
      <c r="P55" s="1864" t="s">
        <v>1525</v>
      </c>
      <c r="Q55" s="1865" t="s">
        <v>1526</v>
      </c>
      <c r="R55" s="1865" t="s">
        <v>1527</v>
      </c>
    </row>
    <row r="56" spans="1:18" s="1828" customFormat="1" ht="25.5" thickTop="1" thickBot="1">
      <c r="A56" s="1169">
        <v>2</v>
      </c>
      <c r="B56" s="1170" t="s">
        <v>1416</v>
      </c>
      <c r="C56" s="274">
        <f ca="1">C13</f>
        <v>1055</v>
      </c>
      <c r="D56" s="1900"/>
      <c r="E56" s="1901"/>
      <c r="F56" s="1893"/>
      <c r="I56" s="1902" t="s">
        <v>1556</v>
      </c>
      <c r="J56" s="1903" t="s">
        <v>3045</v>
      </c>
      <c r="K56" s="1873" t="s">
        <v>1557</v>
      </c>
      <c r="L56" s="1876" t="str">
        <f ca="1">IF(L48&lt;J51,"——",L48-J53)</f>
        <v>——</v>
      </c>
      <c r="O56" s="1870" t="s">
        <v>1040</v>
      </c>
      <c r="P56" s="1871" t="s">
        <v>1530</v>
      </c>
      <c r="Q56" s="1872">
        <f ca="1">C40+J29</f>
        <v>4958</v>
      </c>
      <c r="R56" s="1872" t="s">
        <v>1531</v>
      </c>
    </row>
    <row r="57" spans="1:18" s="1828" customFormat="1" ht="24.75" thickBot="1">
      <c r="A57" s="1904"/>
      <c r="B57" s="1162" t="s">
        <v>1480</v>
      </c>
      <c r="C57" s="280">
        <f ca="1">C29</f>
        <v>1134</v>
      </c>
      <c r="D57" s="1905"/>
      <c r="E57" s="1906"/>
      <c r="F57" s="1907"/>
      <c r="I57" s="1908" t="s">
        <v>1558</v>
      </c>
      <c r="J57" s="1909">
        <f ca="1">IF(OR(M47="住宅",J51&lt;L48,J56="是"),"——",J51-L48)</f>
        <v>24.72</v>
      </c>
      <c r="K57" s="1873" t="s">
        <v>1559</v>
      </c>
      <c r="L57" s="1876" t="str">
        <f ca="1">IF(L48&lt;J51,"——",IF(L55="比较法",L49,IF(L55="基准地价",L50,L51)))</f>
        <v>——</v>
      </c>
      <c r="O57" s="1870" t="s">
        <v>1041</v>
      </c>
      <c r="P57" s="1871" t="s">
        <v>1560</v>
      </c>
      <c r="Q57" s="1872">
        <f ca="1">L60</f>
        <v>0</v>
      </c>
      <c r="R57" s="1872" t="s">
        <v>1561</v>
      </c>
    </row>
    <row r="58" spans="1:18" s="1828" customFormat="1" ht="24.75" thickBot="1">
      <c r="A58" s="358" t="s">
        <v>1030</v>
      </c>
      <c r="B58" s="1170" t="s">
        <v>1426</v>
      </c>
      <c r="C58" s="359">
        <f ca="1">ROUND(C59+C64+C65+C66,0)</f>
        <v>114</v>
      </c>
      <c r="D58" s="1172" t="s">
        <v>1427</v>
      </c>
      <c r="E58" s="1173"/>
      <c r="F58" s="1174"/>
      <c r="I58" s="1908" t="s">
        <v>1562</v>
      </c>
      <c r="J58" s="1910">
        <f ca="1">IF(J55&lt;0.4,0.4,J55)</f>
        <v>0.41199999999999998</v>
      </c>
      <c r="K58" s="1886" t="s">
        <v>1563</v>
      </c>
      <c r="L58" s="1876">
        <f ca="1">ROUND(POWER(1+L52,L47-L48)*(POWER(1+L52,L48)-1)/(POWER(1+L52,L47)-1),4)</f>
        <v>0.92079999999999995</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ROUND(IF(项目基本情况!B11="自然人",C48*F59,C60+C61+C62),1)</f>
        <v>95.4</v>
      </c>
      <c r="D59" s="1175" t="s">
        <v>1432</v>
      </c>
      <c r="E59" s="1176" t="s">
        <v>1433</v>
      </c>
      <c r="F59" s="366" t="str">
        <f ca="1">IF(项目基本情况!B11="企业","",IF(INDIRECT("'数据-取费表'!c"&amp;$G$1)="住宅",5%,IF(F49*F50*F51/12/(1+'数据-取费表'!C42)&gt;20000,12%,7%)))</f>
        <v/>
      </c>
      <c r="I59" s="1908" t="s">
        <v>1565</v>
      </c>
      <c r="J59" s="1909">
        <f ca="1">IF(OR(M47="住宅",J51&lt;L48,J56="是"),"——",ROUND(C29*J58,0))</f>
        <v>467</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1.0766</v>
      </c>
      <c r="M59" s="1824">
        <f ca="1">ROUND(POWER(1+L52,L47-(J51+'数据-取费表'!B24))*(POWER(1+L52,(J51+'数据-取费表'!B24))-1)/(POWER(1+L52,L47)-1),4)</f>
        <v>1.0766</v>
      </c>
      <c r="N59" s="1824">
        <f ca="1">ROUND(POWER(1+L52,L47-(J51+'数据-取费表'!B20))*(POWER(1+L52,(J51+'数据-取费表'!B20))-1)/(POWER(1+L52,L47)-1),4)</f>
        <v>1.0823</v>
      </c>
      <c r="O59" s="1880" t="s">
        <v>1043</v>
      </c>
      <c r="P59" s="1871" t="s">
        <v>1566</v>
      </c>
      <c r="Q59" s="1883">
        <f>L52</f>
        <v>5.5E-2</v>
      </c>
      <c r="R59" s="1872"/>
    </row>
    <row r="60" spans="1:18" s="1828" customFormat="1" ht="16.5" thickBot="1">
      <c r="A60" s="1194" t="s">
        <v>1034</v>
      </c>
      <c r="B60" s="1162" t="s">
        <v>1435</v>
      </c>
      <c r="C60" s="24">
        <f ca="1">IF(项目基本情况!B11="自然人","——",ROUND(C48*F60/(1+'数据-取费表'!C42),2))</f>
        <v>0</v>
      </c>
      <c r="D60" s="1176" t="s">
        <v>1436</v>
      </c>
      <c r="E60" s="1162" t="s">
        <v>1424</v>
      </c>
      <c r="F60" s="375">
        <f t="shared" ref="F60:F66" si="0">F32</f>
        <v>5.6500000000000002E-2</v>
      </c>
      <c r="I60" s="1911" t="s">
        <v>1567</v>
      </c>
      <c r="J60" s="1912">
        <f ca="1">IF(OR(M47="住宅",J51&lt;L48,J56="是"),"0",ROUND(J59/(1+J52)^J53,0))</f>
        <v>36</v>
      </c>
      <c r="K60" s="1913" t="s">
        <v>1568</v>
      </c>
      <c r="L60" s="1912">
        <f ca="1">IF(OR(M47="住宅",L48&lt;J51),0,ROUND(L57*(L58/L59-1),0))</f>
        <v>0</v>
      </c>
      <c r="O60" s="1880" t="s">
        <v>1044</v>
      </c>
      <c r="P60" s="1871" t="s">
        <v>1569</v>
      </c>
      <c r="Q60" s="1872">
        <f ca="1">L58</f>
        <v>0.92079999999999995</v>
      </c>
      <c r="R60" s="1872" t="s">
        <v>1570</v>
      </c>
    </row>
    <row r="61" spans="1:18" s="1828" customFormat="1" ht="13.5" thickBot="1">
      <c r="A61" s="1194" t="s">
        <v>1494</v>
      </c>
      <c r="B61" s="1162" t="s">
        <v>1439</v>
      </c>
      <c r="C61" s="24">
        <f ca="1">IF(项目基本情况!B11="自然人","——",IF(D61="按租金收入计税",ROUND(C48*F61,2),IF(D61="按房产原值计税",ROUND(C57*F61*0.7,2),INDIRECT("'数据-取费表'!Aj"&amp;$G$1))))</f>
        <v>95.26</v>
      </c>
      <c r="D61" s="1814" t="s">
        <v>1440</v>
      </c>
      <c r="E61" s="1162" t="s">
        <v>1424</v>
      </c>
      <c r="F61" s="365">
        <f t="shared" si="0"/>
        <v>0.12</v>
      </c>
      <c r="I61" s="1914"/>
      <c r="J61" s="1914"/>
      <c r="K61" s="1914"/>
      <c r="L61" s="1914"/>
      <c r="O61" s="1880" t="s">
        <v>1045</v>
      </c>
      <c r="P61" s="1871" t="str">
        <f>K59</f>
        <v>建筑物剩余耐用年限下的土地年期修正系数Kn</v>
      </c>
      <c r="Q61" s="1872">
        <f ca="1">L59</f>
        <v>1.0766</v>
      </c>
      <c r="R61" s="1872" t="s">
        <v>1571</v>
      </c>
    </row>
    <row r="62" spans="1:18" s="1828" customFormat="1" ht="13.5" thickBot="1">
      <c r="A62" s="1194" t="s">
        <v>1497</v>
      </c>
      <c r="B62" s="1161" t="s">
        <v>1443</v>
      </c>
      <c r="C62" s="25">
        <f ca="1">IF(项目基本情况!B11="自然人","——",ROUND(F62*F63/10000,2))</f>
        <v>0.09</v>
      </c>
      <c r="D62" s="1177" t="s">
        <v>1444</v>
      </c>
      <c r="E62" s="1162" t="s">
        <v>1445</v>
      </c>
      <c r="F62" s="369">
        <f t="shared" si="0"/>
        <v>5</v>
      </c>
      <c r="I62" s="1915" t="s">
        <v>1572</v>
      </c>
      <c r="J62" s="1916" t="s">
        <v>1573</v>
      </c>
      <c r="K62" s="1916" t="s">
        <v>1574</v>
      </c>
      <c r="L62" s="1916" t="s">
        <v>1575</v>
      </c>
      <c r="M62" s="1917" t="s">
        <v>1576</v>
      </c>
      <c r="O62" s="1870" t="s">
        <v>1046</v>
      </c>
      <c r="P62" s="1871" t="s">
        <v>1551</v>
      </c>
      <c r="Q62" s="1872">
        <f ca="1">Q56+Q57</f>
        <v>4958</v>
      </c>
      <c r="R62" s="1872" t="s">
        <v>1047</v>
      </c>
    </row>
    <row r="63" spans="1:18" s="1828" customFormat="1" ht="13.5" thickBot="1">
      <c r="A63" s="370"/>
      <c r="B63" s="1168"/>
      <c r="C63" s="29"/>
      <c r="D63" s="1178"/>
      <c r="E63" s="1162" t="s">
        <v>1449</v>
      </c>
      <c r="F63" s="346">
        <f t="shared" ca="1" si="0"/>
        <v>186.32</v>
      </c>
      <c r="I63" s="1915" t="s">
        <v>1578</v>
      </c>
      <c r="J63" s="1916">
        <v>70</v>
      </c>
      <c r="K63" s="1916">
        <v>50</v>
      </c>
      <c r="L63" s="1916">
        <v>80</v>
      </c>
      <c r="M63" s="1918">
        <v>0.02</v>
      </c>
      <c r="O63" s="1855" t="s">
        <v>1579</v>
      </c>
      <c r="P63" s="1825"/>
      <c r="Q63" s="1825"/>
      <c r="R63" s="1825"/>
    </row>
    <row r="64" spans="1:18" s="1828" customFormat="1" ht="13.5" thickBot="1">
      <c r="A64" s="1194" t="s">
        <v>1039</v>
      </c>
      <c r="B64" s="1162" t="s">
        <v>1451</v>
      </c>
      <c r="C64" s="24">
        <f ca="1">ROUND(C57*F64,1)</f>
        <v>17</v>
      </c>
      <c r="D64" s="1176" t="s">
        <v>1484</v>
      </c>
      <c r="E64" s="1162" t="s">
        <v>1424</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ROUND(C56*F65,1)</f>
        <v>1.6</v>
      </c>
      <c r="D65" s="1176" t="s">
        <v>1456</v>
      </c>
      <c r="E65" s="1162" t="s">
        <v>1424</v>
      </c>
      <c r="F65" s="374">
        <f t="shared" ca="1" si="0"/>
        <v>1.5E-3</v>
      </c>
      <c r="I65" s="1915" t="s">
        <v>1581</v>
      </c>
      <c r="J65" s="1916">
        <v>40</v>
      </c>
      <c r="K65" s="1916">
        <v>30</v>
      </c>
      <c r="L65" s="1916">
        <v>50</v>
      </c>
      <c r="M65" s="1918">
        <v>0.02</v>
      </c>
      <c r="O65" s="1870" t="s">
        <v>1040</v>
      </c>
      <c r="P65" s="1871" t="s">
        <v>1530</v>
      </c>
      <c r="Q65" s="1872">
        <f ca="1">C40+J29</f>
        <v>4958</v>
      </c>
      <c r="R65" s="1872" t="s">
        <v>1531</v>
      </c>
    </row>
    <row r="66" spans="1:18" s="1828" customFormat="1" ht="16.5" thickBot="1">
      <c r="A66" s="1194" t="s">
        <v>1506</v>
      </c>
      <c r="B66" s="1162" t="s">
        <v>1441</v>
      </c>
      <c r="C66" s="24">
        <f ca="1">ROUND(C48*F66,1)</f>
        <v>0</v>
      </c>
      <c r="D66" s="1176" t="s">
        <v>1461</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-114</v>
      </c>
      <c r="D67" s="1175" t="s">
        <v>1466</v>
      </c>
      <c r="E67" s="1180"/>
      <c r="F67" s="1181"/>
      <c r="O67" s="1880" t="s">
        <v>1042</v>
      </c>
      <c r="P67" s="1871" t="s">
        <v>1564</v>
      </c>
      <c r="Q67" s="1919">
        <f ca="1">L51</f>
        <v>2384</v>
      </c>
      <c r="R67" s="1872" t="s">
        <v>1584</v>
      </c>
    </row>
    <row r="68" spans="1:18" s="1828" customFormat="1" ht="16.5" thickBot="1">
      <c r="A68" s="1159" t="s">
        <v>1032</v>
      </c>
      <c r="B68" s="1160" t="s">
        <v>1487</v>
      </c>
      <c r="C68" s="344">
        <f ca="1">ROUND(C67*(1-((1+F70)/(1+F68))^F69)/(F68-F70),0)</f>
        <v>-1593</v>
      </c>
      <c r="D68" s="1177" t="s">
        <v>1471</v>
      </c>
      <c r="E68" s="1162" t="s">
        <v>1472</v>
      </c>
      <c r="F68" s="355">
        <f ca="1">F40</f>
        <v>0.06</v>
      </c>
      <c r="O68" s="1880" t="s">
        <v>1043</v>
      </c>
      <c r="P68" s="1920" t="s">
        <v>1585</v>
      </c>
      <c r="Q68" s="1872">
        <f ca="1">ROUND(Q69-Q70*Q71,0)</f>
        <v>161</v>
      </c>
      <c r="R68" s="1872" t="s">
        <v>1051</v>
      </c>
    </row>
    <row r="69" spans="1:18" s="1828" customFormat="1" ht="13.5" thickBot="1">
      <c r="A69" s="1163"/>
      <c r="B69" s="1164"/>
      <c r="C69" s="349"/>
      <c r="D69" s="1182" t="s">
        <v>1475</v>
      </c>
      <c r="E69" s="1162" t="s">
        <v>1476</v>
      </c>
      <c r="F69" s="377">
        <f ca="1">F41</f>
        <v>31.28</v>
      </c>
      <c r="O69" s="1880" t="s">
        <v>1048</v>
      </c>
      <c r="P69" s="1920" t="s">
        <v>1586</v>
      </c>
      <c r="Q69" s="1872">
        <f ca="1">C39</f>
        <v>251</v>
      </c>
      <c r="R69" s="1872" t="s">
        <v>1531</v>
      </c>
    </row>
    <row r="70" spans="1:18" s="1828" customFormat="1" ht="13.5" thickBot="1">
      <c r="A70" s="1166"/>
      <c r="B70" s="1167"/>
      <c r="C70" s="353"/>
      <c r="D70" s="1178"/>
      <c r="E70" s="1162" t="s">
        <v>1479</v>
      </c>
      <c r="F70" s="1260"/>
      <c r="O70" s="1880" t="s">
        <v>1049</v>
      </c>
      <c r="P70" s="1920" t="s">
        <v>1587</v>
      </c>
      <c r="Q70" s="1872">
        <f ca="1">C13</f>
        <v>1055</v>
      </c>
      <c r="R70" s="1872" t="s">
        <v>1531</v>
      </c>
    </row>
    <row r="71" spans="1:18" s="1828" customFormat="1" ht="13.5" thickBot="1">
      <c r="A71" s="1183" t="s">
        <v>1033</v>
      </c>
      <c r="B71" s="1184" t="s">
        <v>1489</v>
      </c>
      <c r="C71" s="380">
        <f ca="1">ROUND(C68*10000/F71,0)</f>
        <v>-7145</v>
      </c>
      <c r="D71" s="1185" t="s">
        <v>1490</v>
      </c>
      <c r="E71" s="1186" t="s">
        <v>1491</v>
      </c>
      <c r="F71" s="383">
        <f ca="1">F43</f>
        <v>2229.56</v>
      </c>
      <c r="O71" s="1880" t="s">
        <v>1050</v>
      </c>
      <c r="P71" s="1920" t="s">
        <v>1588</v>
      </c>
      <c r="Q71" s="1883">
        <f ca="1">C76</f>
        <v>8.5000000000000006E-2</v>
      </c>
      <c r="R71" s="1872"/>
    </row>
    <row r="72" spans="1:18" s="1828" customFormat="1" ht="13.5" thickBot="1">
      <c r="B72" s="793"/>
      <c r="C72" s="793"/>
      <c r="O72" s="1880" t="s">
        <v>1044</v>
      </c>
      <c r="P72" s="1871" t="s">
        <v>1566</v>
      </c>
      <c r="Q72" s="1883">
        <f>L52</f>
        <v>5.5E-2</v>
      </c>
      <c r="R72" s="1872"/>
    </row>
    <row r="73" spans="1:18" ht="16.5" thickBot="1">
      <c r="A73" s="1828"/>
      <c r="B73" s="793"/>
      <c r="C73" s="793"/>
      <c r="D73" s="1828"/>
      <c r="E73" s="1828"/>
      <c r="F73" s="1828"/>
      <c r="O73" s="1880" t="s">
        <v>1045</v>
      </c>
      <c r="P73" s="1871" t="s">
        <v>1569</v>
      </c>
      <c r="Q73" s="1872">
        <f ca="1">L58</f>
        <v>0.92079999999999995</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1.0766</v>
      </c>
      <c r="R74" s="1872" t="s">
        <v>1571</v>
      </c>
    </row>
    <row r="75" spans="1:18" ht="13.5" thickBot="1">
      <c r="A75" s="1828"/>
      <c r="B75" s="384" t="s">
        <v>1508</v>
      </c>
      <c r="C75" s="385">
        <f ca="1">ROUND(C13*C76,0)</f>
        <v>90</v>
      </c>
      <c r="D75" s="1828"/>
      <c r="E75" s="1828"/>
      <c r="F75" s="1828"/>
      <c r="K75" s="1854"/>
      <c r="L75" s="1828"/>
      <c r="O75" s="1870" t="s">
        <v>1046</v>
      </c>
      <c r="P75" s="1871" t="s">
        <v>1551</v>
      </c>
      <c r="Q75" s="1872">
        <f ca="1">Q65+Q66</f>
        <v>4958</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0.64100000000000001</v>
      </c>
    </row>
    <row r="80" spans="1:18">
      <c r="B80" s="384" t="s">
        <v>1513</v>
      </c>
      <c r="C80" s="316">
        <f ca="1">ROUND(C75/C39,3)</f>
        <v>0.35899999999999999</v>
      </c>
    </row>
    <row r="81" spans="2:3">
      <c r="B81" s="312" t="s">
        <v>1514</v>
      </c>
      <c r="C81" s="280"/>
    </row>
    <row r="82" spans="2:3">
      <c r="B82" s="315" t="s">
        <v>1515</v>
      </c>
      <c r="C82" s="317">
        <f ca="1">1-C83</f>
        <v>0.78700000000000003</v>
      </c>
    </row>
    <row r="83" spans="2:3">
      <c r="B83" s="315" t="s">
        <v>1516</v>
      </c>
      <c r="C83" s="316">
        <f ca="1">ROUND(C13/C40,3)</f>
        <v>0.21299999999999999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L16" sqref="L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2702</v>
      </c>
      <c r="B1" s="1605"/>
      <c r="C1" s="1606" t="s">
        <v>2525</v>
      </c>
      <c r="D1" s="1607"/>
      <c r="E1" s="1608"/>
      <c r="F1" s="2567"/>
      <c r="G1" s="1609" t="s">
        <v>2638</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96" customFormat="1" ht="28.5" customHeight="1" thickTop="1">
      <c r="A2" s="1603" t="s">
        <v>2322</v>
      </c>
      <c r="B2" s="1403" t="e">
        <f ca="1">IF(C2="——",IF(B37="元/平方米",ROUND(C39*D3/10000,0),ROUND(F3*C39/10000,0)),IF(B37="元/平方米",ROUND(C39*D3/10000,0),ROUND(F3*C39/10000,0))-D2)</f>
        <v>#DIV/0!</v>
      </c>
      <c r="C2" s="2569"/>
      <c r="D2" s="1117" t="e">
        <f ca="1">SUMIF(INDIRECT("'"&amp;F2&amp;"'"&amp;"!A:A"),"承租人权益价值",INDIRECT("'"&amp;F2&amp;"'"&amp;"!c:c"))</f>
        <v>#REF!</v>
      </c>
      <c r="E2" s="2570" t="s">
        <v>2323</v>
      </c>
      <c r="F2" s="2571"/>
      <c r="G2" s="1118"/>
      <c r="H2" s="1118"/>
      <c r="I2" s="1118"/>
      <c r="J2" s="1118"/>
      <c r="K2" s="1120"/>
      <c r="L2" s="1121"/>
      <c r="M2" s="1122"/>
      <c r="N2" s="1122"/>
      <c r="O2" s="1122"/>
      <c r="P2" s="1404"/>
      <c r="Q2" s="765"/>
      <c r="R2" s="765"/>
      <c r="S2" s="765"/>
      <c r="T2" s="765"/>
      <c r="U2" s="765"/>
      <c r="V2" s="765"/>
      <c r="W2" s="765"/>
      <c r="X2" s="765"/>
      <c r="Y2" s="765"/>
      <c r="Z2" s="765"/>
      <c r="AA2" s="765"/>
      <c r="AB2" s="765"/>
      <c r="AC2" s="766"/>
    </row>
    <row r="3" spans="1:29" s="396" customFormat="1" ht="28.5" customHeight="1" thickBot="1">
      <c r="A3" s="245" t="s">
        <v>2324</v>
      </c>
      <c r="B3" s="607" t="e">
        <f ca="1">IF(AND(C2="——",B37="元/平方米"),C39,ROUND(B2*10000/D3,0))</f>
        <v>#DIV/0!</v>
      </c>
      <c r="C3" s="398" t="s">
        <v>2639</v>
      </c>
      <c r="D3" s="397">
        <f>SUMIF('数据-汇总表'!$C19:$C33,D1,'数据-汇总表'!$E19:$E33)</f>
        <v>0</v>
      </c>
      <c r="E3" s="398" t="s">
        <v>2703</v>
      </c>
      <c r="F3" s="397">
        <f>SUMIF('数据-取费表'!A5:A15,D1,'数据-取费表'!AH5:AH15)</f>
        <v>0</v>
      </c>
      <c r="G3" s="1118"/>
      <c r="H3" s="1118"/>
      <c r="I3" s="1118"/>
      <c r="J3" s="1118"/>
      <c r="K3" s="1120"/>
      <c r="L3" s="1121"/>
      <c r="M3" s="1122"/>
      <c r="N3" s="1122"/>
      <c r="O3" s="1122"/>
      <c r="P3" s="1404"/>
      <c r="Q3" s="765"/>
      <c r="R3" s="765"/>
      <c r="S3" s="765"/>
      <c r="T3" s="765"/>
      <c r="U3" s="765"/>
      <c r="V3" s="765"/>
      <c r="W3" s="765"/>
      <c r="X3" s="765"/>
      <c r="Y3" s="765"/>
      <c r="Z3" s="765"/>
      <c r="AA3" s="765"/>
      <c r="AB3" s="783"/>
      <c r="AC3" s="779"/>
    </row>
    <row r="4" spans="1:29" ht="15">
      <c r="A4" s="399" t="s">
        <v>2640</v>
      </c>
      <c r="B4" s="400"/>
      <c r="C4" s="3171" t="s">
        <v>2641</v>
      </c>
      <c r="D4" s="3172"/>
      <c r="E4" s="3173" t="s">
        <v>2642</v>
      </c>
      <c r="F4" s="3174"/>
      <c r="G4" s="3171" t="s">
        <v>2643</v>
      </c>
      <c r="H4" s="3172"/>
      <c r="I4" s="3171" t="s">
        <v>2644</v>
      </c>
      <c r="J4" s="3172"/>
      <c r="K4" s="608" t="s">
        <v>2645</v>
      </c>
      <c r="L4" s="1123"/>
      <c r="M4" s="1124"/>
      <c r="N4" s="1124"/>
      <c r="O4" s="1124"/>
      <c r="P4" s="3175" t="s">
        <v>2646</v>
      </c>
      <c r="Q4" s="3176"/>
      <c r="R4" s="3157" t="s">
        <v>2642</v>
      </c>
      <c r="S4" s="3158"/>
      <c r="T4" s="3157" t="s">
        <v>2643</v>
      </c>
      <c r="U4" s="3158"/>
      <c r="V4" s="3183" t="s">
        <v>2644</v>
      </c>
      <c r="W4" s="3183"/>
      <c r="X4" s="1799"/>
      <c r="Y4" s="3157" t="s">
        <v>2646</v>
      </c>
      <c r="Z4" s="3158"/>
      <c r="AA4" s="3152" t="s">
        <v>2642</v>
      </c>
      <c r="AB4" s="3153" t="s">
        <v>2643</v>
      </c>
      <c r="AC4" s="3152" t="s">
        <v>2644</v>
      </c>
    </row>
    <row r="5" spans="1:29" ht="15">
      <c r="A5" s="402"/>
      <c r="B5" s="403"/>
      <c r="C5" s="3230" t="s">
        <v>2537</v>
      </c>
      <c r="D5" s="3164"/>
      <c r="E5" s="3234" t="s">
        <v>2538</v>
      </c>
      <c r="F5" s="3162"/>
      <c r="G5" s="3230" t="s">
        <v>2539</v>
      </c>
      <c r="H5" s="3164"/>
      <c r="I5" s="3230" t="s">
        <v>2540</v>
      </c>
      <c r="J5" s="3164"/>
      <c r="K5" s="608"/>
      <c r="L5" s="1123"/>
      <c r="M5" s="1124"/>
      <c r="N5" s="1124"/>
      <c r="O5" s="1124"/>
      <c r="P5" s="3177"/>
      <c r="Q5" s="3178"/>
      <c r="R5" s="3159"/>
      <c r="S5" s="3160"/>
      <c r="T5" s="3159"/>
      <c r="U5" s="3160"/>
      <c r="V5" s="3183"/>
      <c r="W5" s="3183"/>
      <c r="X5" s="1799"/>
      <c r="Y5" s="3159"/>
      <c r="Z5" s="3160"/>
      <c r="AA5" s="3153"/>
      <c r="AB5" s="3153"/>
      <c r="AC5" s="3153"/>
    </row>
    <row r="6" spans="1:29" ht="15.75" thickBot="1">
      <c r="A6" s="404"/>
      <c r="B6" s="405"/>
      <c r="C6" s="3235" t="s">
        <v>2541</v>
      </c>
      <c r="D6" s="3169"/>
      <c r="E6" s="3236" t="s">
        <v>2541</v>
      </c>
      <c r="F6" s="3166"/>
      <c r="G6" s="3235" t="s">
        <v>2541</v>
      </c>
      <c r="H6" s="3169"/>
      <c r="I6" s="3235" t="s">
        <v>2541</v>
      </c>
      <c r="J6" s="3169"/>
      <c r="K6" s="608" t="s">
        <v>2542</v>
      </c>
      <c r="L6" s="1123"/>
      <c r="M6" s="1124"/>
      <c r="N6" s="1124"/>
      <c r="O6" s="1124"/>
      <c r="P6" s="3179"/>
      <c r="Q6" s="3180"/>
      <c r="R6" s="3159"/>
      <c r="S6" s="3160"/>
      <c r="T6" s="3181"/>
      <c r="U6" s="3182"/>
      <c r="V6" s="3183"/>
      <c r="W6" s="3183"/>
      <c r="X6" s="1799"/>
      <c r="Y6" s="3181"/>
      <c r="Z6" s="3182"/>
      <c r="AA6" s="3154"/>
      <c r="AB6" s="3154"/>
      <c r="AC6" s="3154"/>
    </row>
    <row r="7" spans="1:29" s="115" customFormat="1" ht="15.75" thickBot="1">
      <c r="A7" s="406" t="s">
        <v>2543</v>
      </c>
      <c r="B7" s="407"/>
      <c r="C7" s="408">
        <f>'数据-取费表'!B2</f>
        <v>43061</v>
      </c>
      <c r="D7" s="409">
        <v>100</v>
      </c>
      <c r="E7" s="410"/>
      <c r="F7" s="411">
        <f>SUMIF(48:48,YEAR(E7)&amp;"-"&amp;MONTH(E7),49:49)</f>
        <v>0</v>
      </c>
      <c r="G7" s="410"/>
      <c r="H7" s="409">
        <f>SUMIF(48:48,YEAR(G7)&amp;"-"&amp;MONTH(G7),49:49)</f>
        <v>0</v>
      </c>
      <c r="I7" s="410"/>
      <c r="J7" s="409">
        <f>SUMIF(48:48,YEAR(I7)&amp;"-"&amp;MONTH(I7),49:49)</f>
        <v>0</v>
      </c>
      <c r="K7" s="609"/>
      <c r="L7" s="1125"/>
      <c r="M7" s="1126"/>
      <c r="N7" s="1126"/>
      <c r="O7" s="1126"/>
      <c r="P7" s="3155" t="s">
        <v>2544</v>
      </c>
      <c r="Q7" s="3184"/>
      <c r="R7" s="767" t="s">
        <v>17</v>
      </c>
      <c r="S7" s="768">
        <f t="shared" ref="S7:S14" si="0">F7</f>
        <v>0</v>
      </c>
      <c r="T7" s="767" t="s">
        <v>17</v>
      </c>
      <c r="U7" s="768">
        <f t="shared" ref="U7:U14" si="1">H7</f>
        <v>0</v>
      </c>
      <c r="V7" s="767" t="s">
        <v>17</v>
      </c>
      <c r="W7" s="768">
        <f t="shared" ref="W7:W14" si="2">J7</f>
        <v>0</v>
      </c>
      <c r="X7" s="769"/>
      <c r="Y7" s="3155" t="s">
        <v>2544</v>
      </c>
      <c r="Z7" s="3156"/>
      <c r="AA7" s="770" t="e">
        <f>D7/F7</f>
        <v>#DIV/0!</v>
      </c>
      <c r="AB7" s="770" t="e">
        <f>D7/H7</f>
        <v>#DIV/0!</v>
      </c>
      <c r="AC7" s="770" t="e">
        <f>D7/J7</f>
        <v>#DIV/0!</v>
      </c>
    </row>
    <row r="8" spans="1:29" s="115" customFormat="1" ht="15.75" thickBot="1">
      <c r="A8" s="406" t="s">
        <v>2545</v>
      </c>
      <c r="B8" s="407"/>
      <c r="C8" s="412" t="s">
        <v>2647</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155" t="s">
        <v>2547</v>
      </c>
      <c r="Q8" s="3156"/>
      <c r="R8" s="767" t="s">
        <v>17</v>
      </c>
      <c r="S8" s="768">
        <f t="shared" si="0"/>
        <v>0</v>
      </c>
      <c r="T8" s="767" t="s">
        <v>17</v>
      </c>
      <c r="U8" s="768">
        <f t="shared" si="1"/>
        <v>0</v>
      </c>
      <c r="V8" s="767" t="s">
        <v>17</v>
      </c>
      <c r="W8" s="768">
        <f t="shared" si="2"/>
        <v>0</v>
      </c>
      <c r="X8" s="769"/>
      <c r="Y8" s="3155" t="s">
        <v>2547</v>
      </c>
      <c r="Z8" s="3156"/>
      <c r="AA8" s="770" t="e">
        <f t="shared" ref="AA8:AA36" si="3">D8/F8</f>
        <v>#DIV/0!</v>
      </c>
      <c r="AB8" s="770" t="e">
        <f t="shared" ref="AB8:AB36" si="4">D8/H8</f>
        <v>#DIV/0!</v>
      </c>
      <c r="AC8" s="770" t="e">
        <f t="shared" ref="AC8:AC36" si="5">D8/J8</f>
        <v>#DIV/0!</v>
      </c>
    </row>
    <row r="9" spans="1:29" s="115" customFormat="1">
      <c r="A9" s="68" t="s">
        <v>2548</v>
      </c>
      <c r="B9" s="637" t="s">
        <v>2549</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188" t="s">
        <v>2550</v>
      </c>
      <c r="Q9" s="1781" t="str">
        <f t="shared" ref="Q9:Q14" si="6">B9</f>
        <v>用途</v>
      </c>
      <c r="R9" s="767" t="s">
        <v>17</v>
      </c>
      <c r="S9" s="768">
        <f t="shared" si="0"/>
        <v>100</v>
      </c>
      <c r="T9" s="767" t="s">
        <v>17</v>
      </c>
      <c r="U9" s="768">
        <f t="shared" si="1"/>
        <v>100</v>
      </c>
      <c r="V9" s="767" t="s">
        <v>17</v>
      </c>
      <c r="W9" s="768">
        <f t="shared" si="2"/>
        <v>100</v>
      </c>
      <c r="X9" s="769"/>
      <c r="Y9" s="3029" t="s">
        <v>2551</v>
      </c>
      <c r="Z9" s="55" t="str">
        <f t="shared" ref="Z9:Z14" si="7">Q9</f>
        <v>用途</v>
      </c>
      <c r="AA9" s="770">
        <f t="shared" si="3"/>
        <v>1</v>
      </c>
      <c r="AB9" s="770">
        <f t="shared" si="4"/>
        <v>1</v>
      </c>
      <c r="AC9" s="770">
        <f t="shared" si="5"/>
        <v>1</v>
      </c>
    </row>
    <row r="10" spans="1:29" s="425" customFormat="1" ht="27">
      <c r="A10" s="638"/>
      <c r="B10" s="639" t="s">
        <v>2552</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188"/>
      <c r="Q10" s="1781"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640"/>
      <c r="B11" s="641">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188"/>
      <c r="Q11" s="1781">
        <f t="shared" si="6"/>
        <v>111</v>
      </c>
      <c r="R11" s="767" t="s">
        <v>17</v>
      </c>
      <c r="S11" s="768">
        <f t="shared" si="0"/>
        <v>100</v>
      </c>
      <c r="T11" s="767" t="s">
        <v>17</v>
      </c>
      <c r="U11" s="768">
        <f t="shared" si="1"/>
        <v>100</v>
      </c>
      <c r="V11" s="767" t="s">
        <v>17</v>
      </c>
      <c r="W11" s="768">
        <f t="shared" si="2"/>
        <v>100</v>
      </c>
      <c r="X11" s="769"/>
      <c r="Y11" s="3029"/>
      <c r="Z11" s="55">
        <f t="shared" si="7"/>
        <v>111</v>
      </c>
      <c r="AA11" s="770">
        <f t="shared" si="3"/>
        <v>1</v>
      </c>
      <c r="AB11" s="770">
        <f t="shared" si="4"/>
        <v>1</v>
      </c>
      <c r="AC11" s="770">
        <f t="shared" si="5"/>
        <v>1</v>
      </c>
    </row>
    <row r="12" spans="1:29" s="115" customFormat="1" ht="15">
      <c r="A12" s="642"/>
      <c r="B12" s="641">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188"/>
      <c r="Q12" s="1781">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75" thickBot="1">
      <c r="A13" s="643"/>
      <c r="B13" s="641">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188"/>
      <c r="Q13" s="1781">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85.5">
      <c r="A14" s="399" t="s">
        <v>2554</v>
      </c>
      <c r="B14" s="626" t="s">
        <v>2704</v>
      </c>
      <c r="C14" s="267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190" t="s">
        <v>2555</v>
      </c>
      <c r="Q14" s="1796" t="str">
        <f t="shared" si="6"/>
        <v>交通便捷度</v>
      </c>
      <c r="R14" s="771" t="s">
        <v>17</v>
      </c>
      <c r="S14" s="772">
        <f t="shared" si="0"/>
        <v>100</v>
      </c>
      <c r="T14" s="771" t="s">
        <v>17</v>
      </c>
      <c r="U14" s="772">
        <f t="shared" si="1"/>
        <v>100</v>
      </c>
      <c r="V14" s="771" t="s">
        <v>17</v>
      </c>
      <c r="W14" s="772">
        <f t="shared" si="2"/>
        <v>100</v>
      </c>
      <c r="X14" s="1799"/>
      <c r="Y14" s="3190" t="s">
        <v>2555</v>
      </c>
      <c r="Z14" s="1800" t="str">
        <f t="shared" si="7"/>
        <v>交通便捷度</v>
      </c>
      <c r="AA14" s="1797">
        <f t="shared" si="3"/>
        <v>1</v>
      </c>
      <c r="AB14" s="1797">
        <f t="shared" si="4"/>
        <v>1</v>
      </c>
      <c r="AC14" s="1797">
        <f t="shared" si="5"/>
        <v>1</v>
      </c>
    </row>
    <row r="15" spans="1:29" ht="15">
      <c r="A15" s="402"/>
      <c r="B15" s="644"/>
      <c r="C15" s="445"/>
      <c r="D15" s="446"/>
      <c r="E15" s="445"/>
      <c r="F15" s="447"/>
      <c r="G15" s="445"/>
      <c r="H15" s="448"/>
      <c r="I15" s="445"/>
      <c r="J15" s="446"/>
      <c r="K15" s="613"/>
      <c r="L15" s="1133"/>
      <c r="M15" s="1124"/>
      <c r="N15" s="1124"/>
      <c r="O15" s="1124"/>
      <c r="P15" s="3191"/>
      <c r="Q15" s="1796"/>
      <c r="R15" s="771"/>
      <c r="S15" s="772"/>
      <c r="T15" s="771"/>
      <c r="U15" s="772"/>
      <c r="V15" s="771"/>
      <c r="W15" s="772"/>
      <c r="X15" s="1799"/>
      <c r="Y15" s="3191"/>
      <c r="Z15" s="1800"/>
      <c r="AA15" s="1797">
        <v>1</v>
      </c>
      <c r="AB15" s="1797">
        <v>1</v>
      </c>
      <c r="AC15" s="1797">
        <v>1</v>
      </c>
    </row>
    <row r="16" spans="1:29" ht="42.75">
      <c r="A16" s="402"/>
      <c r="B16" s="628" t="s">
        <v>2683</v>
      </c>
      <c r="C16" s="259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191"/>
      <c r="Q16" s="1796" t="str">
        <f>B16</f>
        <v>公共配套设施</v>
      </c>
      <c r="R16" s="771" t="s">
        <v>17</v>
      </c>
      <c r="S16" s="772">
        <f>F16</f>
        <v>100</v>
      </c>
      <c r="T16" s="771" t="s">
        <v>17</v>
      </c>
      <c r="U16" s="772">
        <f>H16</f>
        <v>100</v>
      </c>
      <c r="V16" s="771" t="s">
        <v>17</v>
      </c>
      <c r="W16" s="772">
        <f>J16</f>
        <v>100</v>
      </c>
      <c r="X16" s="1799"/>
      <c r="Y16" s="3191"/>
      <c r="Z16" s="1800" t="str">
        <f>Q16</f>
        <v>公共配套设施</v>
      </c>
      <c r="AA16" s="1797">
        <f t="shared" si="3"/>
        <v>1</v>
      </c>
      <c r="AB16" s="1797">
        <f t="shared" si="4"/>
        <v>1</v>
      </c>
      <c r="AC16" s="1797">
        <f t="shared" si="5"/>
        <v>1</v>
      </c>
    </row>
    <row r="17" spans="1:29" ht="15">
      <c r="A17" s="402"/>
      <c r="B17" s="629"/>
      <c r="C17" s="2591"/>
      <c r="D17" s="446"/>
      <c r="E17" s="445"/>
      <c r="F17" s="447"/>
      <c r="G17" s="445"/>
      <c r="H17" s="446"/>
      <c r="I17" s="445"/>
      <c r="J17" s="446"/>
      <c r="K17" s="613"/>
      <c r="L17" s="1133"/>
      <c r="M17" s="1124"/>
      <c r="N17" s="1124"/>
      <c r="O17" s="1124"/>
      <c r="P17" s="3191"/>
      <c r="Q17" s="1796"/>
      <c r="R17" s="771"/>
      <c r="S17" s="772"/>
      <c r="T17" s="771"/>
      <c r="U17" s="772"/>
      <c r="V17" s="771"/>
      <c r="W17" s="772"/>
      <c r="X17" s="1799"/>
      <c r="Y17" s="3191"/>
      <c r="Z17" s="1800"/>
      <c r="AA17" s="1797">
        <v>1</v>
      </c>
      <c r="AB17" s="1797">
        <v>1</v>
      </c>
      <c r="AC17" s="1797">
        <v>1</v>
      </c>
    </row>
    <row r="18" spans="1:29" ht="28.5">
      <c r="A18" s="402"/>
      <c r="B18" s="630" t="s">
        <v>2684</v>
      </c>
      <c r="C18" s="259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191"/>
      <c r="Q18" s="1796" t="str">
        <f>B18</f>
        <v>基础设施水平</v>
      </c>
      <c r="R18" s="771" t="s">
        <v>17</v>
      </c>
      <c r="S18" s="772">
        <f>F18</f>
        <v>100</v>
      </c>
      <c r="T18" s="771" t="s">
        <v>17</v>
      </c>
      <c r="U18" s="772">
        <f>H18</f>
        <v>100</v>
      </c>
      <c r="V18" s="771" t="s">
        <v>17</v>
      </c>
      <c r="W18" s="772">
        <f>J18</f>
        <v>100</v>
      </c>
      <c r="X18" s="1799"/>
      <c r="Y18" s="3191"/>
      <c r="Z18" s="1800" t="str">
        <f>Q18</f>
        <v>基础设施水平</v>
      </c>
      <c r="AA18" s="1797">
        <f t="shared" ref="AA18" si="8">D18/F18</f>
        <v>1</v>
      </c>
      <c r="AB18" s="1797">
        <f t="shared" ref="AB18" si="9">D18/H18</f>
        <v>1</v>
      </c>
      <c r="AC18" s="1797">
        <f t="shared" ref="AC18" si="10">D18/J18</f>
        <v>1</v>
      </c>
    </row>
    <row r="19" spans="1:29" ht="15">
      <c r="A19" s="402"/>
      <c r="B19" s="630"/>
      <c r="C19" s="2591"/>
      <c r="D19" s="448"/>
      <c r="E19" s="2591"/>
      <c r="F19" s="451"/>
      <c r="G19" s="2591"/>
      <c r="H19" s="446"/>
      <c r="I19" s="445"/>
      <c r="J19" s="446"/>
      <c r="K19" s="1368"/>
      <c r="L19" s="1133"/>
      <c r="M19" s="1124"/>
      <c r="N19" s="1124"/>
      <c r="O19" s="1124"/>
      <c r="P19" s="3191"/>
      <c r="Q19" s="1796"/>
      <c r="R19" s="771"/>
      <c r="S19" s="772"/>
      <c r="T19" s="771"/>
      <c r="U19" s="772"/>
      <c r="V19" s="771"/>
      <c r="W19" s="772"/>
      <c r="X19" s="1799"/>
      <c r="Y19" s="3191"/>
      <c r="Z19" s="1800"/>
      <c r="AA19" s="1797">
        <v>1</v>
      </c>
      <c r="AB19" s="1797">
        <v>1</v>
      </c>
      <c r="AC19" s="1797">
        <v>1</v>
      </c>
    </row>
    <row r="20" spans="1:29" ht="57">
      <c r="A20" s="402"/>
      <c r="B20" s="628" t="s">
        <v>2705</v>
      </c>
      <c r="C20" s="259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191"/>
      <c r="Q20" s="1796" t="str">
        <f>B20</f>
        <v>自然及人文环境</v>
      </c>
      <c r="R20" s="771" t="s">
        <v>17</v>
      </c>
      <c r="S20" s="772">
        <f>F20</f>
        <v>100</v>
      </c>
      <c r="T20" s="771" t="s">
        <v>17</v>
      </c>
      <c r="U20" s="772">
        <f>H20</f>
        <v>100</v>
      </c>
      <c r="V20" s="771" t="s">
        <v>17</v>
      </c>
      <c r="W20" s="772">
        <f>J20</f>
        <v>100</v>
      </c>
      <c r="X20" s="1799"/>
      <c r="Y20" s="3191"/>
      <c r="Z20" s="1800" t="str">
        <f>Q20</f>
        <v>自然及人文环境</v>
      </c>
      <c r="AA20" s="1797">
        <f t="shared" si="3"/>
        <v>1</v>
      </c>
      <c r="AB20" s="1797">
        <f t="shared" si="4"/>
        <v>1</v>
      </c>
      <c r="AC20" s="1797">
        <f t="shared" si="5"/>
        <v>1</v>
      </c>
    </row>
    <row r="21" spans="1:29" ht="15">
      <c r="A21" s="402"/>
      <c r="B21" s="629"/>
      <c r="C21" s="445"/>
      <c r="D21" s="446"/>
      <c r="E21" s="445"/>
      <c r="F21" s="447"/>
      <c r="G21" s="445"/>
      <c r="H21" s="446"/>
      <c r="I21" s="445"/>
      <c r="J21" s="446"/>
      <c r="K21" s="613"/>
      <c r="L21" s="1133"/>
      <c r="M21" s="1124"/>
      <c r="N21" s="1124"/>
      <c r="O21" s="1124"/>
      <c r="P21" s="3191"/>
      <c r="Q21" s="1796"/>
      <c r="R21" s="771"/>
      <c r="S21" s="772"/>
      <c r="T21" s="771"/>
      <c r="U21" s="772"/>
      <c r="V21" s="771"/>
      <c r="W21" s="772"/>
      <c r="X21" s="1799"/>
      <c r="Y21" s="3191"/>
      <c r="Z21" s="1800"/>
      <c r="AA21" s="1797">
        <v>1</v>
      </c>
      <c r="AB21" s="1797">
        <v>1</v>
      </c>
      <c r="AC21" s="1797">
        <v>1</v>
      </c>
    </row>
    <row r="22" spans="1:29" ht="15">
      <c r="A22" s="402"/>
      <c r="B22" s="628" t="s">
        <v>2706</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191"/>
      <c r="Q22" s="1796" t="str">
        <f>B22</f>
        <v>楼层</v>
      </c>
      <c r="R22" s="771" t="s">
        <v>17</v>
      </c>
      <c r="S22" s="772">
        <f>F22</f>
        <v>100</v>
      </c>
      <c r="T22" s="771" t="s">
        <v>17</v>
      </c>
      <c r="U22" s="772">
        <f>H22</f>
        <v>100</v>
      </c>
      <c r="V22" s="771" t="s">
        <v>17</v>
      </c>
      <c r="W22" s="772">
        <f>J22</f>
        <v>100</v>
      </c>
      <c r="X22" s="1799"/>
      <c r="Y22" s="3191"/>
      <c r="Z22" s="1800" t="str">
        <f>Q22</f>
        <v>楼层</v>
      </c>
      <c r="AA22" s="1797">
        <f t="shared" si="3"/>
        <v>1</v>
      </c>
      <c r="AB22" s="1797">
        <f t="shared" si="4"/>
        <v>1</v>
      </c>
      <c r="AC22" s="1797">
        <f t="shared" si="5"/>
        <v>1</v>
      </c>
    </row>
    <row r="23" spans="1:29" ht="15">
      <c r="A23" s="402"/>
      <c r="B23" s="645">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191"/>
      <c r="Q23" s="1796">
        <f>B23</f>
        <v>111</v>
      </c>
      <c r="R23" s="771" t="s">
        <v>17</v>
      </c>
      <c r="S23" s="772">
        <f>F23</f>
        <v>100</v>
      </c>
      <c r="T23" s="771" t="s">
        <v>17</v>
      </c>
      <c r="U23" s="772">
        <f>H23</f>
        <v>100</v>
      </c>
      <c r="V23" s="771" t="s">
        <v>17</v>
      </c>
      <c r="W23" s="772">
        <f>J23</f>
        <v>100</v>
      </c>
      <c r="X23" s="1799"/>
      <c r="Y23" s="3191"/>
      <c r="Z23" s="1800">
        <f>Q23</f>
        <v>111</v>
      </c>
      <c r="AA23" s="1797">
        <f t="shared" si="3"/>
        <v>1</v>
      </c>
      <c r="AB23" s="1797">
        <f t="shared" si="4"/>
        <v>1</v>
      </c>
      <c r="AC23" s="1797">
        <f t="shared" si="5"/>
        <v>1</v>
      </c>
    </row>
    <row r="24" spans="1:29" ht="15">
      <c r="A24" s="402"/>
      <c r="B24" s="645">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191"/>
      <c r="Q24" s="1796">
        <f t="shared" ref="Q24:Q36" si="11">B24</f>
        <v>111</v>
      </c>
      <c r="R24" s="771" t="s">
        <v>17</v>
      </c>
      <c r="S24" s="772">
        <f>F24</f>
        <v>100</v>
      </c>
      <c r="T24" s="771" t="s">
        <v>17</v>
      </c>
      <c r="U24" s="772">
        <f>H24</f>
        <v>100</v>
      </c>
      <c r="V24" s="771" t="s">
        <v>17</v>
      </c>
      <c r="W24" s="772">
        <f>J24</f>
        <v>100</v>
      </c>
      <c r="X24" s="1799"/>
      <c r="Y24" s="3191"/>
      <c r="Z24" s="1800">
        <f>Q24</f>
        <v>111</v>
      </c>
      <c r="AA24" s="1797">
        <f t="shared" si="3"/>
        <v>1</v>
      </c>
      <c r="AB24" s="1797">
        <f t="shared" si="4"/>
        <v>1</v>
      </c>
      <c r="AC24" s="1797">
        <f t="shared" si="5"/>
        <v>1</v>
      </c>
    </row>
    <row r="25" spans="1:29" s="115" customFormat="1" ht="15.75" thickBot="1">
      <c r="A25" s="646"/>
      <c r="B25" s="632">
        <v>111</v>
      </c>
      <c r="C25" s="435"/>
      <c r="D25" s="647">
        <v>100</v>
      </c>
      <c r="E25" s="625"/>
      <c r="F25" s="648">
        <f>SUMIF(77:77,E25,78:78)-SUMIF(77:77,C25,78:78)+100</f>
        <v>100</v>
      </c>
      <c r="G25" s="625"/>
      <c r="H25" s="647">
        <f>SUMIF(77:77,G25,78:78)-SUMIF(77:77,C25,78:78)+100</f>
        <v>100</v>
      </c>
      <c r="I25" s="625"/>
      <c r="J25" s="647">
        <f>SUMIF(77:77,I25,78:78)-SUMIF(77:77,C25,78:78)+100</f>
        <v>100</v>
      </c>
      <c r="K25" s="611"/>
      <c r="L25" s="1125"/>
      <c r="M25" s="1126"/>
      <c r="N25" s="1126"/>
      <c r="O25" s="1126"/>
      <c r="P25" s="3191"/>
      <c r="Q25" s="1781">
        <f t="shared" si="11"/>
        <v>111</v>
      </c>
      <c r="R25" s="767" t="s">
        <v>17</v>
      </c>
      <c r="S25" s="768">
        <f>F25</f>
        <v>100</v>
      </c>
      <c r="T25" s="767" t="s">
        <v>17</v>
      </c>
      <c r="U25" s="768">
        <f>H25</f>
        <v>100</v>
      </c>
      <c r="V25" s="767" t="s">
        <v>17</v>
      </c>
      <c r="W25" s="768">
        <f>J25</f>
        <v>100</v>
      </c>
      <c r="X25" s="769"/>
      <c r="Y25" s="3191"/>
      <c r="Z25" s="55">
        <f>Q25</f>
        <v>111</v>
      </c>
      <c r="AA25" s="1797">
        <f>D25/F25</f>
        <v>1</v>
      </c>
      <c r="AB25" s="1797">
        <f>D25/H25</f>
        <v>1</v>
      </c>
      <c r="AC25" s="1797">
        <f>D25/J25</f>
        <v>1</v>
      </c>
    </row>
    <row r="26" spans="1:29" ht="15">
      <c r="A26" s="649" t="s">
        <v>2558</v>
      </c>
      <c r="B26" s="70" t="s">
        <v>2707</v>
      </c>
      <c r="C26" s="2674">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249" t="s">
        <v>2560</v>
      </c>
      <c r="Q26" s="1796" t="str">
        <f t="shared" si="11"/>
        <v>配套类型</v>
      </c>
      <c r="R26" s="771" t="s">
        <v>17</v>
      </c>
      <c r="S26" s="772">
        <f t="shared" ref="S26:S36" si="12">F26</f>
        <v>100</v>
      </c>
      <c r="T26" s="771" t="s">
        <v>17</v>
      </c>
      <c r="U26" s="772">
        <f t="shared" ref="U26:U36" si="13">H26</f>
        <v>100</v>
      </c>
      <c r="V26" s="771" t="s">
        <v>17</v>
      </c>
      <c r="W26" s="772">
        <f t="shared" ref="W26:W36" si="14">J26</f>
        <v>100</v>
      </c>
      <c r="X26" s="1799"/>
      <c r="Y26" s="3195" t="s">
        <v>2560</v>
      </c>
      <c r="Z26" s="1800" t="str">
        <f t="shared" ref="Z26:Z36" si="15">Q26</f>
        <v>配套类型</v>
      </c>
      <c r="AA26" s="1797">
        <f t="shared" si="3"/>
        <v>1</v>
      </c>
      <c r="AB26" s="1797">
        <f t="shared" si="4"/>
        <v>1</v>
      </c>
      <c r="AC26" s="1797">
        <f t="shared" si="5"/>
        <v>1</v>
      </c>
    </row>
    <row r="27" spans="1:29" s="469" customFormat="1" ht="15">
      <c r="A27" s="650"/>
      <c r="B27" s="651" t="s">
        <v>2708</v>
      </c>
      <c r="C27" s="652"/>
      <c r="D27" s="134">
        <v>100</v>
      </c>
      <c r="E27" s="652"/>
      <c r="F27" s="459">
        <f>SUMIF(81:81,E27,82:82)-SUMIF(81:81,C27,82:82)+100</f>
        <v>100</v>
      </c>
      <c r="G27" s="652"/>
      <c r="H27" s="433">
        <f>SUMIF(81:81,G27,82:82)-SUMIF(81:81,C27,82:82)+100</f>
        <v>100</v>
      </c>
      <c r="I27" s="652"/>
      <c r="J27" s="433">
        <f>SUMIF(81:81,I27,82:82)-SUMIF(81:81,C27,82:82)+100</f>
        <v>100</v>
      </c>
      <c r="K27" s="611"/>
      <c r="L27" s="1131"/>
      <c r="M27" s="1134"/>
      <c r="N27" s="1134"/>
      <c r="O27" s="1134"/>
      <c r="P27" s="3195"/>
      <c r="Q27" s="773" t="str">
        <f t="shared" si="11"/>
        <v>项目停车位配比</v>
      </c>
      <c r="R27" s="774" t="s">
        <v>17</v>
      </c>
      <c r="S27" s="775">
        <f t="shared" si="12"/>
        <v>100</v>
      </c>
      <c r="T27" s="774" t="s">
        <v>17</v>
      </c>
      <c r="U27" s="775">
        <f t="shared" si="13"/>
        <v>100</v>
      </c>
      <c r="V27" s="774" t="s">
        <v>17</v>
      </c>
      <c r="W27" s="775">
        <f t="shared" si="14"/>
        <v>100</v>
      </c>
      <c r="X27" s="776"/>
      <c r="Y27" s="3195"/>
      <c r="Z27" s="777" t="str">
        <f t="shared" si="15"/>
        <v>项目停车位配比</v>
      </c>
      <c r="AA27" s="1797">
        <f t="shared" si="3"/>
        <v>1</v>
      </c>
      <c r="AB27" s="1797">
        <f t="shared" si="4"/>
        <v>1</v>
      </c>
      <c r="AC27" s="1797">
        <f t="shared" si="5"/>
        <v>1</v>
      </c>
    </row>
    <row r="28" spans="1:29" ht="15">
      <c r="A28" s="653"/>
      <c r="B28" s="651" t="s">
        <v>2709</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195"/>
      <c r="Q28" s="1796" t="str">
        <f t="shared" si="11"/>
        <v>公共部分装修</v>
      </c>
      <c r="R28" s="771" t="s">
        <v>17</v>
      </c>
      <c r="S28" s="772">
        <f t="shared" si="12"/>
        <v>100</v>
      </c>
      <c r="T28" s="771" t="s">
        <v>17</v>
      </c>
      <c r="U28" s="772">
        <f t="shared" si="13"/>
        <v>100</v>
      </c>
      <c r="V28" s="771" t="s">
        <v>17</v>
      </c>
      <c r="W28" s="772">
        <f t="shared" si="14"/>
        <v>100</v>
      </c>
      <c r="X28" s="1799"/>
      <c r="Y28" s="3195"/>
      <c r="Z28" s="1800" t="str">
        <f t="shared" si="15"/>
        <v>公共部分装修</v>
      </c>
      <c r="AA28" s="1797">
        <f t="shared" si="3"/>
        <v>1</v>
      </c>
      <c r="AB28" s="1797">
        <f t="shared" si="4"/>
        <v>1</v>
      </c>
      <c r="AC28" s="1797">
        <f t="shared" si="5"/>
        <v>1</v>
      </c>
    </row>
    <row r="29" spans="1:29" ht="15">
      <c r="A29" s="653"/>
      <c r="B29" s="651" t="s">
        <v>2710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195"/>
      <c r="Q29" s="1796" t="str">
        <f t="shared" si="11"/>
        <v>成新率</v>
      </c>
      <c r="R29" s="771" t="s">
        <v>17</v>
      </c>
      <c r="S29" s="772" t="e">
        <f t="shared" si="12"/>
        <v>#N/A</v>
      </c>
      <c r="T29" s="771" t="s">
        <v>17</v>
      </c>
      <c r="U29" s="772" t="e">
        <f t="shared" si="13"/>
        <v>#N/A</v>
      </c>
      <c r="V29" s="771" t="s">
        <v>17</v>
      </c>
      <c r="W29" s="772" t="e">
        <f t="shared" si="14"/>
        <v>#N/A</v>
      </c>
      <c r="X29" s="1799"/>
      <c r="Y29" s="3195"/>
      <c r="Z29" s="1800" t="str">
        <f t="shared" si="15"/>
        <v>成新率</v>
      </c>
      <c r="AA29" s="1797" t="e">
        <f t="shared" si="3"/>
        <v>#N/A</v>
      </c>
      <c r="AB29" s="1797" t="e">
        <f t="shared" si="4"/>
        <v>#N/A</v>
      </c>
      <c r="AC29" s="1797" t="e">
        <f t="shared" si="5"/>
        <v>#N/A</v>
      </c>
    </row>
    <row r="30" spans="1:29" ht="15">
      <c r="A30" s="653"/>
      <c r="B30" s="651" t="s">
        <v>2711</v>
      </c>
      <c r="C30" s="654"/>
      <c r="D30" s="433">
        <v>100</v>
      </c>
      <c r="E30" s="654"/>
      <c r="F30" s="459">
        <f>SUMIF(88:88,E30,89:89)-SUMIF(88:88,C30,89:89)+100</f>
        <v>100</v>
      </c>
      <c r="G30" s="654"/>
      <c r="H30" s="433">
        <f>SUMIF(88:88,E30,89:89)-SUMIF(88:88,C30,89:89)+100</f>
        <v>100</v>
      </c>
      <c r="I30" s="654"/>
      <c r="J30" s="433">
        <f>SUMIF(88:88,E30,89:89)-SUMIF(88:88,C30,89:89)+100</f>
        <v>100</v>
      </c>
      <c r="K30" s="610"/>
      <c r="L30" s="1133"/>
      <c r="M30" s="1124"/>
      <c r="N30" s="1124"/>
      <c r="O30" s="1124"/>
      <c r="P30" s="3195"/>
      <c r="Q30" s="1796" t="str">
        <f t="shared" si="11"/>
        <v>物业等级</v>
      </c>
      <c r="R30" s="771" t="s">
        <v>17</v>
      </c>
      <c r="S30" s="772">
        <f t="shared" si="12"/>
        <v>100</v>
      </c>
      <c r="T30" s="771" t="s">
        <v>17</v>
      </c>
      <c r="U30" s="772">
        <f t="shared" si="13"/>
        <v>100</v>
      </c>
      <c r="V30" s="771" t="s">
        <v>17</v>
      </c>
      <c r="W30" s="772">
        <f t="shared" si="14"/>
        <v>100</v>
      </c>
      <c r="X30" s="1799"/>
      <c r="Y30" s="3195"/>
      <c r="Z30" s="1800" t="str">
        <f t="shared" si="15"/>
        <v>物业等级</v>
      </c>
      <c r="AA30" s="1797">
        <f t="shared" si="3"/>
        <v>1</v>
      </c>
      <c r="AB30" s="1797">
        <f t="shared" si="4"/>
        <v>1</v>
      </c>
      <c r="AC30" s="1797">
        <f t="shared" si="5"/>
        <v>1</v>
      </c>
    </row>
    <row r="31" spans="1:29" s="115" customFormat="1" ht="15">
      <c r="A31" s="655"/>
      <c r="B31" s="651" t="s">
        <v>2712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195"/>
      <c r="Q31" s="1781" t="str">
        <f t="shared" si="11"/>
        <v>停车位面积</v>
      </c>
      <c r="R31" s="767" t="s">
        <v>17</v>
      </c>
      <c r="S31" s="768" t="e">
        <f t="shared" si="12"/>
        <v>#N/A</v>
      </c>
      <c r="T31" s="767" t="s">
        <v>17</v>
      </c>
      <c r="U31" s="768" t="e">
        <f t="shared" si="13"/>
        <v>#N/A</v>
      </c>
      <c r="V31" s="767" t="s">
        <v>17</v>
      </c>
      <c r="W31" s="768" t="e">
        <f t="shared" si="14"/>
        <v>#N/A</v>
      </c>
      <c r="X31" s="769"/>
      <c r="Y31" s="3195"/>
      <c r="Z31" s="55" t="str">
        <f t="shared" si="15"/>
        <v>停车位面积</v>
      </c>
      <c r="AA31" s="770" t="e">
        <f t="shared" si="3"/>
        <v>#N/A</v>
      </c>
      <c r="AB31" s="770" t="e">
        <f t="shared" si="4"/>
        <v>#N/A</v>
      </c>
      <c r="AC31" s="770" t="e">
        <f t="shared" si="5"/>
        <v>#N/A</v>
      </c>
    </row>
    <row r="32" spans="1:29" ht="15">
      <c r="A32" s="653"/>
      <c r="B32" s="651" t="s">
        <v>2713</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195" t="s">
        <v>2560</v>
      </c>
      <c r="Q32" s="1796" t="str">
        <f t="shared" si="11"/>
        <v>车位类型</v>
      </c>
      <c r="R32" s="771" t="s">
        <v>17</v>
      </c>
      <c r="S32" s="772">
        <f t="shared" si="12"/>
        <v>100</v>
      </c>
      <c r="T32" s="771" t="s">
        <v>17</v>
      </c>
      <c r="U32" s="772">
        <f t="shared" si="13"/>
        <v>100</v>
      </c>
      <c r="V32" s="771" t="s">
        <v>17</v>
      </c>
      <c r="W32" s="772">
        <f t="shared" si="14"/>
        <v>100</v>
      </c>
      <c r="X32" s="1799"/>
      <c r="Y32" s="3195" t="s">
        <v>2560</v>
      </c>
      <c r="Z32" s="1800" t="str">
        <f t="shared" si="15"/>
        <v>车位类型</v>
      </c>
      <c r="AA32" s="1797">
        <f t="shared" si="3"/>
        <v>1</v>
      </c>
      <c r="AB32" s="1797">
        <f t="shared" si="4"/>
        <v>1</v>
      </c>
      <c r="AC32" s="1797">
        <f t="shared" si="5"/>
        <v>1</v>
      </c>
    </row>
    <row r="33" spans="1:29" ht="15">
      <c r="A33" s="653"/>
      <c r="B33" s="651" t="s">
        <v>2714</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195"/>
      <c r="Q33" s="1796" t="str">
        <f t="shared" si="11"/>
        <v>是否直接入户</v>
      </c>
      <c r="R33" s="771" t="s">
        <v>17</v>
      </c>
      <c r="S33" s="772">
        <f t="shared" si="12"/>
        <v>100</v>
      </c>
      <c r="T33" s="771" t="s">
        <v>17</v>
      </c>
      <c r="U33" s="772">
        <f t="shared" si="13"/>
        <v>100</v>
      </c>
      <c r="V33" s="771" t="s">
        <v>17</v>
      </c>
      <c r="W33" s="772">
        <f t="shared" si="14"/>
        <v>100</v>
      </c>
      <c r="X33" s="1799"/>
      <c r="Y33" s="3195"/>
      <c r="Z33" s="1800" t="str">
        <f t="shared" si="15"/>
        <v>是否直接入户</v>
      </c>
      <c r="AA33" s="1797">
        <f t="shared" si="3"/>
        <v>1</v>
      </c>
      <c r="AB33" s="1797">
        <f t="shared" si="4"/>
        <v>1</v>
      </c>
      <c r="AC33" s="1797">
        <f t="shared" si="5"/>
        <v>1</v>
      </c>
    </row>
    <row r="34" spans="1:29" ht="15">
      <c r="A34" s="653"/>
      <c r="B34" s="645">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195"/>
      <c r="Q34" s="1796">
        <f t="shared" si="11"/>
        <v>111</v>
      </c>
      <c r="R34" s="771" t="s">
        <v>17</v>
      </c>
      <c r="S34" s="772">
        <f t="shared" si="12"/>
        <v>100</v>
      </c>
      <c r="T34" s="771" t="s">
        <v>17</v>
      </c>
      <c r="U34" s="772">
        <f t="shared" si="13"/>
        <v>100</v>
      </c>
      <c r="V34" s="771" t="s">
        <v>17</v>
      </c>
      <c r="W34" s="772">
        <f t="shared" si="14"/>
        <v>100</v>
      </c>
      <c r="X34" s="1799"/>
      <c r="Y34" s="3195"/>
      <c r="Z34" s="1800">
        <f t="shared" si="15"/>
        <v>111</v>
      </c>
      <c r="AA34" s="1797">
        <f t="shared" si="3"/>
        <v>1</v>
      </c>
      <c r="AB34" s="1797">
        <f t="shared" si="4"/>
        <v>1</v>
      </c>
      <c r="AC34" s="1797">
        <f t="shared" si="5"/>
        <v>1</v>
      </c>
    </row>
    <row r="35" spans="1:29" s="469" customFormat="1" ht="15">
      <c r="A35" s="650"/>
      <c r="B35" s="645">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195"/>
      <c r="Q35" s="773">
        <f t="shared" si="11"/>
        <v>111</v>
      </c>
      <c r="R35" s="774" t="s">
        <v>17</v>
      </c>
      <c r="S35" s="775">
        <f t="shared" si="12"/>
        <v>100</v>
      </c>
      <c r="T35" s="774" t="s">
        <v>17</v>
      </c>
      <c r="U35" s="775">
        <f t="shared" si="13"/>
        <v>100</v>
      </c>
      <c r="V35" s="774" t="s">
        <v>17</v>
      </c>
      <c r="W35" s="775">
        <f t="shared" si="14"/>
        <v>100</v>
      </c>
      <c r="X35" s="776"/>
      <c r="Y35" s="3195"/>
      <c r="Z35" s="777">
        <f t="shared" si="15"/>
        <v>111</v>
      </c>
      <c r="AA35" s="1797">
        <f t="shared" si="3"/>
        <v>1</v>
      </c>
      <c r="AB35" s="1797">
        <f t="shared" si="4"/>
        <v>1</v>
      </c>
      <c r="AC35" s="1797">
        <f t="shared" si="5"/>
        <v>1</v>
      </c>
    </row>
    <row r="36" spans="1:29" ht="15.75" thickBot="1">
      <c r="A36" s="656"/>
      <c r="B36" s="632">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195"/>
      <c r="Q36" s="1796">
        <f t="shared" si="11"/>
        <v>111</v>
      </c>
      <c r="R36" s="771" t="s">
        <v>17</v>
      </c>
      <c r="S36" s="772">
        <f t="shared" si="12"/>
        <v>100</v>
      </c>
      <c r="T36" s="771" t="s">
        <v>17</v>
      </c>
      <c r="U36" s="772">
        <f t="shared" si="13"/>
        <v>100</v>
      </c>
      <c r="V36" s="771" t="s">
        <v>17</v>
      </c>
      <c r="W36" s="772">
        <f t="shared" si="14"/>
        <v>100</v>
      </c>
      <c r="X36" s="1799"/>
      <c r="Y36" s="3195"/>
      <c r="Z36" s="1800">
        <f t="shared" si="15"/>
        <v>111</v>
      </c>
      <c r="AA36" s="1797">
        <f t="shared" si="3"/>
        <v>1</v>
      </c>
      <c r="AB36" s="1797">
        <f t="shared" si="4"/>
        <v>1</v>
      </c>
      <c r="AC36" s="1797">
        <f t="shared" si="5"/>
        <v>1</v>
      </c>
    </row>
    <row r="37" spans="1:29" ht="15">
      <c r="A37" s="477" t="s">
        <v>2715</v>
      </c>
      <c r="B37" s="2675" t="s">
        <v>2716</v>
      </c>
      <c r="C37" s="1392" t="s">
        <v>1</v>
      </c>
      <c r="D37" s="1393"/>
      <c r="E37" s="1394"/>
      <c r="F37" s="1395"/>
      <c r="G37" s="1396"/>
      <c r="H37" s="1397"/>
      <c r="I37" s="1394"/>
      <c r="J37" s="1397"/>
      <c r="K37" s="616"/>
      <c r="L37" s="1136"/>
      <c r="M37" s="1137"/>
      <c r="N37" s="1124"/>
      <c r="O37" s="1137"/>
      <c r="P37" s="3188" t="str">
        <f>A37</f>
        <v>成交单价</v>
      </c>
      <c r="Q37" s="3188"/>
      <c r="R37" s="3189">
        <f>E37</f>
        <v>0</v>
      </c>
      <c r="S37" s="3189"/>
      <c r="T37" s="3189">
        <f>G37</f>
        <v>0</v>
      </c>
      <c r="U37" s="3189"/>
      <c r="V37" s="3189">
        <f>I37</f>
        <v>0</v>
      </c>
      <c r="W37" s="3189"/>
      <c r="X37" s="756"/>
      <c r="Y37" s="778"/>
      <c r="Z37" s="756"/>
      <c r="AA37" s="756"/>
      <c r="AB37" s="756"/>
      <c r="AC37" s="756"/>
    </row>
    <row r="38" spans="1:29" ht="15.75" thickBot="1">
      <c r="A38" s="484" t="s">
        <v>2717</v>
      </c>
      <c r="B38" s="485" t="str">
        <f>B37</f>
        <v>元/车位</v>
      </c>
      <c r="C38" s="1398" t="e">
        <f>R39</f>
        <v>#DIV/0!</v>
      </c>
      <c r="D38" s="1399"/>
      <c r="E38" s="1400" t="e">
        <f>R38</f>
        <v>#DIV/0!</v>
      </c>
      <c r="F38" s="1400"/>
      <c r="G38" s="1398" t="e">
        <f>T38</f>
        <v>#DIV/0!</v>
      </c>
      <c r="H38" s="1399"/>
      <c r="I38" s="1400" t="e">
        <f>V38</f>
        <v>#DIV/0!</v>
      </c>
      <c r="J38" s="1399"/>
      <c r="K38" s="617"/>
      <c r="L38" s="1136"/>
      <c r="M38" s="1137"/>
      <c r="N38" s="1137"/>
      <c r="O38" s="113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6"/>
      <c r="Y38" s="756"/>
      <c r="Z38" s="756"/>
      <c r="AA38" s="756"/>
      <c r="AB38" s="756"/>
      <c r="AC38" s="756"/>
    </row>
    <row r="39" spans="1:29" ht="15.75" thickBot="1">
      <c r="A39" s="490" t="s">
        <v>2718</v>
      </c>
      <c r="B39" s="491"/>
      <c r="C39" s="1402" t="e">
        <f>R39</f>
        <v>#DIV/0!</v>
      </c>
      <c r="D39" s="1402"/>
      <c r="E39" s="1402"/>
      <c r="F39" s="1402"/>
      <c r="G39" s="1402"/>
      <c r="H39" s="1402"/>
      <c r="I39" s="1402"/>
      <c r="J39" s="1402"/>
      <c r="K39" s="618"/>
      <c r="L39" s="1136"/>
      <c r="M39" s="1137"/>
      <c r="N39" s="1137"/>
      <c r="O39" s="1137"/>
      <c r="P39" s="3185" t="str">
        <f>A39</f>
        <v>估价对象XX用房的比较价值（楼面单价，元/平方米）</v>
      </c>
      <c r="Q39" s="3186"/>
      <c r="R39" s="3187" t="e">
        <f>IF(F1="售价",ROUND(AVERAGE(R38:V38),0),ROUND(AVERAGE(R38:V38),1))</f>
        <v>#DIV/0!</v>
      </c>
      <c r="S39" s="3187"/>
      <c r="T39" s="3187"/>
      <c r="U39" s="3187"/>
      <c r="V39" s="3187"/>
      <c r="W39" s="3187"/>
      <c r="X39" s="756"/>
      <c r="Y39" s="756"/>
      <c r="Z39" s="756"/>
      <c r="AA39" s="756"/>
      <c r="AB39" s="756"/>
      <c r="AC39" s="756"/>
    </row>
    <row r="40" spans="1:29">
      <c r="A40" s="1137"/>
      <c r="B40" s="1137"/>
      <c r="C40" s="1137"/>
      <c r="D40" s="1137"/>
      <c r="E40" s="1137"/>
      <c r="F40" s="1137"/>
      <c r="G40" s="1140"/>
      <c r="H40" s="1137"/>
      <c r="I40" s="1137"/>
      <c r="J40" s="1137"/>
      <c r="K40" s="1098"/>
      <c r="L40" s="1099"/>
      <c r="M40" s="1137"/>
      <c r="N40" s="1137"/>
      <c r="O40" s="1137"/>
      <c r="P40" s="1405"/>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05"/>
      <c r="Q41" s="1137"/>
      <c r="R41" s="1137"/>
      <c r="S41" s="1137"/>
      <c r="T41" s="1137"/>
      <c r="U41" s="1137"/>
      <c r="V41" s="1137"/>
      <c r="W41" s="1137"/>
      <c r="X41" s="1137"/>
      <c r="Y41" s="1137"/>
      <c r="Z41" s="1137"/>
      <c r="AA41" s="1137"/>
      <c r="AB41" s="1137"/>
      <c r="AC41" s="1137"/>
    </row>
    <row r="42" spans="1:29" ht="13.5" customHeight="1">
      <c r="A42" s="1137"/>
      <c r="B42" s="1137"/>
      <c r="C42" s="495" t="s">
        <v>2719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05"/>
      <c r="Q42" s="1137"/>
      <c r="R42" s="1137"/>
      <c r="S42" s="1137"/>
      <c r="T42" s="1137"/>
      <c r="U42" s="1137"/>
      <c r="V42" s="1137"/>
      <c r="W42" s="1137"/>
      <c r="X42" s="1137"/>
      <c r="Y42" s="1137"/>
      <c r="Z42" s="1137"/>
      <c r="AA42" s="1137"/>
      <c r="AB42" s="1137"/>
      <c r="AC42" s="1137"/>
    </row>
    <row r="43" spans="1:29" ht="13.5" customHeight="1">
      <c r="A43" s="1137"/>
      <c r="B43" s="1137"/>
      <c r="C43" s="495" t="s">
        <v>2720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05"/>
      <c r="Q43" s="1137"/>
      <c r="R43" s="1137"/>
      <c r="S43" s="1137"/>
      <c r="T43" s="1137"/>
      <c r="U43" s="1137"/>
      <c r="V43" s="1137"/>
      <c r="W43" s="1137"/>
      <c r="X43" s="1137"/>
      <c r="Y43" s="1137"/>
      <c r="Z43" s="1137"/>
      <c r="AA43" s="1137"/>
      <c r="AB43" s="1137"/>
      <c r="AC43" s="1137"/>
    </row>
    <row r="44" spans="1:29" s="500" customFormat="1" ht="13.5" customHeight="1">
      <c r="A44" s="1138"/>
      <c r="B44" s="1138"/>
      <c r="C44" s="495" t="s">
        <v>2721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06"/>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06"/>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05"/>
      <c r="Q46" s="1137"/>
      <c r="R46" s="1137"/>
      <c r="S46" s="1137"/>
      <c r="T46" s="1137"/>
      <c r="U46" s="1137"/>
      <c r="V46" s="1137"/>
      <c r="W46" s="1137"/>
      <c r="X46" s="1137"/>
      <c r="Y46" s="1137"/>
      <c r="Z46" s="1137"/>
      <c r="AA46" s="1137"/>
      <c r="AB46" s="1137"/>
      <c r="AC46" s="1137"/>
    </row>
    <row r="47" spans="1:29" ht="21.75" thickBot="1">
      <c r="A47" s="1409" t="s">
        <v>2722</v>
      </c>
      <c r="B47" s="1137"/>
      <c r="C47" s="1152"/>
      <c r="D47" s="1152"/>
      <c r="E47" s="1152"/>
      <c r="F47" s="1410"/>
      <c r="G47" s="1410"/>
      <c r="H47" s="1152"/>
      <c r="I47" s="1152"/>
      <c r="J47" s="1152"/>
      <c r="K47" s="1153"/>
      <c r="L47" s="1154"/>
      <c r="M47" s="1152"/>
      <c r="N47" s="1152"/>
      <c r="O47" s="1152"/>
      <c r="P47" s="1407"/>
      <c r="Q47" s="1408"/>
      <c r="R47" s="1137"/>
      <c r="S47" s="1137"/>
      <c r="T47" s="1137"/>
      <c r="U47" s="1137"/>
      <c r="V47" s="1137"/>
      <c r="W47" s="1137"/>
      <c r="X47" s="1137"/>
      <c r="Y47" s="1137"/>
      <c r="Z47" s="1137"/>
      <c r="AA47" s="1137"/>
      <c r="AB47" s="1137"/>
      <c r="AC47" s="1137"/>
    </row>
    <row r="48" spans="1:29" s="506" customFormat="1" ht="15">
      <c r="A48" s="503" t="s">
        <v>2723</v>
      </c>
      <c r="B48" s="504"/>
      <c r="C48" s="1560" t="str">
        <f>YEAR(C7)&amp;"-"&amp;MONTH(C7)</f>
        <v>2017-11</v>
      </c>
      <c r="D48" s="1561">
        <f>EDATE(C48,-1)</f>
        <v>43009</v>
      </c>
      <c r="E48" s="1561">
        <f t="shared" ref="E48:O48" si="16">EDATE(D48,-1)</f>
        <v>42979</v>
      </c>
      <c r="F48" s="1561">
        <f t="shared" si="16"/>
        <v>42948</v>
      </c>
      <c r="G48" s="1561">
        <f t="shared" si="16"/>
        <v>42917</v>
      </c>
      <c r="H48" s="1561">
        <f t="shared" si="16"/>
        <v>42887</v>
      </c>
      <c r="I48" s="1561">
        <f t="shared" si="16"/>
        <v>42856</v>
      </c>
      <c r="J48" s="1561">
        <f t="shared" si="16"/>
        <v>42826</v>
      </c>
      <c r="K48" s="1561">
        <f t="shared" si="16"/>
        <v>42795</v>
      </c>
      <c r="L48" s="1561">
        <f t="shared" si="16"/>
        <v>42767</v>
      </c>
      <c r="M48" s="1561">
        <f t="shared" si="16"/>
        <v>42736</v>
      </c>
      <c r="N48" s="1561">
        <f t="shared" si="16"/>
        <v>42705</v>
      </c>
      <c r="O48" s="1561">
        <f t="shared" si="16"/>
        <v>42675</v>
      </c>
      <c r="P48" s="1423"/>
      <c r="Q48" s="1424"/>
      <c r="R48" s="1424"/>
      <c r="S48" s="1424"/>
      <c r="T48" s="1424"/>
      <c r="U48" s="1424"/>
      <c r="V48" s="1424"/>
      <c r="W48" s="1424"/>
      <c r="X48" s="1424"/>
      <c r="Y48" s="1424"/>
      <c r="Z48" s="1424"/>
      <c r="AA48" s="1424"/>
      <c r="AB48" s="1424"/>
      <c r="AC48" s="1424"/>
    </row>
    <row r="49" spans="1:29" s="115" customFormat="1" ht="15">
      <c r="A49" s="507"/>
      <c r="B49" s="508"/>
      <c r="C49" s="1552">
        <v>100</v>
      </c>
      <c r="D49" s="510"/>
      <c r="E49" s="510"/>
      <c r="F49" s="510"/>
      <c r="G49" s="510"/>
      <c r="H49" s="510"/>
      <c r="I49" s="510"/>
      <c r="J49" s="510"/>
      <c r="K49" s="510"/>
      <c r="L49" s="510"/>
      <c r="M49" s="511"/>
      <c r="N49" s="510"/>
      <c r="O49" s="511"/>
      <c r="P49" s="1413"/>
      <c r="Q49" s="1412"/>
      <c r="R49" s="1412"/>
      <c r="S49" s="1412"/>
      <c r="T49" s="1412"/>
      <c r="U49" s="1412"/>
      <c r="V49" s="1412"/>
      <c r="W49" s="1412"/>
      <c r="X49" s="1412"/>
      <c r="Y49" s="1412"/>
      <c r="Z49" s="1412"/>
      <c r="AA49" s="1412"/>
      <c r="AB49" s="1412"/>
      <c r="AC49" s="1412"/>
    </row>
    <row r="50" spans="1:29" s="115" customFormat="1" ht="15.75" thickBot="1">
      <c r="A50" s="513" t="s">
        <v>2580</v>
      </c>
      <c r="B50" s="514"/>
      <c r="C50" s="515"/>
      <c r="D50" s="516"/>
      <c r="E50" s="516"/>
      <c r="F50" s="516"/>
      <c r="G50" s="516"/>
      <c r="H50" s="516"/>
      <c r="I50" s="516"/>
      <c r="J50" s="516"/>
      <c r="K50" s="516"/>
      <c r="L50" s="516"/>
      <c r="M50" s="517"/>
      <c r="N50" s="516"/>
      <c r="O50" s="517"/>
      <c r="P50" s="1413"/>
      <c r="Q50" s="1408"/>
      <c r="R50" s="1412"/>
      <c r="S50" s="1412"/>
      <c r="T50" s="1412"/>
      <c r="U50" s="1412"/>
      <c r="V50" s="1412"/>
      <c r="W50" s="1412"/>
      <c r="X50" s="1412"/>
      <c r="Y50" s="1412"/>
      <c r="Z50" s="1412"/>
      <c r="AA50" s="1412"/>
      <c r="AB50" s="1412"/>
      <c r="AC50" s="1412"/>
    </row>
    <row r="51" spans="1:29" s="115" customFormat="1" ht="15">
      <c r="A51" s="519" t="s">
        <v>2545</v>
      </c>
      <c r="B51" s="508"/>
      <c r="C51" s="520" t="s">
        <v>2647</v>
      </c>
      <c r="D51" s="521"/>
      <c r="E51" s="521"/>
      <c r="F51" s="521"/>
      <c r="G51" s="521"/>
      <c r="H51" s="521"/>
      <c r="I51" s="521"/>
      <c r="J51" s="521"/>
      <c r="K51" s="521"/>
      <c r="L51" s="522"/>
      <c r="M51" s="523"/>
      <c r="N51" s="1144"/>
      <c r="O51" s="1144"/>
      <c r="P51" s="1411"/>
      <c r="Q51" s="1408"/>
      <c r="R51" s="1412"/>
      <c r="S51" s="1412"/>
      <c r="T51" s="1412"/>
      <c r="U51" s="1412"/>
      <c r="V51" s="1412"/>
      <c r="W51" s="1412"/>
      <c r="X51" s="1412"/>
      <c r="Y51" s="1412"/>
      <c r="Z51" s="1412"/>
      <c r="AA51" s="1412"/>
      <c r="AB51" s="1412"/>
      <c r="AC51" s="1412"/>
    </row>
    <row r="52" spans="1:29" s="115" customFormat="1" ht="15.75" thickBot="1">
      <c r="A52" s="519"/>
      <c r="B52" s="508"/>
      <c r="C52" s="636">
        <v>100</v>
      </c>
      <c r="D52" s="510"/>
      <c r="E52" s="510"/>
      <c r="F52" s="510"/>
      <c r="G52" s="510"/>
      <c r="H52" s="510"/>
      <c r="I52" s="510"/>
      <c r="J52" s="510"/>
      <c r="K52" s="510"/>
      <c r="L52" s="510"/>
      <c r="M52" s="512"/>
      <c r="N52" s="1144"/>
      <c r="O52" s="1144"/>
      <c r="P52" s="1413"/>
      <c r="Q52" s="1408"/>
      <c r="R52" s="1412"/>
      <c r="S52" s="1412"/>
      <c r="T52" s="1412"/>
      <c r="U52" s="1412"/>
      <c r="V52" s="1412"/>
      <c r="W52" s="1412"/>
      <c r="X52" s="1412"/>
      <c r="Y52" s="1412"/>
      <c r="Z52" s="1412"/>
      <c r="AA52" s="1412"/>
      <c r="AB52" s="1412"/>
      <c r="AC52" s="1412"/>
    </row>
    <row r="53" spans="1:29">
      <c r="A53" s="525" t="s">
        <v>2583</v>
      </c>
      <c r="B53" s="526" t="s">
        <v>2549</v>
      </c>
      <c r="C53" s="527">
        <f>C9</f>
        <v>0</v>
      </c>
      <c r="D53" s="528"/>
      <c r="E53" s="528"/>
      <c r="F53" s="528"/>
      <c r="G53" s="528"/>
      <c r="H53" s="528"/>
      <c r="I53" s="528"/>
      <c r="J53" s="528"/>
      <c r="K53" s="529"/>
      <c r="L53" s="530"/>
      <c r="M53" s="531"/>
      <c r="N53" s="1145"/>
      <c r="O53" s="1145"/>
      <c r="P53" s="1414"/>
      <c r="Q53" s="1408"/>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14"/>
      <c r="Q54" s="1408"/>
      <c r="R54" s="1137"/>
      <c r="S54" s="1137"/>
      <c r="T54" s="1137"/>
      <c r="U54" s="1137"/>
      <c r="V54" s="1137"/>
      <c r="W54" s="1137"/>
      <c r="X54" s="1137"/>
      <c r="Y54" s="1137"/>
      <c r="Z54" s="1137"/>
      <c r="AA54" s="1137"/>
      <c r="AB54" s="1137"/>
      <c r="AC54" s="1137"/>
    </row>
    <row r="55" spans="1:29" ht="27.75" thickTop="1">
      <c r="A55" s="532"/>
      <c r="B55" s="536" t="s">
        <v>2552</v>
      </c>
      <c r="C55" s="537" t="s">
        <v>2584</v>
      </c>
      <c r="D55" s="537" t="s">
        <v>2585</v>
      </c>
      <c r="E55" s="537" t="s">
        <v>2586</v>
      </c>
      <c r="F55" s="537" t="s">
        <v>2587</v>
      </c>
      <c r="G55" s="537" t="s">
        <v>2588</v>
      </c>
      <c r="H55" s="537" t="s">
        <v>2589</v>
      </c>
      <c r="I55" s="537" t="s">
        <v>2590</v>
      </c>
      <c r="J55" s="537"/>
      <c r="K55" s="538"/>
      <c r="L55" s="539"/>
      <c r="M55" s="540"/>
      <c r="N55" s="1145"/>
      <c r="O55" s="1145"/>
      <c r="P55" s="1414"/>
      <c r="Q55" s="1408"/>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14"/>
      <c r="Q56" s="1408"/>
      <c r="R56" s="1137"/>
      <c r="S56" s="1137"/>
      <c r="T56" s="1137"/>
      <c r="U56" s="1137"/>
      <c r="V56" s="1137"/>
      <c r="W56" s="1137"/>
      <c r="X56" s="1137"/>
      <c r="Y56" s="1137"/>
      <c r="Z56" s="1137"/>
      <c r="AA56" s="1137"/>
      <c r="AB56" s="1137"/>
      <c r="AC56" s="1137"/>
    </row>
    <row r="57" spans="1:29" ht="15.75" thickTop="1">
      <c r="A57" s="532"/>
      <c r="B57" s="657">
        <f>B11</f>
        <v>111</v>
      </c>
      <c r="C57" s="547"/>
      <c r="D57" s="547"/>
      <c r="E57" s="547"/>
      <c r="F57" s="547"/>
      <c r="G57" s="547"/>
      <c r="H57" s="547"/>
      <c r="I57" s="547"/>
      <c r="J57" s="547"/>
      <c r="K57" s="548"/>
      <c r="L57" s="549"/>
      <c r="M57" s="550"/>
      <c r="N57" s="1145"/>
      <c r="O57" s="1145"/>
      <c r="P57" s="1414"/>
      <c r="Q57" s="1408"/>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14"/>
      <c r="Q58" s="1408"/>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15"/>
      <c r="Q59" s="1416"/>
      <c r="R59" s="1417"/>
      <c r="S59" s="1417"/>
      <c r="T59" s="1417"/>
      <c r="U59" s="1417"/>
      <c r="V59" s="1417"/>
      <c r="W59" s="1417"/>
      <c r="X59" s="1417"/>
      <c r="Y59" s="1417"/>
      <c r="Z59" s="1417"/>
      <c r="AA59" s="1417"/>
      <c r="AB59" s="1417"/>
      <c r="AC59" s="1417"/>
    </row>
    <row r="60" spans="1:29" s="469" customFormat="1" ht="15.75" thickBot="1">
      <c r="A60" s="551"/>
      <c r="B60" s="541"/>
      <c r="C60" s="558"/>
      <c r="D60" s="534"/>
      <c r="E60" s="534"/>
      <c r="F60" s="534"/>
      <c r="G60" s="534"/>
      <c r="H60" s="534"/>
      <c r="I60" s="534"/>
      <c r="J60" s="534"/>
      <c r="K60" s="534"/>
      <c r="L60" s="534"/>
      <c r="M60" s="535"/>
      <c r="N60" s="1146"/>
      <c r="O60" s="1146"/>
      <c r="P60" s="1415"/>
      <c r="Q60" s="1416"/>
      <c r="R60" s="1417"/>
      <c r="S60" s="1417"/>
      <c r="T60" s="1417"/>
      <c r="U60" s="1417"/>
      <c r="V60" s="1417"/>
      <c r="W60" s="1417"/>
      <c r="X60" s="1417"/>
      <c r="Y60" s="1417"/>
      <c r="Z60" s="1417"/>
      <c r="AA60" s="1417"/>
      <c r="AB60" s="1417"/>
      <c r="AC60" s="1417"/>
    </row>
    <row r="61" spans="1:29" s="469" customFormat="1" ht="15.75" thickTop="1">
      <c r="A61" s="551"/>
      <c r="B61" s="536">
        <f>B13</f>
        <v>111</v>
      </c>
      <c r="C61" s="552"/>
      <c r="D61" s="552"/>
      <c r="E61" s="552"/>
      <c r="F61" s="552"/>
      <c r="G61" s="552"/>
      <c r="H61" s="553"/>
      <c r="I61" s="553"/>
      <c r="J61" s="553"/>
      <c r="K61" s="553"/>
      <c r="L61" s="554"/>
      <c r="M61" s="555"/>
      <c r="N61" s="1147"/>
      <c r="O61" s="1147"/>
      <c r="P61" s="1418"/>
      <c r="Q61" s="1419"/>
      <c r="R61" s="1417"/>
      <c r="S61" s="1417"/>
      <c r="T61" s="1417"/>
      <c r="U61" s="1417"/>
      <c r="V61" s="1417"/>
      <c r="W61" s="1417"/>
      <c r="X61" s="1417"/>
      <c r="Y61" s="1417"/>
      <c r="Z61" s="1417"/>
      <c r="AA61" s="1417"/>
      <c r="AB61" s="1417"/>
      <c r="AC61" s="1417"/>
    </row>
    <row r="62" spans="1:29" s="469" customFormat="1" ht="15.75" thickBot="1">
      <c r="A62" s="551"/>
      <c r="B62" s="541"/>
      <c r="C62" s="558"/>
      <c r="D62" s="558"/>
      <c r="E62" s="558"/>
      <c r="F62" s="558"/>
      <c r="G62" s="558"/>
      <c r="H62" s="560"/>
      <c r="I62" s="560"/>
      <c r="J62" s="560"/>
      <c r="K62" s="560"/>
      <c r="L62" s="560"/>
      <c r="M62" s="561"/>
      <c r="N62" s="1147"/>
      <c r="O62" s="1147"/>
      <c r="P62" s="1415"/>
      <c r="Q62" s="1416"/>
      <c r="R62" s="1417"/>
      <c r="S62" s="1417"/>
      <c r="T62" s="1417"/>
      <c r="U62" s="1417"/>
      <c r="V62" s="1417"/>
      <c r="W62" s="1417"/>
      <c r="X62" s="1417"/>
      <c r="Y62" s="1417"/>
      <c r="Z62" s="1417"/>
      <c r="AA62" s="1417"/>
      <c r="AB62" s="1417"/>
      <c r="AC62" s="1417"/>
    </row>
    <row r="63" spans="1:29" ht="15" thickTop="1">
      <c r="A63" s="525" t="s">
        <v>2554</v>
      </c>
      <c r="B63" s="526" t="s">
        <v>2597</v>
      </c>
      <c r="C63" s="571" t="s">
        <v>2592</v>
      </c>
      <c r="D63" s="571" t="s">
        <v>2593</v>
      </c>
      <c r="E63" s="571" t="s">
        <v>2594</v>
      </c>
      <c r="F63" s="571" t="s">
        <v>2595</v>
      </c>
      <c r="G63" s="571" t="s">
        <v>2596</v>
      </c>
      <c r="H63" s="527"/>
      <c r="I63" s="527"/>
      <c r="J63" s="527"/>
      <c r="K63" s="572"/>
      <c r="L63" s="573"/>
      <c r="M63" s="574"/>
      <c r="N63" s="1145"/>
      <c r="O63" s="1145"/>
      <c r="P63" s="1420"/>
      <c r="Q63" s="1408"/>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14"/>
      <c r="Q64" s="1408"/>
      <c r="R64" s="1137"/>
      <c r="S64" s="1137"/>
      <c r="T64" s="1137"/>
      <c r="U64" s="1137"/>
      <c r="V64" s="1137"/>
      <c r="W64" s="1137"/>
      <c r="X64" s="1137"/>
      <c r="Y64" s="1137"/>
      <c r="Z64" s="1137"/>
      <c r="AA64" s="1137"/>
      <c r="AB64" s="1137"/>
      <c r="AC64" s="1137"/>
    </row>
    <row r="65" spans="1:29" ht="15.75" thickTop="1">
      <c r="A65" s="532"/>
      <c r="B65" s="536" t="s">
        <v>2598</v>
      </c>
      <c r="C65" s="576" t="s">
        <v>2592</v>
      </c>
      <c r="D65" s="576" t="s">
        <v>2593</v>
      </c>
      <c r="E65" s="576" t="s">
        <v>2594</v>
      </c>
      <c r="F65" s="576" t="s">
        <v>2595</v>
      </c>
      <c r="G65" s="576" t="s">
        <v>2596</v>
      </c>
      <c r="H65" s="537"/>
      <c r="I65" s="537"/>
      <c r="J65" s="537"/>
      <c r="K65" s="538"/>
      <c r="L65" s="539"/>
      <c r="M65" s="540"/>
      <c r="N65" s="1145"/>
      <c r="O65" s="1145"/>
      <c r="P65" s="1414"/>
      <c r="Q65" s="1408"/>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14"/>
      <c r="Q66" s="1408"/>
      <c r="R66" s="1137"/>
      <c r="S66" s="1137"/>
      <c r="T66" s="1137"/>
      <c r="U66" s="1137"/>
      <c r="V66" s="1137"/>
      <c r="W66" s="1137"/>
      <c r="X66" s="1137"/>
      <c r="Y66" s="1137"/>
      <c r="Z66" s="1137"/>
      <c r="AA66" s="1137"/>
      <c r="AB66" s="1137"/>
      <c r="AC66" s="1137"/>
    </row>
    <row r="67" spans="1:29" ht="15.75" thickTop="1">
      <c r="A67" s="532"/>
      <c r="B67" s="544" t="s">
        <v>2684</v>
      </c>
      <c r="C67" s="657" t="s">
        <v>2670</v>
      </c>
      <c r="D67" s="657" t="s">
        <v>2671</v>
      </c>
      <c r="E67" s="657" t="s">
        <v>2672</v>
      </c>
      <c r="F67" s="657" t="s">
        <v>2673</v>
      </c>
      <c r="G67" s="657" t="s">
        <v>2674</v>
      </c>
      <c r="H67" s="537"/>
      <c r="I67" s="537"/>
      <c r="J67" s="537"/>
      <c r="K67" s="537"/>
      <c r="L67" s="537"/>
      <c r="M67" s="1367"/>
      <c r="N67" s="1146"/>
      <c r="O67" s="1146"/>
      <c r="P67" s="1414"/>
      <c r="Q67" s="1408"/>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7"/>
      <c r="I68" s="657"/>
      <c r="J68" s="657"/>
      <c r="K68" s="657"/>
      <c r="L68" s="657"/>
      <c r="M68" s="448"/>
      <c r="N68" s="1146"/>
      <c r="O68" s="1146"/>
      <c r="P68" s="1414"/>
      <c r="Q68" s="1408"/>
      <c r="R68" s="1137"/>
      <c r="S68" s="1137"/>
      <c r="T68" s="1137"/>
      <c r="U68" s="1137"/>
      <c r="V68" s="1137"/>
      <c r="W68" s="1137"/>
      <c r="X68" s="1137"/>
      <c r="Y68" s="1137"/>
      <c r="Z68" s="1137"/>
      <c r="AA68" s="1137"/>
      <c r="AB68" s="1137"/>
      <c r="AC68" s="1137"/>
    </row>
    <row r="69" spans="1:29" ht="15.75" thickTop="1">
      <c r="A69" s="532"/>
      <c r="B69" s="536" t="s">
        <v>2604</v>
      </c>
      <c r="C69" s="576" t="s">
        <v>2592</v>
      </c>
      <c r="D69" s="576" t="s">
        <v>2593</v>
      </c>
      <c r="E69" s="576" t="s">
        <v>2594</v>
      </c>
      <c r="F69" s="576" t="s">
        <v>2595</v>
      </c>
      <c r="G69" s="576" t="s">
        <v>2596</v>
      </c>
      <c r="H69" s="537"/>
      <c r="I69" s="537"/>
      <c r="J69" s="537"/>
      <c r="K69" s="538"/>
      <c r="L69" s="539"/>
      <c r="M69" s="540"/>
      <c r="N69" s="1145"/>
      <c r="O69" s="1145"/>
      <c r="P69" s="1414"/>
      <c r="Q69" s="1408"/>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14"/>
      <c r="Q70" s="1408"/>
      <c r="R70" s="1137"/>
      <c r="S70" s="1137"/>
      <c r="T70" s="1137"/>
      <c r="U70" s="1137"/>
      <c r="V70" s="1137"/>
      <c r="W70" s="1137"/>
      <c r="X70" s="1137"/>
      <c r="Y70" s="1137"/>
      <c r="Z70" s="1137"/>
      <c r="AA70" s="1137"/>
      <c r="AB70" s="1137"/>
      <c r="AC70" s="1137"/>
    </row>
    <row r="71" spans="1:29" ht="15.75" thickTop="1">
      <c r="A71" s="532"/>
      <c r="B71" s="536" t="s">
        <v>2724</v>
      </c>
      <c r="C71" s="552"/>
      <c r="D71" s="552"/>
      <c r="E71" s="552"/>
      <c r="F71" s="552"/>
      <c r="G71" s="552"/>
      <c r="H71" s="581"/>
      <c r="I71" s="581"/>
      <c r="J71" s="581"/>
      <c r="K71" s="582"/>
      <c r="L71" s="583"/>
      <c r="M71" s="584"/>
      <c r="N71" s="1145"/>
      <c r="O71" s="1145"/>
      <c r="P71" s="1414"/>
      <c r="Q71" s="1408"/>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14"/>
      <c r="Q72" s="1408"/>
      <c r="R72" s="1137"/>
      <c r="S72" s="1137"/>
      <c r="T72" s="1137"/>
      <c r="U72" s="1137"/>
      <c r="V72" s="1137"/>
      <c r="W72" s="1137"/>
      <c r="X72" s="1137"/>
      <c r="Y72" s="1137"/>
      <c r="Z72" s="1137"/>
      <c r="AA72" s="1137"/>
      <c r="AB72" s="1137"/>
      <c r="AC72" s="1137"/>
    </row>
    <row r="73" spans="1:29" s="115" customFormat="1" ht="15.75" thickTop="1">
      <c r="A73" s="577"/>
      <c r="B73" s="536">
        <f>B23</f>
        <v>111</v>
      </c>
      <c r="C73" s="547"/>
      <c r="D73" s="547"/>
      <c r="E73" s="547"/>
      <c r="F73" s="547"/>
      <c r="G73" s="552"/>
      <c r="H73" s="552"/>
      <c r="I73" s="552"/>
      <c r="J73" s="552"/>
      <c r="K73" s="552"/>
      <c r="L73" s="578"/>
      <c r="M73" s="579"/>
      <c r="N73" s="1144"/>
      <c r="O73" s="1144"/>
      <c r="P73" s="1414"/>
      <c r="Q73" s="1408"/>
      <c r="R73" s="1412"/>
      <c r="S73" s="1412"/>
      <c r="T73" s="1412"/>
      <c r="U73" s="1412"/>
      <c r="V73" s="1412"/>
      <c r="W73" s="1412"/>
      <c r="X73" s="1412"/>
      <c r="Y73" s="1412"/>
      <c r="Z73" s="1412"/>
      <c r="AA73" s="1412"/>
      <c r="AB73" s="1412"/>
      <c r="AC73" s="1412"/>
    </row>
    <row r="74" spans="1:29" s="115" customFormat="1" ht="15.75" thickBot="1">
      <c r="A74" s="577"/>
      <c r="B74" s="541"/>
      <c r="C74" s="558"/>
      <c r="D74" s="534"/>
      <c r="E74" s="534"/>
      <c r="F74" s="534"/>
      <c r="G74" s="534"/>
      <c r="H74" s="534"/>
      <c r="I74" s="534"/>
      <c r="J74" s="534"/>
      <c r="K74" s="534"/>
      <c r="L74" s="534"/>
      <c r="M74" s="535"/>
      <c r="N74" s="1146"/>
      <c r="O74" s="1146"/>
      <c r="P74" s="1414"/>
      <c r="Q74" s="1408"/>
      <c r="R74" s="1412"/>
      <c r="S74" s="1412"/>
      <c r="T74" s="1412"/>
      <c r="U74" s="1412"/>
      <c r="V74" s="1412"/>
      <c r="W74" s="1412"/>
      <c r="X74" s="1412"/>
      <c r="Y74" s="1412"/>
      <c r="Z74" s="1412"/>
      <c r="AA74" s="1412"/>
      <c r="AB74" s="1412"/>
      <c r="AC74" s="1412"/>
    </row>
    <row r="75" spans="1:29" s="115" customFormat="1" ht="15.75" thickTop="1">
      <c r="A75" s="577"/>
      <c r="B75" s="536">
        <f>B24</f>
        <v>111</v>
      </c>
      <c r="C75" s="547"/>
      <c r="D75" s="547"/>
      <c r="E75" s="547"/>
      <c r="F75" s="547"/>
      <c r="G75" s="552"/>
      <c r="H75" s="552"/>
      <c r="I75" s="552"/>
      <c r="J75" s="552"/>
      <c r="K75" s="552"/>
      <c r="L75" s="552"/>
      <c r="M75" s="579"/>
      <c r="N75" s="1144"/>
      <c r="O75" s="1144"/>
      <c r="P75" s="1414"/>
      <c r="Q75" s="1408"/>
      <c r="R75" s="1412"/>
      <c r="S75" s="1412"/>
      <c r="T75" s="1412"/>
      <c r="U75" s="1412"/>
      <c r="V75" s="1412"/>
      <c r="W75" s="1412"/>
      <c r="X75" s="1412"/>
      <c r="Y75" s="1412"/>
      <c r="Z75" s="1412"/>
      <c r="AA75" s="1412"/>
      <c r="AB75" s="1412"/>
      <c r="AC75" s="1412"/>
    </row>
    <row r="76" spans="1:29" s="115" customFormat="1" ht="15.75" thickBot="1">
      <c r="A76" s="577"/>
      <c r="B76" s="541"/>
      <c r="C76" s="558"/>
      <c r="D76" s="534"/>
      <c r="E76" s="534"/>
      <c r="F76" s="534"/>
      <c r="G76" s="534"/>
      <c r="H76" s="534"/>
      <c r="I76" s="534"/>
      <c r="J76" s="534"/>
      <c r="K76" s="534"/>
      <c r="L76" s="534"/>
      <c r="M76" s="535"/>
      <c r="N76" s="1146"/>
      <c r="O76" s="1146"/>
      <c r="P76" s="1414"/>
      <c r="Q76" s="1408"/>
      <c r="R76" s="1412"/>
      <c r="S76" s="1412"/>
      <c r="T76" s="1412"/>
      <c r="U76" s="1412"/>
      <c r="V76" s="1412"/>
      <c r="W76" s="1412"/>
      <c r="X76" s="1412"/>
      <c r="Y76" s="1412"/>
      <c r="Z76" s="1412"/>
      <c r="AA76" s="1412"/>
      <c r="AB76" s="1412"/>
      <c r="AC76" s="1412"/>
    </row>
    <row r="77" spans="1:29" s="469" customFormat="1" ht="15.75" thickTop="1">
      <c r="A77" s="551"/>
      <c r="B77" s="536">
        <f>B25</f>
        <v>111</v>
      </c>
      <c r="C77" s="552"/>
      <c r="D77" s="552"/>
      <c r="E77" s="552"/>
      <c r="F77" s="552"/>
      <c r="G77" s="552"/>
      <c r="H77" s="553"/>
      <c r="I77" s="553"/>
      <c r="J77" s="553"/>
      <c r="K77" s="553"/>
      <c r="L77" s="554"/>
      <c r="M77" s="555"/>
      <c r="N77" s="1147"/>
      <c r="O77" s="1147"/>
      <c r="P77" s="1415"/>
      <c r="Q77" s="1416"/>
      <c r="R77" s="1417"/>
      <c r="S77" s="1417"/>
      <c r="T77" s="1417"/>
      <c r="U77" s="1417"/>
      <c r="V77" s="1417"/>
      <c r="W77" s="1417"/>
      <c r="X77" s="1417"/>
      <c r="Y77" s="1417"/>
      <c r="Z77" s="1417"/>
      <c r="AA77" s="1417"/>
      <c r="AB77" s="1417"/>
      <c r="AC77" s="1417"/>
    </row>
    <row r="78" spans="1:29" s="469" customFormat="1" ht="15.75" thickBot="1">
      <c r="A78" s="551"/>
      <c r="B78" s="541"/>
      <c r="C78" s="558"/>
      <c r="D78" s="558"/>
      <c r="E78" s="558"/>
      <c r="F78" s="558"/>
      <c r="G78" s="534"/>
      <c r="H78" s="534"/>
      <c r="I78" s="534"/>
      <c r="J78" s="534"/>
      <c r="K78" s="534"/>
      <c r="L78" s="534"/>
      <c r="M78" s="535"/>
      <c r="N78" s="1147"/>
      <c r="O78" s="1147"/>
      <c r="P78" s="1415"/>
      <c r="Q78" s="1416"/>
      <c r="R78" s="1417"/>
      <c r="S78" s="1417"/>
      <c r="T78" s="1417"/>
      <c r="U78" s="1417"/>
      <c r="V78" s="1417"/>
      <c r="W78" s="1417"/>
      <c r="X78" s="1417"/>
      <c r="Y78" s="1417"/>
      <c r="Z78" s="1417"/>
      <c r="AA78" s="1417"/>
      <c r="AB78" s="1417"/>
      <c r="AC78" s="1417"/>
    </row>
    <row r="79" spans="1:29" ht="27.75" thickTop="1">
      <c r="A79" s="525" t="s">
        <v>2558</v>
      </c>
      <c r="B79" s="526" t="s">
        <v>2725</v>
      </c>
      <c r="C79" s="527">
        <f>C26</f>
        <v>0</v>
      </c>
      <c r="D79" s="528"/>
      <c r="E79" s="528"/>
      <c r="F79" s="528"/>
      <c r="G79" s="528"/>
      <c r="H79" s="528"/>
      <c r="I79" s="528"/>
      <c r="J79" s="528"/>
      <c r="K79" s="529"/>
      <c r="L79" s="530"/>
      <c r="M79" s="531"/>
      <c r="N79" s="1145"/>
      <c r="O79" s="1145"/>
      <c r="P79" s="1414"/>
      <c r="Q79" s="1408"/>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14"/>
      <c r="Q80" s="1408"/>
      <c r="R80" s="1137"/>
      <c r="S80" s="1137"/>
      <c r="T80" s="1137"/>
      <c r="U80" s="1137"/>
      <c r="V80" s="1137"/>
      <c r="W80" s="1137"/>
      <c r="X80" s="1137"/>
      <c r="Y80" s="1137"/>
      <c r="Z80" s="1137"/>
      <c r="AA80" s="1137"/>
      <c r="AB80" s="1137"/>
      <c r="AC80" s="1137"/>
    </row>
    <row r="81" spans="1:29" ht="15.75" thickTop="1">
      <c r="A81" s="532"/>
      <c r="B81" s="536" t="s">
        <v>2726</v>
      </c>
      <c r="C81" s="658"/>
      <c r="D81" s="658"/>
      <c r="E81" s="658"/>
      <c r="F81" s="658"/>
      <c r="G81" s="658"/>
      <c r="H81" s="658"/>
      <c r="I81" s="658"/>
      <c r="J81" s="658"/>
      <c r="K81" s="659"/>
      <c r="L81" s="660"/>
      <c r="M81" s="661"/>
      <c r="N81" s="1144"/>
      <c r="O81" s="1144"/>
      <c r="P81" s="1414"/>
      <c r="Q81" s="1408"/>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15"/>
      <c r="Q82" s="1416"/>
      <c r="R82" s="1417"/>
      <c r="S82" s="1417"/>
      <c r="T82" s="1417"/>
      <c r="U82" s="1417"/>
      <c r="V82" s="1417"/>
      <c r="W82" s="1417"/>
      <c r="X82" s="1417"/>
      <c r="Y82" s="1417"/>
      <c r="Z82" s="1417"/>
      <c r="AA82" s="1417"/>
      <c r="AB82" s="1417"/>
      <c r="AC82" s="1417"/>
    </row>
    <row r="83" spans="1:29" ht="15" thickTop="1">
      <c r="A83" s="597"/>
      <c r="B83" s="536" t="s">
        <v>2611</v>
      </c>
      <c r="C83" s="552"/>
      <c r="D83" s="552"/>
      <c r="E83" s="581"/>
      <c r="F83" s="581"/>
      <c r="G83" s="581"/>
      <c r="H83" s="581"/>
      <c r="I83" s="581"/>
      <c r="J83" s="581"/>
      <c r="K83" s="582"/>
      <c r="L83" s="583"/>
      <c r="M83" s="584"/>
      <c r="N83" s="1145"/>
      <c r="O83" s="1145"/>
      <c r="P83" s="1414"/>
      <c r="Q83" s="1408"/>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14"/>
      <c r="Q84" s="1408"/>
      <c r="R84" s="1137"/>
      <c r="S84" s="1137"/>
      <c r="T84" s="1137"/>
      <c r="U84" s="1137"/>
      <c r="V84" s="1137"/>
      <c r="W84" s="1137"/>
      <c r="X84" s="1137"/>
      <c r="Y84" s="1137"/>
      <c r="Z84" s="1137"/>
      <c r="AA84" s="1137"/>
      <c r="AB84" s="1137"/>
      <c r="AC84" s="1137"/>
    </row>
    <row r="85" spans="1:29" ht="15" thickTop="1">
      <c r="A85" s="597"/>
      <c r="B85" s="536" t="s">
        <v>2727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14"/>
      <c r="Q85" s="1408"/>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0"/>
      <c r="J86" s="620"/>
      <c r="K86" s="621"/>
      <c r="L86" s="622"/>
      <c r="M86" s="623"/>
      <c r="N86" s="1145"/>
      <c r="O86" s="1145"/>
      <c r="P86" s="1414"/>
      <c r="Q86" s="1408"/>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14"/>
      <c r="Q87" s="1408"/>
      <c r="R87" s="1137"/>
      <c r="S87" s="1137"/>
      <c r="T87" s="1137"/>
      <c r="U87" s="1137"/>
      <c r="V87" s="1137"/>
      <c r="W87" s="1137"/>
      <c r="X87" s="1137"/>
      <c r="Y87" s="1137"/>
      <c r="Z87" s="1137"/>
      <c r="AA87" s="1137"/>
      <c r="AB87" s="1137"/>
      <c r="AC87" s="1137"/>
    </row>
    <row r="88" spans="1:29" ht="15" thickTop="1">
      <c r="A88" s="597"/>
      <c r="B88" s="544" t="s">
        <v>2728</v>
      </c>
      <c r="C88" s="528"/>
      <c r="D88" s="528"/>
      <c r="E88" s="528"/>
      <c r="F88" s="528"/>
      <c r="G88" s="528"/>
      <c r="H88" s="528"/>
      <c r="I88" s="528"/>
      <c r="J88" s="528"/>
      <c r="K88" s="529"/>
      <c r="L88" s="530"/>
      <c r="M88" s="531"/>
      <c r="N88" s="1145"/>
      <c r="O88" s="1145"/>
      <c r="P88" s="1414"/>
      <c r="Q88" s="1408"/>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14"/>
      <c r="Q89" s="1408"/>
      <c r="R89" s="1137"/>
      <c r="S89" s="1137"/>
      <c r="T89" s="1137"/>
      <c r="U89" s="1137"/>
      <c r="V89" s="1137"/>
      <c r="W89" s="1137"/>
      <c r="X89" s="1137"/>
      <c r="Y89" s="1137"/>
      <c r="Z89" s="1137"/>
      <c r="AA89" s="1137"/>
      <c r="AB89" s="1137"/>
      <c r="AC89" s="1137"/>
    </row>
    <row r="90" spans="1:29" s="469" customFormat="1" ht="15" thickTop="1">
      <c r="A90" s="591"/>
      <c r="B90" s="536" t="s">
        <v>2729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9" t="str">
        <f>M91&amp;"(含)"&amp;"-"&amp;P91</f>
        <v>(含)-</v>
      </c>
      <c r="N90" s="1147"/>
      <c r="O90" s="1147"/>
      <c r="P90" s="1415"/>
      <c r="Q90" s="1416"/>
      <c r="R90" s="1417"/>
      <c r="S90" s="1417"/>
      <c r="T90" s="1417"/>
      <c r="U90" s="1417"/>
      <c r="V90" s="1417"/>
      <c r="W90" s="1417"/>
      <c r="X90" s="1417"/>
      <c r="Y90" s="1417"/>
      <c r="Z90" s="1417"/>
      <c r="AA90" s="1417"/>
      <c r="AB90" s="1417"/>
      <c r="AC90" s="1417"/>
    </row>
    <row r="91" spans="1:29" s="469" customFormat="1">
      <c r="A91" s="591"/>
      <c r="B91" s="544"/>
      <c r="C91" s="593"/>
      <c r="D91" s="593"/>
      <c r="E91" s="593"/>
      <c r="F91" s="593"/>
      <c r="G91" s="593"/>
      <c r="H91" s="593"/>
      <c r="I91" s="593"/>
      <c r="J91" s="594"/>
      <c r="K91" s="594"/>
      <c r="L91" s="595"/>
      <c r="M91" s="596"/>
      <c r="N91" s="1147"/>
      <c r="O91" s="1147"/>
      <c r="P91" s="1415"/>
      <c r="Q91" s="1416"/>
      <c r="R91" s="1417"/>
      <c r="S91" s="1417"/>
      <c r="T91" s="1417"/>
      <c r="U91" s="1417"/>
      <c r="V91" s="1417"/>
      <c r="W91" s="1417"/>
      <c r="X91" s="1417"/>
      <c r="Y91" s="1417"/>
      <c r="Z91" s="1417"/>
      <c r="AA91" s="1417"/>
      <c r="AB91" s="1417"/>
      <c r="AC91" s="1417"/>
    </row>
    <row r="92" spans="1:29" s="469" customFormat="1" ht="15.75" thickBot="1">
      <c r="A92" s="551"/>
      <c r="B92" s="541"/>
      <c r="C92" s="558"/>
      <c r="D92" s="534"/>
      <c r="E92" s="534"/>
      <c r="F92" s="534"/>
      <c r="G92" s="534"/>
      <c r="H92" s="534"/>
      <c r="I92" s="534"/>
      <c r="J92" s="534"/>
      <c r="K92" s="534"/>
      <c r="L92" s="534"/>
      <c r="M92" s="535"/>
      <c r="N92" s="1147"/>
      <c r="O92" s="1147"/>
      <c r="P92" s="1415"/>
      <c r="Q92" s="1416"/>
      <c r="R92" s="1417"/>
      <c r="S92" s="1417"/>
      <c r="T92" s="1417"/>
      <c r="U92" s="1417"/>
      <c r="V92" s="1417"/>
      <c r="W92" s="1417"/>
      <c r="X92" s="1417"/>
      <c r="Y92" s="1417"/>
      <c r="Z92" s="1417"/>
      <c r="AA92" s="1417"/>
      <c r="AB92" s="1417"/>
      <c r="AC92" s="1417"/>
    </row>
    <row r="93" spans="1:29" ht="15" thickTop="1">
      <c r="A93" s="597"/>
      <c r="B93" s="536" t="s">
        <v>2730</v>
      </c>
      <c r="C93" s="552"/>
      <c r="D93" s="552"/>
      <c r="E93" s="581"/>
      <c r="F93" s="581"/>
      <c r="G93" s="581"/>
      <c r="H93" s="581"/>
      <c r="I93" s="581"/>
      <c r="J93" s="581"/>
      <c r="K93" s="582"/>
      <c r="L93" s="583"/>
      <c r="M93" s="584"/>
      <c r="N93" s="1145"/>
      <c r="O93" s="1145"/>
      <c r="P93" s="1414"/>
      <c r="Q93" s="1408"/>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14"/>
      <c r="Q94" s="1408"/>
      <c r="R94" s="1137"/>
      <c r="S94" s="1137"/>
      <c r="T94" s="1137"/>
      <c r="U94" s="1137"/>
      <c r="V94" s="1137"/>
      <c r="W94" s="1137"/>
      <c r="X94" s="1137"/>
      <c r="Y94" s="1137"/>
      <c r="Z94" s="1137"/>
      <c r="AA94" s="1137"/>
      <c r="AB94" s="1137"/>
      <c r="AC94" s="1137"/>
    </row>
    <row r="95" spans="1:29" ht="15" thickTop="1">
      <c r="A95" s="597"/>
      <c r="B95" s="536" t="s">
        <v>2731</v>
      </c>
      <c r="C95" s="528"/>
      <c r="D95" s="528"/>
      <c r="E95" s="528"/>
      <c r="F95" s="528"/>
      <c r="G95" s="528"/>
      <c r="H95" s="528"/>
      <c r="I95" s="528"/>
      <c r="J95" s="528"/>
      <c r="K95" s="529"/>
      <c r="L95" s="530"/>
      <c r="M95" s="531"/>
      <c r="N95" s="1145"/>
      <c r="O95" s="1145"/>
      <c r="P95" s="1414"/>
      <c r="Q95" s="1408"/>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14"/>
      <c r="Q96" s="1408"/>
      <c r="R96" s="1137"/>
      <c r="S96" s="1137"/>
      <c r="T96" s="1137"/>
      <c r="U96" s="1137"/>
      <c r="V96" s="1137"/>
      <c r="W96" s="1137"/>
      <c r="X96" s="1137"/>
      <c r="Y96" s="1137"/>
      <c r="Z96" s="1137"/>
      <c r="AA96" s="1137"/>
      <c r="AB96" s="1137"/>
      <c r="AC96" s="1137"/>
    </row>
    <row r="97" spans="1:29" ht="15" thickTop="1">
      <c r="A97" s="597"/>
      <c r="B97" s="633">
        <f>B34</f>
        <v>111</v>
      </c>
      <c r="C97" s="547"/>
      <c r="D97" s="547"/>
      <c r="E97" s="547"/>
      <c r="F97" s="547"/>
      <c r="G97" s="552"/>
      <c r="H97" s="553"/>
      <c r="I97" s="553"/>
      <c r="J97" s="553"/>
      <c r="K97" s="553"/>
      <c r="L97" s="554"/>
      <c r="M97" s="555"/>
      <c r="N97" s="1146"/>
      <c r="O97" s="1146"/>
      <c r="P97" s="1421"/>
      <c r="Q97" s="1422"/>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14"/>
      <c r="Q98" s="1408"/>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15"/>
      <c r="Q99" s="1416"/>
      <c r="R99" s="1417"/>
      <c r="S99" s="1417"/>
      <c r="T99" s="1417"/>
      <c r="U99" s="1417"/>
      <c r="V99" s="1417"/>
      <c r="W99" s="1417"/>
      <c r="X99" s="1417"/>
      <c r="Y99" s="1417"/>
      <c r="Z99" s="1417"/>
      <c r="AA99" s="1417"/>
      <c r="AB99" s="1417"/>
      <c r="AC99" s="1417"/>
    </row>
    <row r="100" spans="1:29" s="469" customFormat="1" ht="15.75" thickBot="1">
      <c r="A100" s="551"/>
      <c r="B100" s="533"/>
      <c r="C100" s="558"/>
      <c r="D100" s="534"/>
      <c r="E100" s="534"/>
      <c r="F100" s="534"/>
      <c r="G100" s="558"/>
      <c r="H100" s="560"/>
      <c r="I100" s="560"/>
      <c r="J100" s="560"/>
      <c r="K100" s="560"/>
      <c r="L100" s="560"/>
      <c r="M100" s="561"/>
      <c r="N100" s="1147"/>
      <c r="O100" s="1147"/>
      <c r="P100" s="1415"/>
      <c r="Q100" s="1416"/>
      <c r="R100" s="1417"/>
      <c r="S100" s="1417"/>
      <c r="T100" s="1417"/>
      <c r="U100" s="1417"/>
      <c r="V100" s="1417"/>
      <c r="W100" s="1417"/>
      <c r="X100" s="1417"/>
      <c r="Y100" s="1417"/>
      <c r="Z100" s="1417"/>
      <c r="AA100" s="1417"/>
      <c r="AB100" s="1417"/>
      <c r="AC100" s="1417"/>
    </row>
    <row r="101" spans="1:29" ht="15" thickTop="1">
      <c r="A101" s="597"/>
      <c r="B101" s="536">
        <f>B36</f>
        <v>111</v>
      </c>
      <c r="C101" s="552"/>
      <c r="D101" s="552"/>
      <c r="E101" s="552"/>
      <c r="F101" s="552"/>
      <c r="G101" s="552"/>
      <c r="H101" s="553"/>
      <c r="I101" s="553"/>
      <c r="J101" s="553"/>
      <c r="K101" s="553"/>
      <c r="L101" s="554"/>
      <c r="M101" s="555"/>
      <c r="N101" s="1145"/>
      <c r="O101" s="1145"/>
      <c r="P101" s="1414"/>
      <c r="Q101" s="1408"/>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14"/>
      <c r="Q102" s="1408"/>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2702</v>
      </c>
      <c r="B1" s="1605"/>
      <c r="C1" s="1606" t="s">
        <v>2525</v>
      </c>
      <c r="D1" s="1607"/>
      <c r="E1" s="1616"/>
      <c r="F1" s="2567"/>
      <c r="G1" s="1617" t="s">
        <v>2638</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6" customFormat="1" ht="28.5" customHeight="1" thickTop="1">
      <c r="A2" s="1603" t="s">
        <v>2322</v>
      </c>
      <c r="B2" s="1403" t="e">
        <f ca="1">IF(C2="——",ROUND(C37*D3/10000,0),ROUND(C37*D3/10000,0)-D2)</f>
        <v>#DIV/0!</v>
      </c>
      <c r="C2" s="2569"/>
      <c r="D2" s="1117" t="e">
        <f ca="1">SUMIF(INDIRECT("'"&amp;F2&amp;"'"&amp;"!A:A"),"承租人权益价值",INDIRECT("'"&amp;F2&amp;"'"&amp;"!c:c"))</f>
        <v>#REF!</v>
      </c>
      <c r="E2" s="2570" t="s">
        <v>2323</v>
      </c>
      <c r="F2" s="2571"/>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2324</v>
      </c>
      <c r="B3" s="607" t="e">
        <f ca="1">IF(C2="——",C37,ROUND(B2*10000/D3,0))</f>
        <v>#DIV/0!</v>
      </c>
      <c r="C3" s="398" t="s">
        <v>2639</v>
      </c>
      <c r="D3" s="397">
        <f>SUMIF('数据-汇总表'!$C19:$C33,D1,'数据-汇总表'!$E19:$E33)</f>
        <v>0</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2640</v>
      </c>
      <c r="B4" s="400"/>
      <c r="C4" s="3171" t="s">
        <v>2641</v>
      </c>
      <c r="D4" s="3172"/>
      <c r="E4" s="3173" t="s">
        <v>2642</v>
      </c>
      <c r="F4" s="3174"/>
      <c r="G4" s="3171" t="s">
        <v>2643</v>
      </c>
      <c r="H4" s="3172"/>
      <c r="I4" s="3171" t="s">
        <v>2644</v>
      </c>
      <c r="J4" s="3172"/>
      <c r="K4" s="608" t="s">
        <v>2645</v>
      </c>
      <c r="L4" s="1123"/>
      <c r="M4" s="1124"/>
      <c r="N4" s="1124"/>
      <c r="O4" s="1124"/>
      <c r="P4" s="3175" t="s">
        <v>2646</v>
      </c>
      <c r="Q4" s="3176"/>
      <c r="R4" s="3157" t="s">
        <v>2642</v>
      </c>
      <c r="S4" s="3158"/>
      <c r="T4" s="3157" t="s">
        <v>2643</v>
      </c>
      <c r="U4" s="3158"/>
      <c r="V4" s="3183" t="s">
        <v>2644</v>
      </c>
      <c r="W4" s="3183"/>
      <c r="X4" s="1799"/>
      <c r="Y4" s="3157" t="s">
        <v>2646</v>
      </c>
      <c r="Z4" s="3158"/>
      <c r="AA4" s="3152" t="s">
        <v>2642</v>
      </c>
      <c r="AB4" s="3153" t="s">
        <v>2643</v>
      </c>
      <c r="AC4" s="3152" t="s">
        <v>2644</v>
      </c>
    </row>
    <row r="5" spans="1:29" ht="15">
      <c r="A5" s="402"/>
      <c r="B5" s="403"/>
      <c r="C5" s="3230" t="s">
        <v>2537</v>
      </c>
      <c r="D5" s="3164"/>
      <c r="E5" s="3234" t="s">
        <v>2538</v>
      </c>
      <c r="F5" s="3162"/>
      <c r="G5" s="3230" t="s">
        <v>2539</v>
      </c>
      <c r="H5" s="3164"/>
      <c r="I5" s="3230" t="s">
        <v>2540</v>
      </c>
      <c r="J5" s="3164"/>
      <c r="K5" s="608"/>
      <c r="L5" s="1123"/>
      <c r="M5" s="1124"/>
      <c r="N5" s="1124"/>
      <c r="O5" s="1124"/>
      <c r="P5" s="3177"/>
      <c r="Q5" s="3178"/>
      <c r="R5" s="3159"/>
      <c r="S5" s="3160"/>
      <c r="T5" s="3159"/>
      <c r="U5" s="3160"/>
      <c r="V5" s="3183"/>
      <c r="W5" s="3183"/>
      <c r="X5" s="1799"/>
      <c r="Y5" s="3159"/>
      <c r="Z5" s="3160"/>
      <c r="AA5" s="3153"/>
      <c r="AB5" s="3153"/>
      <c r="AC5" s="3153"/>
    </row>
    <row r="6" spans="1:29" ht="15.75" thickBot="1">
      <c r="A6" s="404"/>
      <c r="B6" s="405"/>
      <c r="C6" s="3235" t="s">
        <v>2541</v>
      </c>
      <c r="D6" s="3169"/>
      <c r="E6" s="3236" t="s">
        <v>2541</v>
      </c>
      <c r="F6" s="3166"/>
      <c r="G6" s="3235" t="s">
        <v>2541</v>
      </c>
      <c r="H6" s="3169"/>
      <c r="I6" s="3235" t="s">
        <v>2541</v>
      </c>
      <c r="J6" s="3169"/>
      <c r="K6" s="608" t="s">
        <v>2542</v>
      </c>
      <c r="L6" s="1123"/>
      <c r="M6" s="1124"/>
      <c r="N6" s="1124"/>
      <c r="O6" s="1124"/>
      <c r="P6" s="3179"/>
      <c r="Q6" s="3180"/>
      <c r="R6" s="3159"/>
      <c r="S6" s="3160"/>
      <c r="T6" s="3181"/>
      <c r="U6" s="3182"/>
      <c r="V6" s="3183"/>
      <c r="W6" s="3183"/>
      <c r="X6" s="1799"/>
      <c r="Y6" s="3181"/>
      <c r="Z6" s="3182"/>
      <c r="AA6" s="3154"/>
      <c r="AB6" s="3154"/>
      <c r="AC6" s="3154"/>
    </row>
    <row r="7" spans="1:29" s="115" customFormat="1" ht="15.75" thickBot="1">
      <c r="A7" s="406" t="s">
        <v>2543</v>
      </c>
      <c r="B7" s="407"/>
      <c r="C7" s="408">
        <f>'数据-取费表'!B2</f>
        <v>43061</v>
      </c>
      <c r="D7" s="409">
        <v>100</v>
      </c>
      <c r="E7" s="410"/>
      <c r="F7" s="411">
        <f>SUMIF(46:46,YEAR(E7)&amp;"-"&amp;MONTH(E7),47:47)</f>
        <v>0</v>
      </c>
      <c r="G7" s="2676"/>
      <c r="H7" s="409">
        <f>SUMIF(46:46,YEAR(G7)&amp;"-"&amp;MONTH(G7),47:47)</f>
        <v>0</v>
      </c>
      <c r="I7" s="410"/>
      <c r="J7" s="409">
        <f>SUMIF(46:46,YEAR(I7)&amp;"-"&amp;MONTH(I7),47:47)</f>
        <v>0</v>
      </c>
      <c r="K7" s="609"/>
      <c r="L7" s="1125"/>
      <c r="M7" s="1126"/>
      <c r="N7" s="1126"/>
      <c r="O7" s="1126"/>
      <c r="P7" s="3155" t="s">
        <v>2544</v>
      </c>
      <c r="Q7" s="3184"/>
      <c r="R7" s="767" t="s">
        <v>17</v>
      </c>
      <c r="S7" s="768">
        <f t="shared" ref="S7:S14" si="0">F7</f>
        <v>0</v>
      </c>
      <c r="T7" s="767" t="s">
        <v>17</v>
      </c>
      <c r="U7" s="768">
        <f t="shared" ref="U7:U14" si="1">H7</f>
        <v>0</v>
      </c>
      <c r="V7" s="767" t="s">
        <v>17</v>
      </c>
      <c r="W7" s="768">
        <f t="shared" ref="W7:W14" si="2">J7</f>
        <v>0</v>
      </c>
      <c r="X7" s="769"/>
      <c r="Y7" s="3155" t="s">
        <v>2544</v>
      </c>
      <c r="Z7" s="3156"/>
      <c r="AA7" s="770" t="e">
        <f>D7/F7</f>
        <v>#DIV/0!</v>
      </c>
      <c r="AB7" s="770" t="e">
        <f>D7/H7</f>
        <v>#DIV/0!</v>
      </c>
      <c r="AC7" s="770" t="e">
        <f>D7/J7</f>
        <v>#DIV/0!</v>
      </c>
    </row>
    <row r="8" spans="1:29" s="115" customFormat="1" ht="15.75" thickBot="1">
      <c r="A8" s="406" t="s">
        <v>2545</v>
      </c>
      <c r="B8" s="407"/>
      <c r="C8" s="412" t="s">
        <v>2647</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155" t="s">
        <v>2547</v>
      </c>
      <c r="Q8" s="3156"/>
      <c r="R8" s="767" t="s">
        <v>17</v>
      </c>
      <c r="S8" s="768">
        <f t="shared" si="0"/>
        <v>0</v>
      </c>
      <c r="T8" s="767" t="s">
        <v>17</v>
      </c>
      <c r="U8" s="768">
        <f t="shared" si="1"/>
        <v>0</v>
      </c>
      <c r="V8" s="767" t="s">
        <v>17</v>
      </c>
      <c r="W8" s="768">
        <f t="shared" si="2"/>
        <v>0</v>
      </c>
      <c r="X8" s="769"/>
      <c r="Y8" s="3155" t="s">
        <v>2547</v>
      </c>
      <c r="Z8" s="3156"/>
      <c r="AA8" s="770" t="e">
        <f t="shared" ref="AA8:AA34" si="3">D8/F8</f>
        <v>#DIV/0!</v>
      </c>
      <c r="AB8" s="770" t="e">
        <f t="shared" ref="AB8:AB34" si="4">D8/H8</f>
        <v>#DIV/0!</v>
      </c>
      <c r="AC8" s="770" t="e">
        <f t="shared" ref="AC8:AC34" si="5">D8/J8</f>
        <v>#DIV/0!</v>
      </c>
    </row>
    <row r="9" spans="1:29" s="115" customFormat="1">
      <c r="A9" s="413" t="s">
        <v>2548</v>
      </c>
      <c r="B9" s="71" t="s">
        <v>2549</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188" t="s">
        <v>2550</v>
      </c>
      <c r="Q9" s="1781" t="str">
        <f t="shared" ref="Q9:Q14" si="6">B9</f>
        <v>用途</v>
      </c>
      <c r="R9" s="767" t="s">
        <v>17</v>
      </c>
      <c r="S9" s="768">
        <f t="shared" si="0"/>
        <v>100</v>
      </c>
      <c r="T9" s="767" t="s">
        <v>17</v>
      </c>
      <c r="U9" s="768">
        <f t="shared" si="1"/>
        <v>100</v>
      </c>
      <c r="V9" s="767" t="s">
        <v>17</v>
      </c>
      <c r="W9" s="768">
        <f t="shared" si="2"/>
        <v>100</v>
      </c>
      <c r="X9" s="769"/>
      <c r="Y9" s="3029" t="s">
        <v>2551</v>
      </c>
      <c r="Z9" s="55" t="str">
        <f t="shared" ref="Z9:Z14" si="7">Q9</f>
        <v>用途</v>
      </c>
      <c r="AA9" s="770">
        <f t="shared" si="3"/>
        <v>1</v>
      </c>
      <c r="AB9" s="770">
        <f t="shared" si="4"/>
        <v>1</v>
      </c>
      <c r="AC9" s="770">
        <f t="shared" si="5"/>
        <v>1</v>
      </c>
    </row>
    <row r="10" spans="1:29" s="425" customFormat="1" ht="27">
      <c r="A10" s="419"/>
      <c r="B10" s="420" t="s">
        <v>2552</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188"/>
      <c r="Q10" s="1781"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6"/>
      <c r="B11" s="2583">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188"/>
      <c r="Q11" s="1781">
        <f t="shared" si="6"/>
        <v>111</v>
      </c>
      <c r="R11" s="767" t="s">
        <v>17</v>
      </c>
      <c r="S11" s="768">
        <f t="shared" si="0"/>
        <v>100</v>
      </c>
      <c r="T11" s="767" t="s">
        <v>17</v>
      </c>
      <c r="U11" s="768">
        <f t="shared" si="1"/>
        <v>100</v>
      </c>
      <c r="V11" s="767" t="s">
        <v>17</v>
      </c>
      <c r="W11" s="768">
        <f t="shared" si="2"/>
        <v>100</v>
      </c>
      <c r="X11" s="769"/>
      <c r="Y11" s="3029"/>
      <c r="Z11" s="55">
        <f t="shared" si="7"/>
        <v>111</v>
      </c>
      <c r="AA11" s="770">
        <f t="shared" si="3"/>
        <v>1</v>
      </c>
      <c r="AB11" s="770">
        <f t="shared" si="4"/>
        <v>1</v>
      </c>
      <c r="AC11" s="770">
        <f t="shared" si="5"/>
        <v>1</v>
      </c>
    </row>
    <row r="12" spans="1:29" s="115" customFormat="1" ht="15">
      <c r="A12" s="429"/>
      <c r="B12" s="2583">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188"/>
      <c r="Q12" s="1781">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75" thickBot="1">
      <c r="A13" s="426"/>
      <c r="B13" s="2583">
        <v>111</v>
      </c>
      <c r="C13" s="432"/>
      <c r="D13" s="433">
        <v>100</v>
      </c>
      <c r="E13" s="467"/>
      <c r="F13" s="423">
        <f>SUMIF(59:59,E13,60:60)-SUMIF(59:59,C13,60:60)+100</f>
        <v>100</v>
      </c>
      <c r="G13" s="2677"/>
      <c r="H13" s="436">
        <f>SUMIF(59:59,G13,60:60)-SUMIF(59:59,C13,60:60)+100</f>
        <v>100</v>
      </c>
      <c r="I13" s="467"/>
      <c r="J13" s="433">
        <f>SUMIF(59:59,I13,60:60)-SUMIF(59:59,C13,60:60)+100</f>
        <v>100</v>
      </c>
      <c r="K13" s="611"/>
      <c r="L13" s="1133"/>
      <c r="M13" s="1124"/>
      <c r="N13" s="1124"/>
      <c r="O13" s="1132"/>
      <c r="P13" s="3188"/>
      <c r="Q13" s="1781">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85.5">
      <c r="A14" s="438" t="s">
        <v>2554</v>
      </c>
      <c r="B14" s="69" t="s">
        <v>2704</v>
      </c>
      <c r="C14" s="267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190" t="s">
        <v>2555</v>
      </c>
      <c r="Q14" s="1796" t="str">
        <f t="shared" si="6"/>
        <v>交通便捷度</v>
      </c>
      <c r="R14" s="771" t="s">
        <v>17</v>
      </c>
      <c r="S14" s="772">
        <f t="shared" si="0"/>
        <v>100</v>
      </c>
      <c r="T14" s="771" t="s">
        <v>17</v>
      </c>
      <c r="U14" s="772">
        <f t="shared" si="1"/>
        <v>100</v>
      </c>
      <c r="V14" s="771" t="s">
        <v>17</v>
      </c>
      <c r="W14" s="772">
        <f t="shared" si="2"/>
        <v>100</v>
      </c>
      <c r="X14" s="1799"/>
      <c r="Y14" s="3190" t="s">
        <v>2555</v>
      </c>
      <c r="Z14" s="1800" t="str">
        <f t="shared" si="7"/>
        <v>交通便捷度</v>
      </c>
      <c r="AA14" s="1797">
        <f t="shared" si="3"/>
        <v>1</v>
      </c>
      <c r="AB14" s="1797">
        <f t="shared" si="4"/>
        <v>1</v>
      </c>
      <c r="AC14" s="1797">
        <f t="shared" si="5"/>
        <v>1</v>
      </c>
    </row>
    <row r="15" spans="1:29" ht="15">
      <c r="A15" s="426"/>
      <c r="B15" s="444"/>
      <c r="C15" s="445"/>
      <c r="D15" s="446"/>
      <c r="E15" s="445"/>
      <c r="F15" s="447"/>
      <c r="G15" s="445"/>
      <c r="H15" s="448"/>
      <c r="I15" s="445"/>
      <c r="J15" s="446"/>
      <c r="K15" s="613"/>
      <c r="L15" s="1133"/>
      <c r="M15" s="1124"/>
      <c r="N15" s="1124"/>
      <c r="O15" s="1132"/>
      <c r="P15" s="3191"/>
      <c r="Q15" s="1796"/>
      <c r="R15" s="771"/>
      <c r="S15" s="772"/>
      <c r="T15" s="771"/>
      <c r="U15" s="772"/>
      <c r="V15" s="771"/>
      <c r="W15" s="772"/>
      <c r="X15" s="1799"/>
      <c r="Y15" s="3191"/>
      <c r="Z15" s="1800"/>
      <c r="AA15" s="1797">
        <v>1</v>
      </c>
      <c r="AB15" s="1797">
        <v>1</v>
      </c>
      <c r="AC15" s="1797">
        <v>1</v>
      </c>
    </row>
    <row r="16" spans="1:29" ht="42.75">
      <c r="A16" s="426"/>
      <c r="B16" s="449" t="s">
        <v>2683</v>
      </c>
      <c r="C16" s="259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191"/>
      <c r="Q16" s="1796" t="str">
        <f>B16</f>
        <v>公共配套设施</v>
      </c>
      <c r="R16" s="771" t="s">
        <v>17</v>
      </c>
      <c r="S16" s="772">
        <f>F16</f>
        <v>100</v>
      </c>
      <c r="T16" s="771" t="s">
        <v>17</v>
      </c>
      <c r="U16" s="772">
        <f>H16</f>
        <v>100</v>
      </c>
      <c r="V16" s="771" t="s">
        <v>17</v>
      </c>
      <c r="W16" s="772">
        <f>J16</f>
        <v>100</v>
      </c>
      <c r="X16" s="1799"/>
      <c r="Y16" s="3191"/>
      <c r="Z16" s="1800" t="str">
        <f>Q16</f>
        <v>公共配套设施</v>
      </c>
      <c r="AA16" s="1797">
        <f t="shared" si="3"/>
        <v>1</v>
      </c>
      <c r="AB16" s="1797">
        <f t="shared" si="4"/>
        <v>1</v>
      </c>
      <c r="AC16" s="1797">
        <f t="shared" si="5"/>
        <v>1</v>
      </c>
    </row>
    <row r="17" spans="1:29" ht="15">
      <c r="A17" s="426"/>
      <c r="B17" s="454"/>
      <c r="C17" s="2591"/>
      <c r="D17" s="446"/>
      <c r="E17" s="445"/>
      <c r="F17" s="447"/>
      <c r="G17" s="445"/>
      <c r="H17" s="446"/>
      <c r="I17" s="445"/>
      <c r="J17" s="446"/>
      <c r="K17" s="613"/>
      <c r="L17" s="1133"/>
      <c r="M17" s="1124"/>
      <c r="N17" s="1124"/>
      <c r="O17" s="1132"/>
      <c r="P17" s="3191"/>
      <c r="Q17" s="1796"/>
      <c r="R17" s="771"/>
      <c r="S17" s="772"/>
      <c r="T17" s="771"/>
      <c r="U17" s="772"/>
      <c r="V17" s="771"/>
      <c r="W17" s="772"/>
      <c r="X17" s="1799"/>
      <c r="Y17" s="3191"/>
      <c r="Z17" s="1800"/>
      <c r="AA17" s="1797">
        <v>1</v>
      </c>
      <c r="AB17" s="1797">
        <v>1</v>
      </c>
      <c r="AC17" s="1797">
        <v>1</v>
      </c>
    </row>
    <row r="18" spans="1:29" ht="28.5">
      <c r="A18" s="426"/>
      <c r="B18" s="1369" t="s">
        <v>2684</v>
      </c>
      <c r="C18" s="259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191"/>
      <c r="Q18" s="1796" t="str">
        <f>B18</f>
        <v>基础设施水平</v>
      </c>
      <c r="R18" s="771" t="s">
        <v>17</v>
      </c>
      <c r="S18" s="772">
        <f>F18</f>
        <v>100</v>
      </c>
      <c r="T18" s="771" t="s">
        <v>17</v>
      </c>
      <c r="U18" s="772">
        <f>H18</f>
        <v>100</v>
      </c>
      <c r="V18" s="771" t="s">
        <v>17</v>
      </c>
      <c r="W18" s="772">
        <f>J18</f>
        <v>100</v>
      </c>
      <c r="X18" s="1799"/>
      <c r="Y18" s="3191"/>
      <c r="Z18" s="1800" t="str">
        <f>Q18</f>
        <v>基础设施水平</v>
      </c>
      <c r="AA18" s="1797">
        <f t="shared" ref="AA18" si="8">D18/F18</f>
        <v>1</v>
      </c>
      <c r="AB18" s="1797">
        <f t="shared" ref="AB18" si="9">D18/H18</f>
        <v>1</v>
      </c>
      <c r="AC18" s="1797">
        <f t="shared" ref="AC18" si="10">D18/J18</f>
        <v>1</v>
      </c>
    </row>
    <row r="19" spans="1:29" ht="15">
      <c r="A19" s="426"/>
      <c r="B19" s="1369"/>
      <c r="C19" s="2591"/>
      <c r="D19" s="448"/>
      <c r="E19" s="2591"/>
      <c r="F19" s="451"/>
      <c r="G19" s="2591"/>
      <c r="H19" s="446"/>
      <c r="I19" s="445"/>
      <c r="J19" s="446"/>
      <c r="K19" s="1368"/>
      <c r="L19" s="1133"/>
      <c r="M19" s="1124"/>
      <c r="N19" s="1124"/>
      <c r="O19" s="1132"/>
      <c r="P19" s="3191"/>
      <c r="Q19" s="1796"/>
      <c r="R19" s="771"/>
      <c r="S19" s="772"/>
      <c r="T19" s="771"/>
      <c r="U19" s="772"/>
      <c r="V19" s="771"/>
      <c r="W19" s="772"/>
      <c r="X19" s="1799"/>
      <c r="Y19" s="3191"/>
      <c r="Z19" s="1800"/>
      <c r="AA19" s="1797">
        <v>1</v>
      </c>
      <c r="AB19" s="1797">
        <v>1</v>
      </c>
      <c r="AC19" s="1797">
        <v>1</v>
      </c>
    </row>
    <row r="20" spans="1:29" ht="57">
      <c r="A20" s="426"/>
      <c r="B20" s="449" t="s">
        <v>2705</v>
      </c>
      <c r="C20" s="259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191"/>
      <c r="Q20" s="1796" t="str">
        <f>B20</f>
        <v>自然及人文环境</v>
      </c>
      <c r="R20" s="771" t="s">
        <v>17</v>
      </c>
      <c r="S20" s="772">
        <f>F20</f>
        <v>100</v>
      </c>
      <c r="T20" s="771" t="s">
        <v>17</v>
      </c>
      <c r="U20" s="772">
        <f>H20</f>
        <v>100</v>
      </c>
      <c r="V20" s="771" t="s">
        <v>17</v>
      </c>
      <c r="W20" s="772">
        <f>J20</f>
        <v>100</v>
      </c>
      <c r="X20" s="1799"/>
      <c r="Y20" s="3191"/>
      <c r="Z20" s="1800" t="str">
        <f>Q20</f>
        <v>自然及人文环境</v>
      </c>
      <c r="AA20" s="1797">
        <f t="shared" si="3"/>
        <v>1</v>
      </c>
      <c r="AB20" s="1797">
        <f t="shared" si="4"/>
        <v>1</v>
      </c>
      <c r="AC20" s="1797">
        <f t="shared" si="5"/>
        <v>1</v>
      </c>
    </row>
    <row r="21" spans="1:29" ht="15">
      <c r="A21" s="426"/>
      <c r="B21" s="454"/>
      <c r="C21" s="445"/>
      <c r="D21" s="446"/>
      <c r="E21" s="445"/>
      <c r="F21" s="447"/>
      <c r="G21" s="445"/>
      <c r="H21" s="446"/>
      <c r="I21" s="445"/>
      <c r="J21" s="446"/>
      <c r="K21" s="613"/>
      <c r="L21" s="1133"/>
      <c r="M21" s="1124"/>
      <c r="N21" s="1124"/>
      <c r="O21" s="1132"/>
      <c r="P21" s="3191"/>
      <c r="Q21" s="1796"/>
      <c r="R21" s="771"/>
      <c r="S21" s="772"/>
      <c r="T21" s="771"/>
      <c r="U21" s="772"/>
      <c r="V21" s="771"/>
      <c r="W21" s="772"/>
      <c r="X21" s="1799"/>
      <c r="Y21" s="3191"/>
      <c r="Z21" s="1800"/>
      <c r="AA21" s="1797">
        <v>1</v>
      </c>
      <c r="AB21" s="1797">
        <v>1</v>
      </c>
      <c r="AC21" s="1797">
        <v>1</v>
      </c>
    </row>
    <row r="22" spans="1:29" ht="15">
      <c r="A22" s="426"/>
      <c r="B22" s="449" t="s">
        <v>2706</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191"/>
      <c r="Q22" s="1796" t="str">
        <f>B22</f>
        <v>楼层</v>
      </c>
      <c r="R22" s="771" t="s">
        <v>17</v>
      </c>
      <c r="S22" s="772">
        <f>F22</f>
        <v>100</v>
      </c>
      <c r="T22" s="771" t="s">
        <v>17</v>
      </c>
      <c r="U22" s="772">
        <f>H22</f>
        <v>100</v>
      </c>
      <c r="V22" s="771" t="s">
        <v>17</v>
      </c>
      <c r="W22" s="772">
        <f>J22</f>
        <v>100</v>
      </c>
      <c r="X22" s="1799"/>
      <c r="Y22" s="3191"/>
      <c r="Z22" s="1800" t="str">
        <f>Q22</f>
        <v>楼层</v>
      </c>
      <c r="AA22" s="1797">
        <f t="shared" si="3"/>
        <v>1</v>
      </c>
      <c r="AB22" s="1797">
        <f t="shared" si="4"/>
        <v>1</v>
      </c>
      <c r="AC22" s="1797">
        <f t="shared" si="5"/>
        <v>1</v>
      </c>
    </row>
    <row r="23" spans="1:29" ht="15">
      <c r="A23" s="402"/>
      <c r="B23" s="2583">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191"/>
      <c r="Q23" s="1796">
        <f>B23</f>
        <v>111</v>
      </c>
      <c r="R23" s="771" t="s">
        <v>17</v>
      </c>
      <c r="S23" s="772">
        <f>F23</f>
        <v>100</v>
      </c>
      <c r="T23" s="771" t="s">
        <v>17</v>
      </c>
      <c r="U23" s="772">
        <f>H23</f>
        <v>100</v>
      </c>
      <c r="V23" s="771" t="s">
        <v>17</v>
      </c>
      <c r="W23" s="772">
        <f>J23</f>
        <v>100</v>
      </c>
      <c r="X23" s="1799"/>
      <c r="Y23" s="3191"/>
      <c r="Z23" s="1800">
        <f>Q23</f>
        <v>111</v>
      </c>
      <c r="AA23" s="1797">
        <f t="shared" si="3"/>
        <v>1</v>
      </c>
      <c r="AB23" s="1797">
        <f t="shared" si="4"/>
        <v>1</v>
      </c>
      <c r="AC23" s="1797">
        <f t="shared" si="5"/>
        <v>1</v>
      </c>
    </row>
    <row r="24" spans="1:29" ht="15">
      <c r="A24" s="426"/>
      <c r="B24" s="2583">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191"/>
      <c r="Q24" s="1796">
        <f t="shared" ref="Q24:Q34" si="11">B24</f>
        <v>111</v>
      </c>
      <c r="R24" s="771" t="s">
        <v>17</v>
      </c>
      <c r="S24" s="772">
        <f>F24</f>
        <v>100</v>
      </c>
      <c r="T24" s="771" t="s">
        <v>17</v>
      </c>
      <c r="U24" s="772">
        <f>H24</f>
        <v>100</v>
      </c>
      <c r="V24" s="771" t="s">
        <v>17</v>
      </c>
      <c r="W24" s="772">
        <f>J24</f>
        <v>100</v>
      </c>
      <c r="X24" s="1799"/>
      <c r="Y24" s="3191"/>
      <c r="Z24" s="1800">
        <f>Q24</f>
        <v>111</v>
      </c>
      <c r="AA24" s="1797">
        <f t="shared" si="3"/>
        <v>1</v>
      </c>
      <c r="AB24" s="1797">
        <f t="shared" si="4"/>
        <v>1</v>
      </c>
      <c r="AC24" s="1797">
        <f t="shared" si="5"/>
        <v>1</v>
      </c>
    </row>
    <row r="25" spans="1:29" s="115" customFormat="1" ht="15.75" thickBot="1">
      <c r="A25" s="429"/>
      <c r="B25" s="2583">
        <v>111</v>
      </c>
      <c r="C25" s="2678"/>
      <c r="D25" s="662">
        <v>100</v>
      </c>
      <c r="E25" s="2678"/>
      <c r="F25" s="663">
        <f>SUMIF(75:75,E25,76:76)-SUMIF(75:75,C25,76:76)+100</f>
        <v>100</v>
      </c>
      <c r="G25" s="2678"/>
      <c r="H25" s="662">
        <f>SUMIF(75:75,G25,76:76)-SUMIF(75:75,C25,76:76)+100</f>
        <v>100</v>
      </c>
      <c r="I25" s="2678"/>
      <c r="J25" s="662">
        <f>SUMIF(75:75,I25,76:76)-SUMIF(75:75,C25,76:76)+100</f>
        <v>100</v>
      </c>
      <c r="K25" s="611"/>
      <c r="L25" s="1125"/>
      <c r="M25" s="1126"/>
      <c r="N25" s="1126"/>
      <c r="O25" s="1127"/>
      <c r="P25" s="3191"/>
      <c r="Q25" s="1781">
        <f t="shared" si="11"/>
        <v>111</v>
      </c>
      <c r="R25" s="767" t="s">
        <v>17</v>
      </c>
      <c r="S25" s="768">
        <f>F25</f>
        <v>100</v>
      </c>
      <c r="T25" s="767" t="s">
        <v>17</v>
      </c>
      <c r="U25" s="768">
        <f>H25</f>
        <v>100</v>
      </c>
      <c r="V25" s="767" t="s">
        <v>17</v>
      </c>
      <c r="W25" s="768">
        <f>J25</f>
        <v>100</v>
      </c>
      <c r="X25" s="769"/>
      <c r="Y25" s="3191"/>
      <c r="Z25" s="55">
        <f>Q25</f>
        <v>111</v>
      </c>
      <c r="AA25" s="1797">
        <f>D25/F25</f>
        <v>1</v>
      </c>
      <c r="AB25" s="1797">
        <f>D25/H25</f>
        <v>1</v>
      </c>
      <c r="AC25" s="1797">
        <f>D25/J25</f>
        <v>1</v>
      </c>
    </row>
    <row r="26" spans="1:29" ht="15">
      <c r="A26" s="464" t="s">
        <v>2558</v>
      </c>
      <c r="B26" s="71" t="s">
        <v>2709</v>
      </c>
      <c r="C26" s="2659"/>
      <c r="D26" s="465">
        <v>100</v>
      </c>
      <c r="E26" s="2659"/>
      <c r="F26" s="664">
        <f>SUMIF(77:77,E26,78:78)-SUMIF(77:77,C26,78:78)+100</f>
        <v>100</v>
      </c>
      <c r="G26" s="2659"/>
      <c r="H26" s="465">
        <f>SUMIF(77:77,G26,78:78)-SUMIF(77:77,C26,78:78)+100</f>
        <v>100</v>
      </c>
      <c r="I26" s="2659"/>
      <c r="J26" s="465">
        <f>SUMIF(77:77,I26,78:78)-SUMIF(77:77,C26,78:78)+100</f>
        <v>100</v>
      </c>
      <c r="K26" s="610"/>
      <c r="L26" s="1133"/>
      <c r="M26" s="1124"/>
      <c r="N26" s="1124"/>
      <c r="O26" s="1132"/>
      <c r="P26" s="3249" t="s">
        <v>2560</v>
      </c>
      <c r="Q26" s="1796" t="str">
        <f t="shared" si="11"/>
        <v>公共部分装修</v>
      </c>
      <c r="R26" s="771" t="s">
        <v>17</v>
      </c>
      <c r="S26" s="772">
        <f t="shared" ref="S26:S34" si="12">F26</f>
        <v>100</v>
      </c>
      <c r="T26" s="771" t="s">
        <v>17</v>
      </c>
      <c r="U26" s="772">
        <f t="shared" ref="U26:U34" si="13">H26</f>
        <v>100</v>
      </c>
      <c r="V26" s="771" t="s">
        <v>17</v>
      </c>
      <c r="W26" s="772">
        <f t="shared" ref="W26:W34" si="14">J26</f>
        <v>100</v>
      </c>
      <c r="X26" s="1799"/>
      <c r="Y26" s="3195" t="s">
        <v>2560</v>
      </c>
      <c r="Z26" s="1800" t="str">
        <f t="shared" ref="Z26:Z34" si="15">Q26</f>
        <v>公共部分装修</v>
      </c>
      <c r="AA26" s="1797">
        <f t="shared" si="3"/>
        <v>1</v>
      </c>
      <c r="AB26" s="1797">
        <f t="shared" si="4"/>
        <v>1</v>
      </c>
      <c r="AC26" s="1797">
        <f t="shared" si="5"/>
        <v>1</v>
      </c>
    </row>
    <row r="27" spans="1:29" s="469" customFormat="1" ht="15">
      <c r="A27" s="466"/>
      <c r="B27" s="420" t="s">
        <v>2710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195"/>
      <c r="Q27" s="773" t="str">
        <f t="shared" si="11"/>
        <v>成新率</v>
      </c>
      <c r="R27" s="774" t="s">
        <v>17</v>
      </c>
      <c r="S27" s="775" t="e">
        <f t="shared" si="12"/>
        <v>#N/A</v>
      </c>
      <c r="T27" s="774" t="s">
        <v>17</v>
      </c>
      <c r="U27" s="775" t="e">
        <f t="shared" si="13"/>
        <v>#N/A</v>
      </c>
      <c r="V27" s="774" t="s">
        <v>17</v>
      </c>
      <c r="W27" s="775" t="e">
        <f t="shared" si="14"/>
        <v>#N/A</v>
      </c>
      <c r="X27" s="776"/>
      <c r="Y27" s="3195"/>
      <c r="Z27" s="777" t="str">
        <f t="shared" si="15"/>
        <v>成新率</v>
      </c>
      <c r="AA27" s="1797" t="e">
        <f t="shared" si="3"/>
        <v>#N/A</v>
      </c>
      <c r="AB27" s="1797" t="e">
        <f t="shared" si="4"/>
        <v>#N/A</v>
      </c>
      <c r="AC27" s="1797" t="e">
        <f t="shared" si="5"/>
        <v>#N/A</v>
      </c>
    </row>
    <row r="28" spans="1:29" ht="15">
      <c r="A28" s="470"/>
      <c r="B28" s="420" t="s">
        <v>2711</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195"/>
      <c r="Q28" s="1796" t="str">
        <f t="shared" si="11"/>
        <v>物业等级</v>
      </c>
      <c r="R28" s="771" t="s">
        <v>17</v>
      </c>
      <c r="S28" s="772">
        <f t="shared" si="12"/>
        <v>100</v>
      </c>
      <c r="T28" s="771" t="s">
        <v>17</v>
      </c>
      <c r="U28" s="772">
        <f t="shared" si="13"/>
        <v>100</v>
      </c>
      <c r="V28" s="771" t="s">
        <v>17</v>
      </c>
      <c r="W28" s="772">
        <f t="shared" si="14"/>
        <v>100</v>
      </c>
      <c r="X28" s="1799"/>
      <c r="Y28" s="3195"/>
      <c r="Z28" s="1800" t="str">
        <f t="shared" si="15"/>
        <v>物业等级</v>
      </c>
      <c r="AA28" s="1797">
        <f t="shared" si="3"/>
        <v>1</v>
      </c>
      <c r="AB28" s="1797">
        <f t="shared" si="4"/>
        <v>1</v>
      </c>
      <c r="AC28" s="1797">
        <f t="shared" si="5"/>
        <v>1</v>
      </c>
    </row>
    <row r="29" spans="1:29" ht="15">
      <c r="A29" s="470"/>
      <c r="B29" s="420" t="s">
        <v>2732</v>
      </c>
      <c r="C29" s="654"/>
      <c r="D29" s="433">
        <v>100</v>
      </c>
      <c r="E29" s="654"/>
      <c r="F29" s="459">
        <f>SUMIF(84:84,E29,85:85)-SUMIF(84:84,C29,85:85)+100</f>
        <v>100</v>
      </c>
      <c r="G29" s="654"/>
      <c r="H29" s="433">
        <f>SUMIF(84:84,G29,85:85)-SUMIF(84:84,C29,85:85)+100</f>
        <v>100</v>
      </c>
      <c r="I29" s="654"/>
      <c r="J29" s="433">
        <f>SUMIF(84:84,I29,85:85)-SUMIF(84:84,C29,85:85)+100</f>
        <v>100</v>
      </c>
      <c r="K29" s="610"/>
      <c r="L29" s="1133"/>
      <c r="M29" s="1124"/>
      <c r="N29" s="1124"/>
      <c r="O29" s="1132"/>
      <c r="P29" s="3195"/>
      <c r="Q29" s="1796" t="str">
        <f t="shared" si="11"/>
        <v>有无电梯</v>
      </c>
      <c r="R29" s="771" t="s">
        <v>17</v>
      </c>
      <c r="S29" s="772">
        <f t="shared" si="12"/>
        <v>100</v>
      </c>
      <c r="T29" s="771" t="s">
        <v>17</v>
      </c>
      <c r="U29" s="772">
        <f t="shared" si="13"/>
        <v>100</v>
      </c>
      <c r="V29" s="771" t="s">
        <v>17</v>
      </c>
      <c r="W29" s="772">
        <f t="shared" si="14"/>
        <v>100</v>
      </c>
      <c r="X29" s="1799"/>
      <c r="Y29" s="3195"/>
      <c r="Z29" s="1800" t="str">
        <f t="shared" si="15"/>
        <v>有无电梯</v>
      </c>
      <c r="AA29" s="1797">
        <f t="shared" si="3"/>
        <v>1</v>
      </c>
      <c r="AB29" s="1797">
        <f t="shared" si="4"/>
        <v>1</v>
      </c>
      <c r="AC29" s="1797">
        <f t="shared" si="5"/>
        <v>1</v>
      </c>
    </row>
    <row r="30" spans="1:29" ht="15">
      <c r="A30" s="470"/>
      <c r="B30" s="420" t="s">
        <v>2733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195"/>
      <c r="Q30" s="1796" t="str">
        <f t="shared" si="11"/>
        <v>建筑面积</v>
      </c>
      <c r="R30" s="771" t="s">
        <v>17</v>
      </c>
      <c r="S30" s="772" t="e">
        <f t="shared" si="12"/>
        <v>#N/A</v>
      </c>
      <c r="T30" s="771" t="s">
        <v>17</v>
      </c>
      <c r="U30" s="772" t="e">
        <f t="shared" si="13"/>
        <v>#N/A</v>
      </c>
      <c r="V30" s="771" t="s">
        <v>17</v>
      </c>
      <c r="W30" s="772" t="e">
        <f t="shared" si="14"/>
        <v>#N/A</v>
      </c>
      <c r="X30" s="1799"/>
      <c r="Y30" s="3195"/>
      <c r="Z30" s="1800" t="str">
        <f t="shared" si="15"/>
        <v>建筑面积</v>
      </c>
      <c r="AA30" s="1797" t="e">
        <f t="shared" si="3"/>
        <v>#N/A</v>
      </c>
      <c r="AB30" s="1797" t="e">
        <f t="shared" si="4"/>
        <v>#N/A</v>
      </c>
      <c r="AC30" s="1797" t="e">
        <f t="shared" si="5"/>
        <v>#N/A</v>
      </c>
    </row>
    <row r="31" spans="1:29" s="115" customFormat="1" ht="15">
      <c r="A31" s="471"/>
      <c r="B31" s="420" t="s">
        <v>2734</v>
      </c>
      <c r="C31" s="654"/>
      <c r="D31" s="134">
        <v>100</v>
      </c>
      <c r="E31" s="654"/>
      <c r="F31" s="459">
        <f>SUMIF(89:89,E31,90:90)-SUMIF(89:89,C31,90:90)+100</f>
        <v>100</v>
      </c>
      <c r="G31" s="654"/>
      <c r="H31" s="433">
        <f>SUMIF(89:89,G31,90:90)-SUMIF(89:89,C31,90:90)+100</f>
        <v>100</v>
      </c>
      <c r="I31" s="654"/>
      <c r="J31" s="433">
        <f>SUMIF(89:89,I31,90:90)-SUMIF(89:89,C31,90:90)+100</f>
        <v>100</v>
      </c>
      <c r="K31" s="610"/>
      <c r="L31" s="1125"/>
      <c r="M31" s="1126"/>
      <c r="N31" s="1126"/>
      <c r="O31" s="1127"/>
      <c r="P31" s="3195"/>
      <c r="Q31" s="1781" t="str">
        <f t="shared" si="11"/>
        <v>是否封闭</v>
      </c>
      <c r="R31" s="767" t="s">
        <v>17</v>
      </c>
      <c r="S31" s="768">
        <f t="shared" si="12"/>
        <v>100</v>
      </c>
      <c r="T31" s="767" t="s">
        <v>17</v>
      </c>
      <c r="U31" s="768">
        <f t="shared" si="13"/>
        <v>100</v>
      </c>
      <c r="V31" s="767" t="s">
        <v>17</v>
      </c>
      <c r="W31" s="768">
        <f t="shared" si="14"/>
        <v>100</v>
      </c>
      <c r="X31" s="769"/>
      <c r="Y31" s="3195"/>
      <c r="Z31" s="55" t="str">
        <f t="shared" si="15"/>
        <v>是否封闭</v>
      </c>
      <c r="AA31" s="770">
        <f t="shared" si="3"/>
        <v>1</v>
      </c>
      <c r="AB31" s="770">
        <f t="shared" si="4"/>
        <v>1</v>
      </c>
      <c r="AC31" s="770">
        <f t="shared" si="5"/>
        <v>1</v>
      </c>
    </row>
    <row r="32" spans="1:29" ht="15">
      <c r="A32" s="470"/>
      <c r="B32" s="2583">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195" t="s">
        <v>2560</v>
      </c>
      <c r="Q32" s="1796">
        <f t="shared" si="11"/>
        <v>111</v>
      </c>
      <c r="R32" s="771" t="s">
        <v>17</v>
      </c>
      <c r="S32" s="772">
        <f t="shared" si="12"/>
        <v>100</v>
      </c>
      <c r="T32" s="771" t="s">
        <v>17</v>
      </c>
      <c r="U32" s="772">
        <f t="shared" si="13"/>
        <v>100</v>
      </c>
      <c r="V32" s="771" t="s">
        <v>17</v>
      </c>
      <c r="W32" s="772">
        <f t="shared" si="14"/>
        <v>100</v>
      </c>
      <c r="X32" s="1799"/>
      <c r="Y32" s="3195" t="s">
        <v>2560</v>
      </c>
      <c r="Z32" s="1800">
        <f t="shared" si="15"/>
        <v>111</v>
      </c>
      <c r="AA32" s="1797">
        <f t="shared" si="3"/>
        <v>1</v>
      </c>
      <c r="AB32" s="1797">
        <f t="shared" si="4"/>
        <v>1</v>
      </c>
      <c r="AC32" s="1797">
        <f t="shared" si="5"/>
        <v>1</v>
      </c>
    </row>
    <row r="33" spans="1:29" ht="15">
      <c r="A33" s="470"/>
      <c r="B33" s="2583">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195"/>
      <c r="Q33" s="1796">
        <f t="shared" si="11"/>
        <v>111</v>
      </c>
      <c r="R33" s="771" t="s">
        <v>17</v>
      </c>
      <c r="S33" s="772">
        <f t="shared" si="12"/>
        <v>100</v>
      </c>
      <c r="T33" s="771" t="s">
        <v>17</v>
      </c>
      <c r="U33" s="772">
        <f t="shared" si="13"/>
        <v>100</v>
      </c>
      <c r="V33" s="771" t="s">
        <v>17</v>
      </c>
      <c r="W33" s="772">
        <f t="shared" si="14"/>
        <v>100</v>
      </c>
      <c r="X33" s="1799"/>
      <c r="Y33" s="3195"/>
      <c r="Z33" s="1800">
        <f t="shared" si="15"/>
        <v>111</v>
      </c>
      <c r="AA33" s="1797">
        <f t="shared" si="3"/>
        <v>1</v>
      </c>
      <c r="AB33" s="1797">
        <f t="shared" si="4"/>
        <v>1</v>
      </c>
      <c r="AC33" s="1797">
        <f t="shared" si="5"/>
        <v>1</v>
      </c>
    </row>
    <row r="34" spans="1:29" ht="15.75" thickBot="1">
      <c r="A34" s="476"/>
      <c r="B34" s="2585">
        <v>111</v>
      </c>
      <c r="C34" s="435"/>
      <c r="D34" s="436">
        <v>100</v>
      </c>
      <c r="E34" s="2677"/>
      <c r="F34" s="437">
        <f>SUMIF(95:95,E34,96:96)-SUMIF(95:95,C34,96:96)+100</f>
        <v>100</v>
      </c>
      <c r="G34" s="2677"/>
      <c r="H34" s="436">
        <f>SUMIF(95:95,G34,96:96)-SUMIF(95:95,C34,96:96)+100</f>
        <v>100</v>
      </c>
      <c r="I34" s="2677"/>
      <c r="J34" s="436">
        <f>SUMIF(95:95,I34,96:96)-SUMIF(95:95,C34,96:96)+100</f>
        <v>100</v>
      </c>
      <c r="K34" s="611"/>
      <c r="L34" s="1133"/>
      <c r="M34" s="1124"/>
      <c r="N34" s="1124"/>
      <c r="O34" s="1132"/>
      <c r="P34" s="3195"/>
      <c r="Q34" s="1796">
        <f t="shared" si="11"/>
        <v>111</v>
      </c>
      <c r="R34" s="771" t="s">
        <v>17</v>
      </c>
      <c r="S34" s="772">
        <f t="shared" si="12"/>
        <v>100</v>
      </c>
      <c r="T34" s="771" t="s">
        <v>17</v>
      </c>
      <c r="U34" s="772">
        <f t="shared" si="13"/>
        <v>100</v>
      </c>
      <c r="V34" s="771" t="s">
        <v>17</v>
      </c>
      <c r="W34" s="772">
        <f t="shared" si="14"/>
        <v>100</v>
      </c>
      <c r="X34" s="1799"/>
      <c r="Y34" s="3195"/>
      <c r="Z34" s="1800">
        <f t="shared" si="15"/>
        <v>111</v>
      </c>
      <c r="AA34" s="1797">
        <f t="shared" si="3"/>
        <v>1</v>
      </c>
      <c r="AB34" s="1797">
        <f t="shared" si="4"/>
        <v>1</v>
      </c>
      <c r="AC34" s="1797">
        <f t="shared" si="5"/>
        <v>1</v>
      </c>
    </row>
    <row r="35" spans="1:29" ht="15">
      <c r="A35" s="477" t="s">
        <v>2572</v>
      </c>
      <c r="B35" s="478"/>
      <c r="C35" s="1392" t="s">
        <v>1</v>
      </c>
      <c r="D35" s="1393"/>
      <c r="E35" s="1394"/>
      <c r="F35" s="1395"/>
      <c r="G35" s="1396"/>
      <c r="H35" s="1397"/>
      <c r="I35" s="1394"/>
      <c r="J35" s="1397"/>
      <c r="K35" s="780"/>
      <c r="L35" s="1136"/>
      <c r="M35" s="1137"/>
      <c r="N35" s="1124"/>
      <c r="O35" s="1137"/>
      <c r="P35" s="3188" t="str">
        <f>A35</f>
        <v>成交单价（元/平方米）</v>
      </c>
      <c r="Q35" s="3188"/>
      <c r="R35" s="3189">
        <f>E35</f>
        <v>0</v>
      </c>
      <c r="S35" s="3189"/>
      <c r="T35" s="3189">
        <f>G35</f>
        <v>0</v>
      </c>
      <c r="U35" s="3189"/>
      <c r="V35" s="3189">
        <f>I35</f>
        <v>0</v>
      </c>
      <c r="W35" s="3189"/>
      <c r="X35" s="756"/>
      <c r="Y35" s="778"/>
      <c r="Z35" s="756"/>
      <c r="AA35" s="756"/>
      <c r="AB35" s="756"/>
      <c r="AC35" s="756"/>
    </row>
    <row r="36" spans="1:29" ht="15.75" thickBot="1">
      <c r="A36" s="484" t="s">
        <v>2664</v>
      </c>
      <c r="B36" s="485"/>
      <c r="C36" s="1398" t="e">
        <f>R37</f>
        <v>#DIV/0!</v>
      </c>
      <c r="D36" s="1399"/>
      <c r="E36" s="1400" t="e">
        <f>R36</f>
        <v>#DIV/0!</v>
      </c>
      <c r="F36" s="1400"/>
      <c r="G36" s="1398" t="e">
        <f>T36</f>
        <v>#DIV/0!</v>
      </c>
      <c r="H36" s="1399"/>
      <c r="I36" s="1400" t="e">
        <f>V36</f>
        <v>#DIV/0!</v>
      </c>
      <c r="J36" s="1399"/>
      <c r="K36" s="781"/>
      <c r="L36" s="1136"/>
      <c r="M36" s="1137"/>
      <c r="N36" s="1124"/>
      <c r="O36" s="113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6"/>
      <c r="Y36" s="756"/>
      <c r="Z36" s="756"/>
      <c r="AA36" s="756"/>
      <c r="AB36" s="756"/>
      <c r="AC36" s="756"/>
    </row>
    <row r="37" spans="1:29" ht="15.75" thickBot="1">
      <c r="A37" s="490" t="s">
        <v>2665</v>
      </c>
      <c r="B37" s="491"/>
      <c r="C37" s="1402" t="e">
        <f>R37</f>
        <v>#DIV/0!</v>
      </c>
      <c r="D37" s="1402"/>
      <c r="E37" s="1402"/>
      <c r="F37" s="1402"/>
      <c r="G37" s="1402"/>
      <c r="H37" s="1402"/>
      <c r="I37" s="1402"/>
      <c r="J37" s="1402"/>
      <c r="K37" s="782"/>
      <c r="L37" s="1136"/>
      <c r="M37" s="1137"/>
      <c r="N37" s="1137"/>
      <c r="O37" s="1137"/>
      <c r="P37" s="3185" t="str">
        <f>A37</f>
        <v>估价对象XX用房的比较价值（楼面单价，元/平方米）</v>
      </c>
      <c r="Q37" s="3186"/>
      <c r="R37" s="3187" t="e">
        <f>IF(F1="售价",ROUND(AVERAGE(R36:V36),0),ROUND(AVERAGE(R36:V36),1))</f>
        <v>#DIV/0!</v>
      </c>
      <c r="S37" s="3187"/>
      <c r="T37" s="3187"/>
      <c r="U37" s="3187"/>
      <c r="V37" s="3187"/>
      <c r="W37" s="3187"/>
      <c r="X37" s="756"/>
      <c r="Y37" s="756"/>
      <c r="Z37" s="756"/>
      <c r="AA37" s="756"/>
      <c r="AB37" s="756"/>
      <c r="AC37" s="756"/>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2666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2667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2668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0" t="s">
        <v>2669</v>
      </c>
      <c r="B45" s="756"/>
      <c r="C45" s="761"/>
      <c r="D45" s="761"/>
      <c r="E45" s="761"/>
      <c r="F45" s="762"/>
      <c r="G45" s="762"/>
      <c r="H45" s="761"/>
      <c r="I45" s="761"/>
      <c r="J45" s="761"/>
      <c r="K45" s="763"/>
      <c r="L45" s="764"/>
      <c r="M45" s="761"/>
      <c r="N45" s="761"/>
      <c r="O45" s="761"/>
      <c r="P45" s="501"/>
      <c r="Q45" s="502"/>
    </row>
    <row r="46" spans="1:29" s="506" customFormat="1" ht="15">
      <c r="A46" s="503" t="s">
        <v>2543</v>
      </c>
      <c r="B46" s="504"/>
      <c r="C46" s="1560" t="str">
        <f>YEAR(C7)&amp;"-"&amp;MONTH(C7)</f>
        <v>2017-11</v>
      </c>
      <c r="D46" s="1561">
        <f>EDATE(C46,-1)</f>
        <v>43009</v>
      </c>
      <c r="E46" s="1561">
        <f t="shared" ref="E46:O46" si="16">EDATE(D46,-1)</f>
        <v>42979</v>
      </c>
      <c r="F46" s="1561">
        <f t="shared" si="16"/>
        <v>42948</v>
      </c>
      <c r="G46" s="1561">
        <f t="shared" si="16"/>
        <v>42917</v>
      </c>
      <c r="H46" s="1561">
        <f t="shared" si="16"/>
        <v>42887</v>
      </c>
      <c r="I46" s="1561">
        <f t="shared" si="16"/>
        <v>42856</v>
      </c>
      <c r="J46" s="1561">
        <f t="shared" si="16"/>
        <v>42826</v>
      </c>
      <c r="K46" s="1561">
        <f t="shared" si="16"/>
        <v>42795</v>
      </c>
      <c r="L46" s="1561">
        <f t="shared" si="16"/>
        <v>42767</v>
      </c>
      <c r="M46" s="1561">
        <f t="shared" si="16"/>
        <v>42736</v>
      </c>
      <c r="N46" s="1561">
        <f t="shared" si="16"/>
        <v>42705</v>
      </c>
      <c r="O46" s="1561">
        <f t="shared" si="16"/>
        <v>42675</v>
      </c>
      <c r="P46" s="505"/>
    </row>
    <row r="47" spans="1:29" s="115" customFormat="1" ht="15">
      <c r="A47" s="507"/>
      <c r="B47" s="508"/>
      <c r="C47" s="1559">
        <v>100</v>
      </c>
      <c r="D47" s="510"/>
      <c r="E47" s="510"/>
      <c r="F47" s="510"/>
      <c r="G47" s="510"/>
      <c r="H47" s="510"/>
      <c r="I47" s="510"/>
      <c r="J47" s="510"/>
      <c r="K47" s="510"/>
      <c r="L47" s="510"/>
      <c r="M47" s="511"/>
      <c r="N47" s="510"/>
      <c r="O47" s="512"/>
      <c r="P47" s="502"/>
    </row>
    <row r="48" spans="1:29" s="115" customFormat="1" ht="15.75" thickBot="1">
      <c r="A48" s="513" t="s">
        <v>2580</v>
      </c>
      <c r="B48" s="514"/>
      <c r="C48" s="515"/>
      <c r="D48" s="516"/>
      <c r="E48" s="516"/>
      <c r="F48" s="516"/>
      <c r="G48" s="516"/>
      <c r="H48" s="516"/>
      <c r="I48" s="516"/>
      <c r="J48" s="516"/>
      <c r="K48" s="516"/>
      <c r="L48" s="516"/>
      <c r="M48" s="517"/>
      <c r="N48" s="516"/>
      <c r="O48" s="518"/>
      <c r="P48" s="502"/>
      <c r="Q48" s="502"/>
    </row>
    <row r="49" spans="1:17" s="115" customFormat="1" ht="15">
      <c r="A49" s="519" t="s">
        <v>2545</v>
      </c>
      <c r="B49" s="508"/>
      <c r="C49" s="520" t="s">
        <v>2647</v>
      </c>
      <c r="D49" s="521"/>
      <c r="E49" s="521"/>
      <c r="F49" s="521"/>
      <c r="G49" s="521"/>
      <c r="H49" s="521"/>
      <c r="I49" s="521"/>
      <c r="J49" s="521"/>
      <c r="K49" s="521"/>
      <c r="L49" s="522"/>
      <c r="M49" s="523"/>
      <c r="N49" s="1144"/>
      <c r="O49" s="1144"/>
      <c r="P49" s="524"/>
      <c r="Q49" s="502"/>
    </row>
    <row r="50" spans="1:17" s="115" customFormat="1" ht="15.75" thickBot="1">
      <c r="A50" s="519"/>
      <c r="B50" s="508"/>
      <c r="C50" s="636">
        <v>100</v>
      </c>
      <c r="D50" s="510"/>
      <c r="E50" s="510"/>
      <c r="F50" s="510"/>
      <c r="G50" s="510"/>
      <c r="H50" s="510"/>
      <c r="I50" s="510"/>
      <c r="J50" s="510"/>
      <c r="K50" s="510"/>
      <c r="L50" s="510"/>
      <c r="M50" s="512"/>
      <c r="N50" s="1144"/>
      <c r="O50" s="1144"/>
      <c r="P50" s="502"/>
      <c r="Q50" s="502"/>
    </row>
    <row r="51" spans="1:17">
      <c r="A51" s="525" t="s">
        <v>2583</v>
      </c>
      <c r="B51" s="526" t="s">
        <v>2549</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2552</v>
      </c>
      <c r="C53" s="537" t="s">
        <v>2584</v>
      </c>
      <c r="D53" s="537" t="s">
        <v>2585</v>
      </c>
      <c r="E53" s="537" t="s">
        <v>2586</v>
      </c>
      <c r="F53" s="537" t="s">
        <v>2587</v>
      </c>
      <c r="G53" s="537" t="s">
        <v>2588</v>
      </c>
      <c r="H53" s="537" t="s">
        <v>2589</v>
      </c>
      <c r="I53" s="537" t="s">
        <v>2590</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7">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2554</v>
      </c>
      <c r="B61" s="526" t="s">
        <v>2597</v>
      </c>
      <c r="C61" s="571" t="s">
        <v>2592</v>
      </c>
      <c r="D61" s="571" t="s">
        <v>2593</v>
      </c>
      <c r="E61" s="571" t="s">
        <v>2594</v>
      </c>
      <c r="F61" s="571" t="s">
        <v>2595</v>
      </c>
      <c r="G61" s="571" t="s">
        <v>2596</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2735</v>
      </c>
      <c r="C63" s="576" t="s">
        <v>2592</v>
      </c>
      <c r="D63" s="576" t="s">
        <v>2593</v>
      </c>
      <c r="E63" s="576" t="s">
        <v>2594</v>
      </c>
      <c r="F63" s="576" t="s">
        <v>2595</v>
      </c>
      <c r="G63" s="576" t="s">
        <v>2596</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2684</v>
      </c>
      <c r="C65" s="657" t="s">
        <v>2670</v>
      </c>
      <c r="D65" s="657" t="s">
        <v>2671</v>
      </c>
      <c r="E65" s="657" t="s">
        <v>2672</v>
      </c>
      <c r="F65" s="657" t="s">
        <v>2673</v>
      </c>
      <c r="G65" s="657" t="s">
        <v>2674</v>
      </c>
      <c r="H65" s="537"/>
      <c r="I65" s="537"/>
      <c r="J65" s="537"/>
      <c r="K65" s="537"/>
      <c r="L65" s="537"/>
      <c r="M65" s="1367"/>
      <c r="N65" s="1146"/>
      <c r="O65" s="1146"/>
      <c r="P65" s="45"/>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6"/>
      <c r="O66" s="1146"/>
      <c r="P66" s="45"/>
      <c r="Q66" s="502"/>
    </row>
    <row r="67" spans="1:17" ht="15.75" thickTop="1">
      <c r="A67" s="532"/>
      <c r="B67" s="536" t="s">
        <v>2604</v>
      </c>
      <c r="C67" s="576" t="s">
        <v>2592</v>
      </c>
      <c r="D67" s="576" t="s">
        <v>2593</v>
      </c>
      <c r="E67" s="576" t="s">
        <v>2594</v>
      </c>
      <c r="F67" s="576" t="s">
        <v>2595</v>
      </c>
      <c r="G67" s="576" t="s">
        <v>2596</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2724</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5" customFormat="1" ht="15.75" thickTop="1">
      <c r="A71" s="577"/>
      <c r="B71" s="536">
        <f>B23</f>
        <v>111</v>
      </c>
      <c r="C71" s="547"/>
      <c r="D71" s="547"/>
      <c r="E71" s="547"/>
      <c r="F71" s="547"/>
      <c r="G71" s="552"/>
      <c r="H71" s="552"/>
      <c r="I71" s="552"/>
      <c r="J71" s="552"/>
      <c r="K71" s="552"/>
      <c r="L71" s="578"/>
      <c r="M71" s="579"/>
      <c r="N71" s="1144"/>
      <c r="O71" s="1144"/>
      <c r="P71" s="45"/>
      <c r="Q71" s="502"/>
    </row>
    <row r="72" spans="1:17" s="115" customFormat="1" ht="15.75" thickBot="1">
      <c r="A72" s="577"/>
      <c r="B72" s="541"/>
      <c r="C72" s="558"/>
      <c r="D72" s="534"/>
      <c r="E72" s="534"/>
      <c r="F72" s="534"/>
      <c r="G72" s="534"/>
      <c r="H72" s="534"/>
      <c r="I72" s="534"/>
      <c r="J72" s="534"/>
      <c r="K72" s="534"/>
      <c r="L72" s="534"/>
      <c r="M72" s="535"/>
      <c r="N72" s="1146"/>
      <c r="O72" s="1146"/>
      <c r="P72" s="45"/>
      <c r="Q72" s="502"/>
    </row>
    <row r="73" spans="1:17" s="115" customFormat="1" ht="15.75" thickTop="1">
      <c r="A73" s="577"/>
      <c r="B73" s="536">
        <f>B24</f>
        <v>111</v>
      </c>
      <c r="C73" s="547"/>
      <c r="D73" s="547"/>
      <c r="E73" s="547"/>
      <c r="F73" s="547"/>
      <c r="G73" s="552"/>
      <c r="H73" s="552"/>
      <c r="I73" s="552"/>
      <c r="J73" s="552"/>
      <c r="K73" s="552"/>
      <c r="L73" s="552"/>
      <c r="M73" s="579"/>
      <c r="N73" s="1144"/>
      <c r="O73" s="1144"/>
      <c r="P73" s="45"/>
      <c r="Q73" s="502"/>
    </row>
    <row r="74" spans="1:17" s="115"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2558</v>
      </c>
      <c r="B77" s="526" t="s">
        <v>2611</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2727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7"/>
      <c r="J80" s="657"/>
      <c r="K80" s="665"/>
      <c r="L80" s="666"/>
      <c r="M80" s="667"/>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2728</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2736</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2737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9"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2738</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3">
        <f>B34</f>
        <v>111</v>
      </c>
      <c r="C95" s="547"/>
      <c r="D95" s="547"/>
      <c r="E95" s="547"/>
      <c r="F95" s="547"/>
      <c r="G95" s="552"/>
      <c r="H95" s="553"/>
      <c r="I95" s="553"/>
      <c r="J95" s="553"/>
      <c r="K95" s="553"/>
      <c r="L95" s="554"/>
      <c r="M95" s="555"/>
      <c r="N95" s="1146"/>
      <c r="O95" s="1146"/>
      <c r="P95" s="634"/>
      <c r="Q95" s="635"/>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2739</v>
      </c>
      <c r="B1" s="393"/>
      <c r="C1" s="394"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2322</v>
      </c>
      <c r="B2" s="668" t="e">
        <f>F66</f>
        <v>#DIV/0!</v>
      </c>
      <c r="C2" s="1117"/>
      <c r="D2" s="1117"/>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c r="AD2" s="395"/>
    </row>
    <row r="3" spans="1:30" s="396" customFormat="1" ht="28.5" customHeight="1" thickBot="1">
      <c r="A3" s="245" t="s">
        <v>2324</v>
      </c>
      <c r="B3" s="607" t="e">
        <f>ROUND(IF(D3="",B2*10000/'数据-汇总表'!E3,B2*10000/D3),0)</f>
        <v>#DIV/0!</v>
      </c>
      <c r="C3" s="245" t="s">
        <v>2741</v>
      </c>
      <c r="D3" s="1569"/>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30" ht="15">
      <c r="A4" s="399" t="s">
        <v>2640</v>
      </c>
      <c r="B4" s="400"/>
      <c r="C4" s="3171" t="s">
        <v>2641</v>
      </c>
      <c r="D4" s="3172"/>
      <c r="E4" s="3173" t="s">
        <v>2642</v>
      </c>
      <c r="F4" s="3174"/>
      <c r="G4" s="3171" t="s">
        <v>2643</v>
      </c>
      <c r="H4" s="3172"/>
      <c r="I4" s="3171" t="s">
        <v>2644</v>
      </c>
      <c r="J4" s="3172"/>
      <c r="K4" s="608" t="s">
        <v>2645</v>
      </c>
      <c r="L4" s="1123"/>
      <c r="M4" s="1124"/>
      <c r="N4" s="1124"/>
      <c r="O4" s="1124"/>
      <c r="P4" s="3175" t="s">
        <v>2646</v>
      </c>
      <c r="Q4" s="3176"/>
      <c r="R4" s="3157" t="s">
        <v>2642</v>
      </c>
      <c r="S4" s="3158"/>
      <c r="T4" s="3157" t="s">
        <v>2643</v>
      </c>
      <c r="U4" s="3158"/>
      <c r="V4" s="3183" t="s">
        <v>2644</v>
      </c>
      <c r="W4" s="3183"/>
      <c r="X4" s="1799"/>
      <c r="Y4" s="3157" t="s">
        <v>2646</v>
      </c>
      <c r="Z4" s="3158"/>
      <c r="AA4" s="3152" t="s">
        <v>2642</v>
      </c>
      <c r="AB4" s="3153" t="s">
        <v>2643</v>
      </c>
      <c r="AC4" s="3152" t="s">
        <v>2644</v>
      </c>
    </row>
    <row r="5" spans="1:30" ht="15">
      <c r="A5" s="402"/>
      <c r="B5" s="403"/>
      <c r="C5" s="3230" t="s">
        <v>2537</v>
      </c>
      <c r="D5" s="3164"/>
      <c r="E5" s="3234" t="s">
        <v>2538</v>
      </c>
      <c r="F5" s="3162"/>
      <c r="G5" s="3230" t="s">
        <v>2539</v>
      </c>
      <c r="H5" s="3164"/>
      <c r="I5" s="3230" t="s">
        <v>2540</v>
      </c>
      <c r="J5" s="3164"/>
      <c r="K5" s="608"/>
      <c r="L5" s="1123"/>
      <c r="M5" s="1124"/>
      <c r="N5" s="1124"/>
      <c r="O5" s="1124"/>
      <c r="P5" s="3177"/>
      <c r="Q5" s="3178"/>
      <c r="R5" s="3159"/>
      <c r="S5" s="3160"/>
      <c r="T5" s="3159"/>
      <c r="U5" s="3160"/>
      <c r="V5" s="3183"/>
      <c r="W5" s="3183"/>
      <c r="X5" s="1799"/>
      <c r="Y5" s="3159"/>
      <c r="Z5" s="3160"/>
      <c r="AA5" s="3153"/>
      <c r="AB5" s="3153"/>
      <c r="AC5" s="3153"/>
    </row>
    <row r="6" spans="1:30" ht="15.75" thickBot="1">
      <c r="A6" s="404"/>
      <c r="B6" s="405"/>
      <c r="C6" s="3235" t="s">
        <v>2541</v>
      </c>
      <c r="D6" s="3169"/>
      <c r="E6" s="3236" t="s">
        <v>2541</v>
      </c>
      <c r="F6" s="3166"/>
      <c r="G6" s="3235" t="s">
        <v>2541</v>
      </c>
      <c r="H6" s="3169"/>
      <c r="I6" s="3235" t="s">
        <v>2541</v>
      </c>
      <c r="J6" s="3169"/>
      <c r="K6" s="608" t="s">
        <v>2542</v>
      </c>
      <c r="L6" s="1123"/>
      <c r="M6" s="1124"/>
      <c r="N6" s="1124"/>
      <c r="O6" s="1124"/>
      <c r="P6" s="3179"/>
      <c r="Q6" s="3180"/>
      <c r="R6" s="3159"/>
      <c r="S6" s="3160"/>
      <c r="T6" s="3181"/>
      <c r="U6" s="3182"/>
      <c r="V6" s="3183"/>
      <c r="W6" s="3183"/>
      <c r="X6" s="1799"/>
      <c r="Y6" s="3181"/>
      <c r="Z6" s="3182"/>
      <c r="AA6" s="3154"/>
      <c r="AB6" s="3154"/>
      <c r="AC6" s="3154"/>
    </row>
    <row r="7" spans="1:30" s="115" customFormat="1" ht="15.75" thickBot="1">
      <c r="A7" s="406" t="s">
        <v>2543</v>
      </c>
      <c r="B7" s="407"/>
      <c r="C7" s="408">
        <f>'数据-取费表'!B2</f>
        <v>43061</v>
      </c>
      <c r="D7" s="409">
        <v>100</v>
      </c>
      <c r="E7" s="410">
        <v>42309</v>
      </c>
      <c r="F7" s="411">
        <f>SUMIF(70:70,YEAR(E7)&amp;"-"&amp;INT((MONTH(E7)+2)/3),71:71)</f>
        <v>0</v>
      </c>
      <c r="G7" s="2676">
        <v>42309</v>
      </c>
      <c r="H7" s="409">
        <f>SUMIF(70:70,YEAR(G7)&amp;"-"&amp;INT((MONTH(G7)+2)/3),71:71)</f>
        <v>0</v>
      </c>
      <c r="I7" s="2676">
        <v>42036</v>
      </c>
      <c r="J7" s="409">
        <f>SUMIF(70:70,YEAR(I7)&amp;"-"&amp;INT((MONTH(I7)+2)/3),71:71)</f>
        <v>0</v>
      </c>
      <c r="K7" s="609"/>
      <c r="L7" s="1125"/>
      <c r="M7" s="1126"/>
      <c r="N7" s="1126"/>
      <c r="O7" s="1126"/>
      <c r="P7" s="3155" t="s">
        <v>2544</v>
      </c>
      <c r="Q7" s="3184"/>
      <c r="R7" s="767" t="s">
        <v>17</v>
      </c>
      <c r="S7" s="768">
        <f t="shared" ref="S7:S15" si="0">F7</f>
        <v>0</v>
      </c>
      <c r="T7" s="767" t="s">
        <v>17</v>
      </c>
      <c r="U7" s="768">
        <f t="shared" ref="U7:U15" si="1">H7</f>
        <v>0</v>
      </c>
      <c r="V7" s="767" t="s">
        <v>17</v>
      </c>
      <c r="W7" s="768">
        <f t="shared" ref="W7:W15" si="2">J7</f>
        <v>0</v>
      </c>
      <c r="X7" s="769"/>
      <c r="Y7" s="3155" t="s">
        <v>2544</v>
      </c>
      <c r="Z7" s="3156"/>
      <c r="AA7" s="770" t="e">
        <f>D7/F7</f>
        <v>#DIV/0!</v>
      </c>
      <c r="AB7" s="770" t="e">
        <f>D7/H7</f>
        <v>#DIV/0!</v>
      </c>
      <c r="AC7" s="770" t="e">
        <f>D7/J7</f>
        <v>#DIV/0!</v>
      </c>
    </row>
    <row r="8" spans="1:30" s="115" customFormat="1" ht="15.75" thickBot="1">
      <c r="A8" s="406" t="s">
        <v>2545</v>
      </c>
      <c r="B8" s="407"/>
      <c r="C8" s="412" t="s">
        <v>2546</v>
      </c>
      <c r="D8" s="409">
        <v>100</v>
      </c>
      <c r="E8" s="412"/>
      <c r="F8" s="411">
        <f>SUMIF(73:73,E8,74:74)-SUMIF(73:73,C8,74:74)+100</f>
        <v>0</v>
      </c>
      <c r="G8" s="412"/>
      <c r="H8" s="409">
        <f>SUMIF(73:73,G8,74:74)-SUMIF(73:73,C8,74:74)+100</f>
        <v>0</v>
      </c>
      <c r="I8" s="412"/>
      <c r="J8" s="409">
        <f>SUMIF(73:73,I8,74:74)-SUMIF(73:73,C8,74:74)+100</f>
        <v>0</v>
      </c>
      <c r="K8" s="609"/>
      <c r="L8" s="1125"/>
      <c r="M8" s="1126"/>
      <c r="N8" s="1126"/>
      <c r="O8" s="1126"/>
      <c r="P8" s="3155" t="s">
        <v>2547</v>
      </c>
      <c r="Q8" s="3156"/>
      <c r="R8" s="767" t="s">
        <v>17</v>
      </c>
      <c r="S8" s="768">
        <f t="shared" si="0"/>
        <v>0</v>
      </c>
      <c r="T8" s="767" t="s">
        <v>17</v>
      </c>
      <c r="U8" s="768">
        <f t="shared" si="1"/>
        <v>0</v>
      </c>
      <c r="V8" s="767" t="s">
        <v>17</v>
      </c>
      <c r="W8" s="768">
        <f t="shared" si="2"/>
        <v>0</v>
      </c>
      <c r="X8" s="769"/>
      <c r="Y8" s="3155" t="s">
        <v>2547</v>
      </c>
      <c r="Z8" s="3156"/>
      <c r="AA8" s="770" t="e">
        <f t="shared" ref="AA8:AA45" si="3">D8/F8</f>
        <v>#DIV/0!</v>
      </c>
      <c r="AB8" s="770" t="e">
        <f t="shared" ref="AB8:AB45" si="4">D8/H8</f>
        <v>#DIV/0!</v>
      </c>
      <c r="AC8" s="770" t="e">
        <f t="shared" ref="AC8:AC45" si="5">D8/J8</f>
        <v>#DIV/0!</v>
      </c>
    </row>
    <row r="9" spans="1:30" s="115" customFormat="1">
      <c r="A9" s="413" t="s">
        <v>2548</v>
      </c>
      <c r="B9" s="71" t="s">
        <v>2549</v>
      </c>
      <c r="C9" s="2679"/>
      <c r="D9" s="133">
        <v>100</v>
      </c>
      <c r="E9" s="2679"/>
      <c r="F9" s="133">
        <f>SUMIF(75:75,E9,76:76)-SUMIF(75:75,C9,76:76)+100</f>
        <v>100</v>
      </c>
      <c r="G9" s="2679"/>
      <c r="H9" s="133">
        <f>SUMIF(75:75,G9,76:76)-SUMIF(75:75,C9,76:76)+100</f>
        <v>100</v>
      </c>
      <c r="I9" s="2679"/>
      <c r="J9" s="133">
        <f>SUMIF(75:75,I9,76:76)-SUMIF(75:75,C9,76:76)+100</f>
        <v>100</v>
      </c>
      <c r="K9" s="609"/>
      <c r="L9" s="1125"/>
      <c r="M9" s="1126"/>
      <c r="N9" s="1126"/>
      <c r="O9" s="1127"/>
      <c r="P9" s="3188" t="s">
        <v>2550</v>
      </c>
      <c r="Q9" s="1781" t="str">
        <f t="shared" ref="Q9:Q15" si="6">B9</f>
        <v>用途</v>
      </c>
      <c r="R9" s="767" t="s">
        <v>17</v>
      </c>
      <c r="S9" s="768">
        <f t="shared" si="0"/>
        <v>100</v>
      </c>
      <c r="T9" s="767" t="s">
        <v>17</v>
      </c>
      <c r="U9" s="768">
        <f t="shared" si="1"/>
        <v>100</v>
      </c>
      <c r="V9" s="767" t="s">
        <v>17</v>
      </c>
      <c r="W9" s="768">
        <f t="shared" si="2"/>
        <v>100</v>
      </c>
      <c r="X9" s="769"/>
      <c r="Y9" s="3029" t="s">
        <v>2551</v>
      </c>
      <c r="Z9" s="55" t="str">
        <f t="shared" ref="Z9:Z15" si="7">Q9</f>
        <v>用途</v>
      </c>
      <c r="AA9" s="770">
        <f t="shared" si="3"/>
        <v>1</v>
      </c>
      <c r="AB9" s="770">
        <f t="shared" si="4"/>
        <v>1</v>
      </c>
      <c r="AC9" s="770">
        <f t="shared" si="5"/>
        <v>1</v>
      </c>
    </row>
    <row r="10" spans="1:30" s="425" customFormat="1" ht="27">
      <c r="A10" s="419"/>
      <c r="B10" s="420" t="s">
        <v>2552</v>
      </c>
      <c r="C10" s="430"/>
      <c r="D10" s="134">
        <v>100</v>
      </c>
      <c r="E10" s="463"/>
      <c r="F10" s="134">
        <f>ROUND(100/'数据-取费表'!G16,0)</f>
        <v>106</v>
      </c>
      <c r="G10" s="461"/>
      <c r="H10" s="134">
        <f>ROUND(100/'数据-取费表'!G16,0)</f>
        <v>106</v>
      </c>
      <c r="I10" s="461"/>
      <c r="J10" s="134">
        <f>ROUND(100/'数据-取费表'!G16,0)</f>
        <v>106</v>
      </c>
      <c r="K10" s="669"/>
      <c r="L10" s="1128"/>
      <c r="M10" s="1129"/>
      <c r="N10" s="1129"/>
      <c r="O10" s="1130"/>
      <c r="P10" s="3188"/>
      <c r="Q10" s="1781" t="str">
        <f t="shared" si="6"/>
        <v>土地使用年限（年）</v>
      </c>
      <c r="R10" s="767" t="s">
        <v>17</v>
      </c>
      <c r="S10" s="768">
        <f t="shared" si="0"/>
        <v>106</v>
      </c>
      <c r="T10" s="767" t="s">
        <v>17</v>
      </c>
      <c r="U10" s="768">
        <f t="shared" si="1"/>
        <v>106</v>
      </c>
      <c r="V10" s="767" t="s">
        <v>17</v>
      </c>
      <c r="W10" s="768">
        <f t="shared" si="2"/>
        <v>106</v>
      </c>
      <c r="X10" s="769"/>
      <c r="Y10" s="3029"/>
      <c r="Z10" s="55" t="str">
        <f t="shared" si="7"/>
        <v>土地使用年限（年）</v>
      </c>
      <c r="AA10" s="770">
        <f t="shared" si="3"/>
        <v>0.94339622641509435</v>
      </c>
      <c r="AB10" s="770">
        <f t="shared" si="4"/>
        <v>0.94339622641509435</v>
      </c>
      <c r="AC10" s="770">
        <f t="shared" si="5"/>
        <v>0.94339622641509435</v>
      </c>
    </row>
    <row r="11" spans="1:30" ht="15">
      <c r="A11" s="426"/>
      <c r="B11" s="420" t="s">
        <v>2553</v>
      </c>
      <c r="C11" s="427"/>
      <c r="D11" s="134">
        <v>100</v>
      </c>
      <c r="E11" s="427"/>
      <c r="F11" s="134" t="e">
        <f>LOOKUP(E11,80:80,81:81)-LOOKUP(C11,80:80,81:81)+100</f>
        <v>#N/A</v>
      </c>
      <c r="G11" s="428"/>
      <c r="H11" s="134" t="e">
        <f>LOOKUP(G11,80:80,81:81)-LOOKUP(C11,80:80,81:81)+100</f>
        <v>#N/A</v>
      </c>
      <c r="I11" s="427"/>
      <c r="J11" s="134" t="e">
        <f>LOOKUP(I11,80:80,81:81)-LOOKUP(C11,80:80,81:81)+100</f>
        <v>#N/A</v>
      </c>
      <c r="K11" s="670"/>
      <c r="L11" s="1131"/>
      <c r="M11" s="1124"/>
      <c r="N11" s="1124"/>
      <c r="O11" s="1132"/>
      <c r="P11" s="3188"/>
      <c r="Q11" s="1781"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30" s="115" customFormat="1" ht="15">
      <c r="A12" s="429"/>
      <c r="B12" s="2583" t="s">
        <v>2742</v>
      </c>
      <c r="C12" s="430"/>
      <c r="D12" s="431">
        <v>100</v>
      </c>
      <c r="E12" s="463"/>
      <c r="F12" s="134">
        <f>SUMIF(82:82,E12,83:83)-SUMIF(82:82,C12,83:83)+100</f>
        <v>100</v>
      </c>
      <c r="G12" s="461"/>
      <c r="H12" s="134">
        <f>SUMIF(82:82,G12,83:83)-SUMIF(82:82,C12,83:83)+100</f>
        <v>100</v>
      </c>
      <c r="I12" s="463"/>
      <c r="J12" s="134">
        <f>SUMIF(82:82,I12,83:83)-SUMIF(82:82,C12,83:83)+100</f>
        <v>100</v>
      </c>
      <c r="K12" s="669"/>
      <c r="L12" s="1125"/>
      <c r="M12" s="1126"/>
      <c r="N12" s="1126"/>
      <c r="O12" s="1127"/>
      <c r="P12" s="3188"/>
      <c r="Q12" s="1781" t="str">
        <f t="shared" si="6"/>
        <v>配建</v>
      </c>
      <c r="R12" s="767" t="s">
        <v>17</v>
      </c>
      <c r="S12" s="768">
        <f t="shared" si="0"/>
        <v>100</v>
      </c>
      <c r="T12" s="767" t="s">
        <v>17</v>
      </c>
      <c r="U12" s="768">
        <f t="shared" si="1"/>
        <v>100</v>
      </c>
      <c r="V12" s="767" t="s">
        <v>17</v>
      </c>
      <c r="W12" s="768">
        <f t="shared" si="2"/>
        <v>100</v>
      </c>
      <c r="X12" s="769"/>
      <c r="Y12" s="3029"/>
      <c r="Z12" s="55" t="str">
        <f t="shared" si="7"/>
        <v>配建</v>
      </c>
      <c r="AA12" s="770">
        <f>D12/F12</f>
        <v>1</v>
      </c>
      <c r="AB12" s="770">
        <f>D12/H12</f>
        <v>1</v>
      </c>
      <c r="AC12" s="770">
        <f>D12/J12</f>
        <v>1</v>
      </c>
    </row>
    <row r="13" spans="1:30" ht="15">
      <c r="A13" s="426"/>
      <c r="B13" s="2583">
        <v>111</v>
      </c>
      <c r="C13" s="432"/>
      <c r="D13" s="433">
        <v>100</v>
      </c>
      <c r="E13" s="547"/>
      <c r="F13" s="134">
        <f>SUMIF(84:84,E13,85:85)-SUMIF(84:84,C13,85:85)+100</f>
        <v>100</v>
      </c>
      <c r="G13" s="671"/>
      <c r="H13" s="433">
        <f>SUMIF(84:84,G13,85:85)-SUMIF(84:84,C13,85:85)+100</f>
        <v>100</v>
      </c>
      <c r="I13" s="671"/>
      <c r="J13" s="433">
        <f>SUMIF(84:84,I13,85:85)-SUMIF(84:84,C13,85:85)+100</f>
        <v>100</v>
      </c>
      <c r="K13" s="669"/>
      <c r="L13" s="1133"/>
      <c r="M13" s="1124"/>
      <c r="N13" s="1124"/>
      <c r="O13" s="1132"/>
      <c r="P13" s="3188"/>
      <c r="Q13" s="1781">
        <f t="shared" si="6"/>
        <v>111</v>
      </c>
      <c r="R13" s="767" t="s">
        <v>17</v>
      </c>
      <c r="S13" s="768">
        <f t="shared" si="0"/>
        <v>100</v>
      </c>
      <c r="T13" s="767" t="s">
        <v>17</v>
      </c>
      <c r="U13" s="768">
        <f t="shared" si="1"/>
        <v>100</v>
      </c>
      <c r="V13" s="767" t="s">
        <v>17</v>
      </c>
      <c r="W13" s="768">
        <f t="shared" si="2"/>
        <v>100</v>
      </c>
      <c r="X13" s="769"/>
      <c r="Y13" s="3029"/>
      <c r="Z13" s="55">
        <f t="shared" si="7"/>
        <v>111</v>
      </c>
      <c r="AA13" s="770">
        <f>D13/F13</f>
        <v>1</v>
      </c>
      <c r="AB13" s="770">
        <f>D13/H13</f>
        <v>1</v>
      </c>
      <c r="AC13" s="770">
        <f>D13/J13</f>
        <v>1</v>
      </c>
    </row>
    <row r="14" spans="1:30" ht="15.75" thickBot="1">
      <c r="A14" s="434"/>
      <c r="B14" s="2585">
        <v>111</v>
      </c>
      <c r="C14" s="435"/>
      <c r="D14" s="436">
        <v>100</v>
      </c>
      <c r="E14" s="547"/>
      <c r="F14" s="436">
        <f>SUMIF(86:86,E14,87:87)-SUMIF(86:86,C14,87:87)+100</f>
        <v>100</v>
      </c>
      <c r="G14" s="671"/>
      <c r="H14" s="436">
        <f>SUMIF(86:86,G14,87:87)-SUMIF(86:86,C14,87:87)+100</f>
        <v>100</v>
      </c>
      <c r="I14" s="671"/>
      <c r="J14" s="436">
        <f>SUMIF(86:86,I14,87:87)-SUMIF(86:86,C14,87:87)+100</f>
        <v>100</v>
      </c>
      <c r="K14" s="669"/>
      <c r="L14" s="1133"/>
      <c r="M14" s="1124"/>
      <c r="N14" s="1124"/>
      <c r="O14" s="1132"/>
      <c r="P14" s="3188"/>
      <c r="Q14" s="1781">
        <f t="shared" si="6"/>
        <v>111</v>
      </c>
      <c r="R14" s="767" t="s">
        <v>17</v>
      </c>
      <c r="S14" s="768">
        <f t="shared" si="0"/>
        <v>100</v>
      </c>
      <c r="T14" s="767" t="s">
        <v>17</v>
      </c>
      <c r="U14" s="768">
        <f t="shared" si="1"/>
        <v>100</v>
      </c>
      <c r="V14" s="767" t="s">
        <v>17</v>
      </c>
      <c r="W14" s="768">
        <f t="shared" si="2"/>
        <v>100</v>
      </c>
      <c r="X14" s="769"/>
      <c r="Y14" s="3029"/>
      <c r="Z14" s="55">
        <f t="shared" si="7"/>
        <v>111</v>
      </c>
      <c r="AA14" s="770">
        <f>D14/F14</f>
        <v>1</v>
      </c>
      <c r="AB14" s="770">
        <f>D14/H14</f>
        <v>1</v>
      </c>
      <c r="AC14" s="770">
        <f>D14/J14</f>
        <v>1</v>
      </c>
    </row>
    <row r="15" spans="1:30" ht="99.75">
      <c r="A15" s="438" t="s">
        <v>2554</v>
      </c>
      <c r="B15" s="69" t="s">
        <v>2082</v>
      </c>
      <c r="C15" s="258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0"/>
      <c r="L15" s="1133"/>
      <c r="M15" s="1124"/>
      <c r="N15" s="1124"/>
      <c r="O15" s="1132"/>
      <c r="P15" s="3190" t="s">
        <v>2555</v>
      </c>
      <c r="Q15" s="1796" t="str">
        <f t="shared" si="6"/>
        <v>居住社区成熟度</v>
      </c>
      <c r="R15" s="771" t="s">
        <v>17</v>
      </c>
      <c r="S15" s="772">
        <f t="shared" si="0"/>
        <v>100</v>
      </c>
      <c r="T15" s="771" t="s">
        <v>17</v>
      </c>
      <c r="U15" s="772">
        <f t="shared" si="1"/>
        <v>100</v>
      </c>
      <c r="V15" s="771" t="s">
        <v>17</v>
      </c>
      <c r="W15" s="772">
        <f t="shared" si="2"/>
        <v>100</v>
      </c>
      <c r="X15" s="1799"/>
      <c r="Y15" s="3190" t="s">
        <v>2555</v>
      </c>
      <c r="Z15" s="1800" t="str">
        <f t="shared" si="7"/>
        <v>居住社区成熟度</v>
      </c>
      <c r="AA15" s="1797">
        <f t="shared" si="3"/>
        <v>1</v>
      </c>
      <c r="AB15" s="1797">
        <f t="shared" si="4"/>
        <v>1</v>
      </c>
      <c r="AC15" s="1797">
        <f t="shared" si="5"/>
        <v>1</v>
      </c>
    </row>
    <row r="16" spans="1:30" ht="15">
      <c r="A16" s="426"/>
      <c r="B16" s="444"/>
      <c r="C16" s="445"/>
      <c r="D16" s="446"/>
      <c r="E16" s="2588"/>
      <c r="F16" s="446"/>
      <c r="G16" s="2588"/>
      <c r="H16" s="448"/>
      <c r="I16" s="2587"/>
      <c r="J16" s="446"/>
      <c r="K16" s="669"/>
      <c r="L16" s="1133"/>
      <c r="M16" s="1124"/>
      <c r="N16" s="1124"/>
      <c r="O16" s="1132"/>
      <c r="P16" s="3191"/>
      <c r="Q16" s="1796"/>
      <c r="R16" s="771"/>
      <c r="S16" s="772"/>
      <c r="T16" s="771"/>
      <c r="U16" s="772"/>
      <c r="V16" s="771"/>
      <c r="W16" s="772"/>
      <c r="X16" s="1799"/>
      <c r="Y16" s="3191"/>
      <c r="Z16" s="1800"/>
      <c r="AA16" s="1797">
        <v>1</v>
      </c>
      <c r="AB16" s="1797">
        <v>1</v>
      </c>
      <c r="AC16" s="1797">
        <v>1</v>
      </c>
    </row>
    <row r="17" spans="1:29" ht="71.25">
      <c r="A17" s="426"/>
      <c r="B17" s="449" t="s">
        <v>2648</v>
      </c>
      <c r="C17" s="264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c r="L17" s="1133"/>
      <c r="M17" s="1124"/>
      <c r="N17" s="1124"/>
      <c r="O17" s="1132"/>
      <c r="P17" s="3191"/>
      <c r="Q17" s="1796" t="str">
        <f>B17</f>
        <v>商业繁华度</v>
      </c>
      <c r="R17" s="771" t="s">
        <v>17</v>
      </c>
      <c r="S17" s="772">
        <f>F17</f>
        <v>100</v>
      </c>
      <c r="T17" s="771" t="s">
        <v>17</v>
      </c>
      <c r="U17" s="772">
        <f>H17</f>
        <v>100</v>
      </c>
      <c r="V17" s="771" t="s">
        <v>17</v>
      </c>
      <c r="W17" s="772">
        <f>J17</f>
        <v>100</v>
      </c>
      <c r="X17" s="1799"/>
      <c r="Y17" s="3191"/>
      <c r="Z17" s="1800" t="str">
        <f>Q17</f>
        <v>商业繁华度</v>
      </c>
      <c r="AA17" s="1797">
        <f t="shared" si="3"/>
        <v>1</v>
      </c>
      <c r="AB17" s="1797">
        <f t="shared" si="4"/>
        <v>1</v>
      </c>
      <c r="AC17" s="1797">
        <f t="shared" si="5"/>
        <v>1</v>
      </c>
    </row>
    <row r="18" spans="1:29" ht="15">
      <c r="A18" s="426"/>
      <c r="B18" s="454"/>
      <c r="C18" s="2591"/>
      <c r="D18" s="448"/>
      <c r="E18" s="2593"/>
      <c r="F18" s="448"/>
      <c r="G18" s="2593"/>
      <c r="H18" s="446"/>
      <c r="I18" s="2592"/>
      <c r="J18" s="446"/>
      <c r="K18" s="669"/>
      <c r="L18" s="1133"/>
      <c r="M18" s="1124"/>
      <c r="N18" s="1124"/>
      <c r="O18" s="1132"/>
      <c r="P18" s="3191"/>
      <c r="Q18" s="1796"/>
      <c r="R18" s="771"/>
      <c r="S18" s="772"/>
      <c r="T18" s="771"/>
      <c r="U18" s="772"/>
      <c r="V18" s="771"/>
      <c r="W18" s="772"/>
      <c r="X18" s="1799"/>
      <c r="Y18" s="3191"/>
      <c r="Z18" s="1800"/>
      <c r="AA18" s="1797">
        <v>1</v>
      </c>
      <c r="AB18" s="1797">
        <v>1</v>
      </c>
      <c r="AC18" s="1797">
        <v>1</v>
      </c>
    </row>
    <row r="19" spans="1:29" ht="71.25">
      <c r="A19" s="426"/>
      <c r="B19" s="449" t="s">
        <v>2682</v>
      </c>
      <c r="C19" s="264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c r="L19" s="1133"/>
      <c r="M19" s="1124"/>
      <c r="N19" s="1124"/>
      <c r="O19" s="1132"/>
      <c r="P19" s="3191"/>
      <c r="Q19" s="1796" t="str">
        <f>B19</f>
        <v>办公集聚程度</v>
      </c>
      <c r="R19" s="771" t="s">
        <v>17</v>
      </c>
      <c r="S19" s="772">
        <f>F19</f>
        <v>100</v>
      </c>
      <c r="T19" s="771" t="s">
        <v>17</v>
      </c>
      <c r="U19" s="772">
        <f>H19</f>
        <v>100</v>
      </c>
      <c r="V19" s="771" t="s">
        <v>17</v>
      </c>
      <c r="W19" s="772">
        <f>J19</f>
        <v>100</v>
      </c>
      <c r="X19" s="1799"/>
      <c r="Y19" s="3191"/>
      <c r="Z19" s="1800" t="str">
        <f>Q19</f>
        <v>办公集聚程度</v>
      </c>
      <c r="AA19" s="1797">
        <f t="shared" si="3"/>
        <v>1</v>
      </c>
      <c r="AB19" s="1797">
        <f t="shared" si="4"/>
        <v>1</v>
      </c>
      <c r="AC19" s="1797">
        <f t="shared" si="5"/>
        <v>1</v>
      </c>
    </row>
    <row r="20" spans="1:29" ht="15">
      <c r="A20" s="426"/>
      <c r="B20" s="454"/>
      <c r="C20" s="445"/>
      <c r="D20" s="446"/>
      <c r="E20" s="2588"/>
      <c r="F20" s="446"/>
      <c r="G20" s="2588"/>
      <c r="H20" s="446"/>
      <c r="I20" s="2587"/>
      <c r="J20" s="446"/>
      <c r="K20" s="669"/>
      <c r="L20" s="1133"/>
      <c r="M20" s="1124"/>
      <c r="N20" s="1124"/>
      <c r="O20" s="1132"/>
      <c r="P20" s="3191"/>
      <c r="Q20" s="1796"/>
      <c r="R20" s="771"/>
      <c r="S20" s="772"/>
      <c r="T20" s="771"/>
      <c r="U20" s="772"/>
      <c r="V20" s="771"/>
      <c r="W20" s="772"/>
      <c r="X20" s="1799"/>
      <c r="Y20" s="3191"/>
      <c r="Z20" s="1800"/>
      <c r="AA20" s="1797">
        <v>1</v>
      </c>
      <c r="AB20" s="1797">
        <v>1</v>
      </c>
      <c r="AC20" s="1797">
        <v>1</v>
      </c>
    </row>
    <row r="21" spans="1:29" ht="85.5">
      <c r="A21" s="426"/>
      <c r="B21" s="449" t="s">
        <v>2704</v>
      </c>
      <c r="C21" s="259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0"/>
      <c r="L21" s="1133"/>
      <c r="M21" s="1124"/>
      <c r="N21" s="1124"/>
      <c r="O21" s="1132"/>
      <c r="P21" s="3191"/>
      <c r="Q21" s="1796" t="str">
        <f>B21</f>
        <v>交通便捷度</v>
      </c>
      <c r="R21" s="771" t="s">
        <v>17</v>
      </c>
      <c r="S21" s="772">
        <f>F21</f>
        <v>100</v>
      </c>
      <c r="T21" s="771" t="s">
        <v>17</v>
      </c>
      <c r="U21" s="772">
        <f>H21</f>
        <v>100</v>
      </c>
      <c r="V21" s="771" t="s">
        <v>17</v>
      </c>
      <c r="W21" s="772">
        <f>J21</f>
        <v>100</v>
      </c>
      <c r="X21" s="1799"/>
      <c r="Y21" s="3191"/>
      <c r="Z21" s="1800" t="str">
        <f>Q21</f>
        <v>交通便捷度</v>
      </c>
      <c r="AA21" s="1797">
        <f t="shared" si="3"/>
        <v>1</v>
      </c>
      <c r="AB21" s="1797">
        <f t="shared" si="4"/>
        <v>1</v>
      </c>
      <c r="AC21" s="1797">
        <f t="shared" si="5"/>
        <v>1</v>
      </c>
    </row>
    <row r="22" spans="1:29" ht="15">
      <c r="A22" s="426"/>
      <c r="B22" s="1369"/>
      <c r="C22" s="445"/>
      <c r="D22" s="448"/>
      <c r="E22" s="2588"/>
      <c r="F22" s="446"/>
      <c r="G22" s="2588"/>
      <c r="H22" s="446"/>
      <c r="I22" s="2587"/>
      <c r="J22" s="446"/>
      <c r="K22" s="669"/>
      <c r="L22" s="1133"/>
      <c r="M22" s="1124"/>
      <c r="N22" s="1124"/>
      <c r="O22" s="1132"/>
      <c r="P22" s="3191"/>
      <c r="Q22" s="1796"/>
      <c r="R22" s="771"/>
      <c r="S22" s="772"/>
      <c r="T22" s="771"/>
      <c r="U22" s="772"/>
      <c r="V22" s="771"/>
      <c r="W22" s="772"/>
      <c r="X22" s="1799"/>
      <c r="Y22" s="3191"/>
      <c r="Z22" s="1800"/>
      <c r="AA22" s="1797">
        <v>1</v>
      </c>
      <c r="AB22" s="1797">
        <v>1</v>
      </c>
      <c r="AC22" s="1797">
        <v>1</v>
      </c>
    </row>
    <row r="23" spans="1:29" ht="15">
      <c r="A23" s="402"/>
      <c r="B23" s="449" t="s">
        <v>2743</v>
      </c>
      <c r="C23" s="1374">
        <f>估价对象房地状况!C19</f>
        <v>0</v>
      </c>
      <c r="D23" s="453">
        <v>100</v>
      </c>
      <c r="E23" s="450"/>
      <c r="F23" s="453">
        <f>SUMIF(96:96,E24,97:97)-SUMIF(96:96,C24,97:97)+100</f>
        <v>100</v>
      </c>
      <c r="G23" s="452"/>
      <c r="H23" s="453">
        <f>SUMIF(96:96,G24,97:97)-SUMIF(96:96,C24,97:97)+100</f>
        <v>100</v>
      </c>
      <c r="I23" s="452"/>
      <c r="J23" s="453">
        <f>SUMIF(96:96,I24,97:97)-SUMIF(96:96,C24,97:97)+100</f>
        <v>100</v>
      </c>
      <c r="K23" s="670"/>
      <c r="L23" s="1133"/>
      <c r="M23" s="1124"/>
      <c r="N23" s="1124"/>
      <c r="O23" s="1132"/>
      <c r="P23" s="3191"/>
      <c r="Q23" s="1796" t="str">
        <f t="shared" ref="Q23:Q37" si="8">B23</f>
        <v>区域土地利用方向</v>
      </c>
      <c r="R23" s="771" t="s">
        <v>17</v>
      </c>
      <c r="S23" s="772">
        <f>F23</f>
        <v>100</v>
      </c>
      <c r="T23" s="771" t="s">
        <v>17</v>
      </c>
      <c r="U23" s="772">
        <f>H23</f>
        <v>100</v>
      </c>
      <c r="V23" s="771" t="s">
        <v>17</v>
      </c>
      <c r="W23" s="772">
        <f>J23</f>
        <v>100</v>
      </c>
      <c r="X23" s="1799"/>
      <c r="Y23" s="3191"/>
      <c r="Z23" s="1800" t="str">
        <f>Q23</f>
        <v>区域土地利用方向</v>
      </c>
      <c r="AA23" s="1797">
        <f t="shared" si="3"/>
        <v>1</v>
      </c>
      <c r="AB23" s="1797">
        <f t="shared" si="4"/>
        <v>1</v>
      </c>
      <c r="AC23" s="1797">
        <f t="shared" si="5"/>
        <v>1</v>
      </c>
    </row>
    <row r="24" spans="1:29" ht="15">
      <c r="A24" s="402"/>
      <c r="B24" s="454"/>
      <c r="C24" s="614"/>
      <c r="D24" s="446"/>
      <c r="E24" s="2588"/>
      <c r="F24" s="446"/>
      <c r="G24" s="2587"/>
      <c r="H24" s="446"/>
      <c r="I24" s="2587"/>
      <c r="J24" s="446"/>
      <c r="K24" s="802"/>
      <c r="L24" s="1133"/>
      <c r="M24" s="1124"/>
      <c r="N24" s="1124"/>
      <c r="O24" s="1132"/>
      <c r="P24" s="3191"/>
      <c r="Q24" s="1796"/>
      <c r="R24" s="771"/>
      <c r="S24" s="772"/>
      <c r="T24" s="771"/>
      <c r="U24" s="772"/>
      <c r="V24" s="771"/>
      <c r="W24" s="772"/>
      <c r="X24" s="1799"/>
      <c r="Y24" s="3191"/>
      <c r="Z24" s="1800"/>
      <c r="AA24" s="1797"/>
      <c r="AB24" s="1797"/>
      <c r="AC24" s="1797"/>
    </row>
    <row r="25" spans="1:29" ht="57">
      <c r="A25" s="402"/>
      <c r="B25" s="1369" t="s">
        <v>2744</v>
      </c>
      <c r="C25" s="264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0"/>
      <c r="L25" s="1133"/>
      <c r="M25" s="1124"/>
      <c r="N25" s="1124"/>
      <c r="O25" s="1132"/>
      <c r="P25" s="3191"/>
      <c r="Q25" s="1796" t="str">
        <f t="shared" si="8"/>
        <v>自然及人文环境状况</v>
      </c>
      <c r="R25" s="771" t="s">
        <v>17</v>
      </c>
      <c r="S25" s="772">
        <f>F25</f>
        <v>100</v>
      </c>
      <c r="T25" s="771" t="s">
        <v>17</v>
      </c>
      <c r="U25" s="772">
        <f>H25</f>
        <v>100</v>
      </c>
      <c r="V25" s="771" t="s">
        <v>17</v>
      </c>
      <c r="W25" s="772">
        <f>J25</f>
        <v>100</v>
      </c>
      <c r="X25" s="1799"/>
      <c r="Y25" s="3191"/>
      <c r="Z25" s="1800" t="str">
        <f>Q25</f>
        <v>自然及人文环境状况</v>
      </c>
      <c r="AA25" s="1797">
        <f t="shared" si="3"/>
        <v>1</v>
      </c>
      <c r="AB25" s="1797">
        <f t="shared" si="4"/>
        <v>1</v>
      </c>
      <c r="AC25" s="1797">
        <f t="shared" si="5"/>
        <v>1</v>
      </c>
    </row>
    <row r="26" spans="1:29" ht="15">
      <c r="A26" s="402"/>
      <c r="B26" s="454"/>
      <c r="C26" s="445"/>
      <c r="D26" s="446"/>
      <c r="E26" s="2594"/>
      <c r="F26" s="446"/>
      <c r="G26" s="2594"/>
      <c r="H26" s="446"/>
      <c r="I26" s="445"/>
      <c r="J26" s="446"/>
      <c r="K26" s="669"/>
      <c r="L26" s="1133"/>
      <c r="M26" s="1124"/>
      <c r="N26" s="1124"/>
      <c r="O26" s="1132"/>
      <c r="P26" s="3191"/>
      <c r="Q26" s="1796"/>
      <c r="R26" s="771"/>
      <c r="S26" s="772"/>
      <c r="T26" s="771"/>
      <c r="U26" s="772"/>
      <c r="V26" s="771"/>
      <c r="W26" s="772"/>
      <c r="X26" s="1799"/>
      <c r="Y26" s="3191"/>
      <c r="Z26" s="1800"/>
      <c r="AA26" s="1797">
        <v>1</v>
      </c>
      <c r="AB26" s="1797">
        <v>1</v>
      </c>
      <c r="AC26" s="1797">
        <v>1</v>
      </c>
    </row>
    <row r="27" spans="1:29" s="115" customFormat="1" ht="42.75">
      <c r="A27" s="646"/>
      <c r="B27" s="1369" t="s">
        <v>2649</v>
      </c>
      <c r="C27" s="259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0"/>
      <c r="L27" s="1125"/>
      <c r="M27" s="1126"/>
      <c r="N27" s="1126"/>
      <c r="O27" s="1127"/>
      <c r="P27" s="3191"/>
      <c r="Q27" s="1781" t="str">
        <f t="shared" si="8"/>
        <v>公共配套设施</v>
      </c>
      <c r="R27" s="767" t="s">
        <v>17</v>
      </c>
      <c r="S27" s="768">
        <f>F27</f>
        <v>100</v>
      </c>
      <c r="T27" s="767" t="s">
        <v>17</v>
      </c>
      <c r="U27" s="768">
        <f>H27</f>
        <v>100</v>
      </c>
      <c r="V27" s="767" t="s">
        <v>17</v>
      </c>
      <c r="W27" s="768">
        <f>J27</f>
        <v>100</v>
      </c>
      <c r="X27" s="769"/>
      <c r="Y27" s="3191"/>
      <c r="Z27" s="55" t="str">
        <f>Q27</f>
        <v>公共配套设施</v>
      </c>
      <c r="AA27" s="1797">
        <f>D27/F27</f>
        <v>1</v>
      </c>
      <c r="AB27" s="1797">
        <f>D27/H27</f>
        <v>1</v>
      </c>
      <c r="AC27" s="1797">
        <f>D27/J27</f>
        <v>1</v>
      </c>
    </row>
    <row r="28" spans="1:29" s="115" customFormat="1" ht="15">
      <c r="A28" s="646"/>
      <c r="B28" s="454"/>
      <c r="C28" s="2680"/>
      <c r="D28" s="446"/>
      <c r="E28" s="2594"/>
      <c r="F28" s="446"/>
      <c r="G28" s="2594"/>
      <c r="H28" s="446"/>
      <c r="I28" s="445"/>
      <c r="J28" s="446"/>
      <c r="K28" s="669"/>
      <c r="L28" s="1125"/>
      <c r="M28" s="1126"/>
      <c r="N28" s="1126"/>
      <c r="O28" s="1127"/>
      <c r="P28" s="3191"/>
      <c r="Q28" s="1781"/>
      <c r="R28" s="767"/>
      <c r="S28" s="768"/>
      <c r="T28" s="767"/>
      <c r="U28" s="768"/>
      <c r="V28" s="767"/>
      <c r="W28" s="768"/>
      <c r="X28" s="769"/>
      <c r="Y28" s="3191"/>
      <c r="Z28" s="55"/>
      <c r="AA28" s="1797">
        <v>1</v>
      </c>
      <c r="AB28" s="1797">
        <v>1</v>
      </c>
      <c r="AC28" s="1797">
        <v>1</v>
      </c>
    </row>
    <row r="29" spans="1:29" s="115" customFormat="1" ht="28.5">
      <c r="A29" s="646"/>
      <c r="B29" s="1369" t="s">
        <v>2650</v>
      </c>
      <c r="C29" s="259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c r="L29" s="1125"/>
      <c r="M29" s="1126"/>
      <c r="N29" s="1126"/>
      <c r="O29" s="1127"/>
      <c r="P29" s="3191"/>
      <c r="Q29" s="1781" t="str">
        <f t="shared" ref="Q29" si="9">B29</f>
        <v>基础设施水平</v>
      </c>
      <c r="R29" s="767" t="s">
        <v>17</v>
      </c>
      <c r="S29" s="768">
        <f>F29</f>
        <v>100</v>
      </c>
      <c r="T29" s="767" t="s">
        <v>17</v>
      </c>
      <c r="U29" s="768">
        <f>H29</f>
        <v>100</v>
      </c>
      <c r="V29" s="767" t="s">
        <v>17</v>
      </c>
      <c r="W29" s="768">
        <f>J29</f>
        <v>100</v>
      </c>
      <c r="X29" s="769"/>
      <c r="Y29" s="3191"/>
      <c r="Z29" s="55" t="str">
        <f>Q29</f>
        <v>基础设施水平</v>
      </c>
      <c r="AA29" s="1797">
        <f>D29/F29</f>
        <v>1</v>
      </c>
      <c r="AB29" s="1797">
        <f>D29/H29</f>
        <v>1</v>
      </c>
      <c r="AC29" s="1797">
        <f>D29/J29</f>
        <v>1</v>
      </c>
    </row>
    <row r="30" spans="1:29" s="115" customFormat="1" ht="15">
      <c r="A30" s="646"/>
      <c r="B30" s="454"/>
      <c r="C30" s="2680"/>
      <c r="D30" s="446"/>
      <c r="E30" s="2681"/>
      <c r="F30" s="446"/>
      <c r="G30" s="2681"/>
      <c r="H30" s="446"/>
      <c r="I30" s="2681"/>
      <c r="J30" s="446"/>
      <c r="K30" s="669"/>
      <c r="L30" s="1125"/>
      <c r="M30" s="1126"/>
      <c r="N30" s="1126"/>
      <c r="O30" s="1127"/>
      <c r="P30" s="3191"/>
      <c r="Q30" s="1781"/>
      <c r="R30" s="767"/>
      <c r="S30" s="768"/>
      <c r="T30" s="767"/>
      <c r="U30" s="768"/>
      <c r="V30" s="767"/>
      <c r="W30" s="768"/>
      <c r="X30" s="769"/>
      <c r="Y30" s="3191"/>
      <c r="Z30" s="55"/>
      <c r="AA30" s="1797">
        <v>1</v>
      </c>
      <c r="AB30" s="1797">
        <v>1</v>
      </c>
      <c r="AC30" s="1797">
        <v>1</v>
      </c>
    </row>
    <row r="31" spans="1:29" ht="15">
      <c r="A31" s="426"/>
      <c r="B31" s="454" t="s">
        <v>2651</v>
      </c>
      <c r="C31" s="614"/>
      <c r="D31" s="433">
        <v>100</v>
      </c>
      <c r="E31" s="631"/>
      <c r="F31" s="433">
        <f>SUMIF(104:104,E31,105:105)-SUMIF(104:104,C31,105:105)+100</f>
        <v>100</v>
      </c>
      <c r="G31" s="631"/>
      <c r="H31" s="433">
        <f>SUMIF(104:104,G31,105:105)-SUMIF(104:104,C31,105:105)+100</f>
        <v>100</v>
      </c>
      <c r="I31" s="631"/>
      <c r="J31" s="433">
        <f>SUMIF(104:104,I31,105:105)-SUMIF(104:104,C31,105:105)+100</f>
        <v>100</v>
      </c>
      <c r="K31" s="670"/>
      <c r="L31" s="1133"/>
      <c r="M31" s="1124"/>
      <c r="N31" s="1124"/>
      <c r="O31" s="1132"/>
      <c r="P31" s="3191"/>
      <c r="Q31" s="1796" t="str">
        <f t="shared" si="8"/>
        <v>临街状况</v>
      </c>
      <c r="R31" s="771" t="s">
        <v>17</v>
      </c>
      <c r="S31" s="772">
        <f t="shared" ref="S31:S45" si="10">F31</f>
        <v>100</v>
      </c>
      <c r="T31" s="771" t="s">
        <v>17</v>
      </c>
      <c r="U31" s="772">
        <f t="shared" ref="U31:U45" si="11">H31</f>
        <v>100</v>
      </c>
      <c r="V31" s="771" t="s">
        <v>17</v>
      </c>
      <c r="W31" s="772">
        <f t="shared" ref="W31:W45" si="12">J31</f>
        <v>100</v>
      </c>
      <c r="X31" s="1799"/>
      <c r="Y31" s="3191"/>
      <c r="Z31" s="1800" t="str">
        <f t="shared" ref="Z31:Z45" si="13">Q31</f>
        <v>临街状况</v>
      </c>
      <c r="AA31" s="1797">
        <f t="shared" si="3"/>
        <v>1</v>
      </c>
      <c r="AB31" s="1797">
        <f t="shared" si="4"/>
        <v>1</v>
      </c>
      <c r="AC31" s="1797">
        <f t="shared" si="5"/>
        <v>1</v>
      </c>
    </row>
    <row r="32" spans="1:29" ht="27">
      <c r="A32" s="426"/>
      <c r="B32" s="1369" t="s">
        <v>2686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3"/>
      <c r="M32" s="1124"/>
      <c r="N32" s="1124"/>
      <c r="O32" s="1132"/>
      <c r="P32" s="3191"/>
      <c r="Q32" s="1796" t="str">
        <f t="shared" si="8"/>
        <v>毗邻道路的类型与等级</v>
      </c>
      <c r="R32" s="771" t="s">
        <v>17</v>
      </c>
      <c r="S32" s="772">
        <f t="shared" si="10"/>
        <v>100</v>
      </c>
      <c r="T32" s="771" t="s">
        <v>17</v>
      </c>
      <c r="U32" s="772">
        <f t="shared" si="11"/>
        <v>100</v>
      </c>
      <c r="V32" s="771" t="s">
        <v>17</v>
      </c>
      <c r="W32" s="772">
        <f t="shared" si="12"/>
        <v>100</v>
      </c>
      <c r="X32" s="1799"/>
      <c r="Y32" s="3191"/>
      <c r="Z32" s="1800" t="str">
        <f t="shared" si="13"/>
        <v>毗邻道路的类型与等级</v>
      </c>
      <c r="AA32" s="1797">
        <f t="shared" si="3"/>
        <v>1</v>
      </c>
      <c r="AB32" s="1797">
        <f t="shared" si="4"/>
        <v>1</v>
      </c>
      <c r="AC32" s="1797">
        <f t="shared" si="5"/>
        <v>1</v>
      </c>
    </row>
    <row r="33" spans="1:29" ht="15">
      <c r="A33" s="426"/>
      <c r="B33" s="454"/>
      <c r="C33" s="445"/>
      <c r="D33" s="446"/>
      <c r="E33" s="2594"/>
      <c r="F33" s="446"/>
      <c r="G33" s="2594"/>
      <c r="H33" s="446"/>
      <c r="I33" s="445"/>
      <c r="J33" s="446"/>
      <c r="K33" s="611"/>
      <c r="L33" s="1133"/>
      <c r="M33" s="1124"/>
      <c r="N33" s="1124"/>
      <c r="O33" s="1132"/>
      <c r="P33" s="3191"/>
      <c r="Q33" s="1796"/>
      <c r="R33" s="771"/>
      <c r="S33" s="772"/>
      <c r="T33" s="771"/>
      <c r="U33" s="772"/>
      <c r="V33" s="771"/>
      <c r="W33" s="772"/>
      <c r="X33" s="1799"/>
      <c r="Y33" s="3191"/>
      <c r="Z33" s="1800"/>
      <c r="AA33" s="1797">
        <v>1</v>
      </c>
      <c r="AB33" s="1797">
        <v>1</v>
      </c>
      <c r="AC33" s="1797">
        <v>1</v>
      </c>
    </row>
    <row r="34" spans="1:29" ht="15">
      <c r="A34" s="426"/>
      <c r="B34" s="420" t="s">
        <v>2745</v>
      </c>
      <c r="C34" s="614"/>
      <c r="D34" s="433">
        <v>100</v>
      </c>
      <c r="E34" s="631"/>
      <c r="F34" s="433">
        <f>SUMIF(108:108,E34,109:109)-SUMIF(108:108,C34,109:109)+100</f>
        <v>100</v>
      </c>
      <c r="G34" s="631"/>
      <c r="H34" s="433">
        <f>SUMIF(108:108,G34,109:109)-SUMIF(108:108,C34,109:109)+100</f>
        <v>100</v>
      </c>
      <c r="I34" s="614"/>
      <c r="J34" s="433">
        <f>SUMIF(108:108,I34,109:109)-SUMIF(108:108,C34,109:109)+100</f>
        <v>100</v>
      </c>
      <c r="K34" s="610"/>
      <c r="L34" s="1133"/>
      <c r="M34" s="1124"/>
      <c r="N34" s="1124"/>
      <c r="O34" s="1132"/>
      <c r="P34" s="3191"/>
      <c r="Q34" s="1796" t="str">
        <f t="shared" si="8"/>
        <v>土地级别</v>
      </c>
      <c r="R34" s="771" t="s">
        <v>17</v>
      </c>
      <c r="S34" s="772">
        <f t="shared" si="10"/>
        <v>100</v>
      </c>
      <c r="T34" s="771" t="s">
        <v>17</v>
      </c>
      <c r="U34" s="772">
        <f t="shared" si="11"/>
        <v>100</v>
      </c>
      <c r="V34" s="771" t="s">
        <v>17</v>
      </c>
      <c r="W34" s="772">
        <f t="shared" si="12"/>
        <v>100</v>
      </c>
      <c r="X34" s="1799"/>
      <c r="Y34" s="3191"/>
      <c r="Z34" s="1800" t="str">
        <f t="shared" si="13"/>
        <v>土地级别</v>
      </c>
      <c r="AA34" s="1797">
        <f t="shared" si="3"/>
        <v>1</v>
      </c>
      <c r="AB34" s="1797">
        <f t="shared" si="4"/>
        <v>1</v>
      </c>
      <c r="AC34" s="1797">
        <f t="shared" si="5"/>
        <v>1</v>
      </c>
    </row>
    <row r="35" spans="1:29" ht="15">
      <c r="A35" s="402"/>
      <c r="B35" s="1371">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3"/>
      <c r="M35" s="1124"/>
      <c r="N35" s="1124"/>
      <c r="O35" s="1132"/>
      <c r="P35" s="3191"/>
      <c r="Q35" s="1796">
        <f t="shared" si="8"/>
        <v>111</v>
      </c>
      <c r="R35" s="771" t="s">
        <v>17</v>
      </c>
      <c r="S35" s="772">
        <f t="shared" si="10"/>
        <v>100</v>
      </c>
      <c r="T35" s="771" t="s">
        <v>17</v>
      </c>
      <c r="U35" s="772">
        <f t="shared" si="11"/>
        <v>100</v>
      </c>
      <c r="V35" s="771" t="s">
        <v>17</v>
      </c>
      <c r="W35" s="772">
        <f t="shared" si="12"/>
        <v>100</v>
      </c>
      <c r="X35" s="1799"/>
      <c r="Y35" s="3191"/>
      <c r="Z35" s="1800">
        <f t="shared" si="13"/>
        <v>111</v>
      </c>
      <c r="AA35" s="1797">
        <f t="shared" si="3"/>
        <v>1</v>
      </c>
      <c r="AB35" s="1797">
        <f t="shared" si="4"/>
        <v>1</v>
      </c>
      <c r="AC35" s="1797">
        <f t="shared" si="5"/>
        <v>1</v>
      </c>
    </row>
    <row r="36" spans="1:29" ht="15">
      <c r="A36" s="672"/>
      <c r="B36" s="1372">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3"/>
      <c r="M36" s="1124"/>
      <c r="N36" s="1124"/>
      <c r="O36" s="1132"/>
      <c r="P36" s="3249" t="s">
        <v>2560</v>
      </c>
      <c r="Q36" s="1796">
        <f t="shared" si="8"/>
        <v>111</v>
      </c>
      <c r="R36" s="771" t="s">
        <v>17</v>
      </c>
      <c r="S36" s="772">
        <f t="shared" si="10"/>
        <v>100</v>
      </c>
      <c r="T36" s="771" t="s">
        <v>17</v>
      </c>
      <c r="U36" s="772">
        <f t="shared" si="11"/>
        <v>100</v>
      </c>
      <c r="V36" s="771" t="s">
        <v>17</v>
      </c>
      <c r="W36" s="772">
        <f t="shared" si="12"/>
        <v>100</v>
      </c>
      <c r="X36" s="1799"/>
      <c r="Y36" s="3195" t="s">
        <v>2560</v>
      </c>
      <c r="Z36" s="1800">
        <f t="shared" si="13"/>
        <v>111</v>
      </c>
      <c r="AA36" s="1797">
        <f t="shared" si="3"/>
        <v>1</v>
      </c>
      <c r="AB36" s="1797">
        <f t="shared" si="4"/>
        <v>1</v>
      </c>
      <c r="AC36" s="1797">
        <f t="shared" si="5"/>
        <v>1</v>
      </c>
    </row>
    <row r="37" spans="1:29" s="469" customFormat="1" ht="15.75" thickBot="1">
      <c r="A37" s="673"/>
      <c r="B37" s="1373">
        <v>111</v>
      </c>
      <c r="C37" s="675"/>
      <c r="D37" s="135">
        <v>100</v>
      </c>
      <c r="E37" s="698"/>
      <c r="F37" s="436">
        <f>SUMIF(114:114,E37,115:115)-SUMIF(114:114,C37,115:115)+100</f>
        <v>100</v>
      </c>
      <c r="G37" s="698"/>
      <c r="H37" s="436">
        <f>SUMIF(114:114,G37,115:115)-SUMIF(114:114,C37,115:115)+100</f>
        <v>100</v>
      </c>
      <c r="I37" s="675"/>
      <c r="J37" s="436">
        <f>SUMIF(114:114,I37,115:115)-SUMIF(114:114,C37,115:115)+100</f>
        <v>100</v>
      </c>
      <c r="K37" s="611"/>
      <c r="L37" s="1131"/>
      <c r="M37" s="1134"/>
      <c r="N37" s="1134"/>
      <c r="O37" s="1135"/>
      <c r="P37" s="3195"/>
      <c r="Q37" s="1796">
        <f t="shared" si="8"/>
        <v>111</v>
      </c>
      <c r="R37" s="774" t="s">
        <v>17</v>
      </c>
      <c r="S37" s="775">
        <f t="shared" si="10"/>
        <v>100</v>
      </c>
      <c r="T37" s="774" t="s">
        <v>17</v>
      </c>
      <c r="U37" s="775">
        <f t="shared" si="11"/>
        <v>100</v>
      </c>
      <c r="V37" s="774" t="s">
        <v>17</v>
      </c>
      <c r="W37" s="775">
        <f t="shared" si="12"/>
        <v>100</v>
      </c>
      <c r="X37" s="776"/>
      <c r="Y37" s="3195"/>
      <c r="Z37" s="777">
        <f t="shared" si="13"/>
        <v>111</v>
      </c>
      <c r="AA37" s="1797">
        <f t="shared" si="3"/>
        <v>1</v>
      </c>
      <c r="AB37" s="1797">
        <f t="shared" si="4"/>
        <v>1</v>
      </c>
      <c r="AC37" s="1797">
        <f t="shared" si="5"/>
        <v>1</v>
      </c>
    </row>
    <row r="38" spans="1:29" ht="15">
      <c r="A38" s="470" t="s">
        <v>2558</v>
      </c>
      <c r="B38" s="454" t="s">
        <v>2746</v>
      </c>
      <c r="C38" s="676"/>
      <c r="D38" s="465">
        <v>100</v>
      </c>
      <c r="E38" s="676"/>
      <c r="F38" s="465" t="e">
        <f>LOOKUP(E38,117:117,118:118)-LOOKUP(C38,117:117,118:118)+100</f>
        <v>#N/A</v>
      </c>
      <c r="G38" s="676"/>
      <c r="H38" s="465" t="e">
        <f>LOOKUP(G38,117:117,118:118)-LOOKUP(C38,117:117,118:118)+100</f>
        <v>#N/A</v>
      </c>
      <c r="I38" s="528"/>
      <c r="J38" s="465" t="e">
        <f>LOOKUP(I38,117:117,118:118)-LOOKUP(C38,117:117,118:118)+100</f>
        <v>#N/A</v>
      </c>
      <c r="K38" s="611"/>
      <c r="L38" s="1133"/>
      <c r="M38" s="1124"/>
      <c r="N38" s="1124"/>
      <c r="O38" s="1132"/>
      <c r="P38" s="3195"/>
      <c r="Q38" s="1796" t="str">
        <f>B38</f>
        <v>宗地面积</v>
      </c>
      <c r="R38" s="771" t="s">
        <v>17</v>
      </c>
      <c r="S38" s="772" t="e">
        <f t="shared" si="10"/>
        <v>#N/A</v>
      </c>
      <c r="T38" s="771" t="s">
        <v>17</v>
      </c>
      <c r="U38" s="772" t="e">
        <f t="shared" si="11"/>
        <v>#N/A</v>
      </c>
      <c r="V38" s="771" t="s">
        <v>17</v>
      </c>
      <c r="W38" s="772" t="e">
        <f t="shared" si="12"/>
        <v>#N/A</v>
      </c>
      <c r="X38" s="1799"/>
      <c r="Y38" s="3195"/>
      <c r="Z38" s="1800" t="str">
        <f t="shared" si="13"/>
        <v>宗地面积</v>
      </c>
      <c r="AA38" s="1797" t="e">
        <f t="shared" si="3"/>
        <v>#N/A</v>
      </c>
      <c r="AB38" s="1797" t="e">
        <f t="shared" si="4"/>
        <v>#N/A</v>
      </c>
      <c r="AC38" s="1797" t="e">
        <f t="shared" si="5"/>
        <v>#N/A</v>
      </c>
    </row>
    <row r="39" spans="1:29" ht="15">
      <c r="A39" s="470"/>
      <c r="B39" s="420" t="s">
        <v>2747</v>
      </c>
      <c r="C39" s="2596"/>
      <c r="D39" s="433">
        <v>100</v>
      </c>
      <c r="E39" s="2596"/>
      <c r="F39" s="433">
        <f>SUMIF(119:119,E39,120:120)-SUMIF(119:119,C39,120:120)+100</f>
        <v>100</v>
      </c>
      <c r="G39" s="2596"/>
      <c r="H39" s="433">
        <f>SUMIF(119:119,G39,120:120)-SUMIF(119:119,C39,120:120)+100</f>
        <v>100</v>
      </c>
      <c r="I39" s="2596"/>
      <c r="J39" s="433">
        <f>SUMIF(119:119,I39,120:120)-SUMIF(119:119,C39,120:120)+100</f>
        <v>100</v>
      </c>
      <c r="K39" s="610"/>
      <c r="L39" s="1133"/>
      <c r="M39" s="1124"/>
      <c r="N39" s="1124"/>
      <c r="O39" s="1132"/>
      <c r="P39" s="3195"/>
      <c r="Q39" s="1796" t="str">
        <f t="shared" ref="Q39:Q45" si="14">B39</f>
        <v>宗地形状</v>
      </c>
      <c r="R39" s="771" t="s">
        <v>17</v>
      </c>
      <c r="S39" s="772">
        <f t="shared" si="10"/>
        <v>100</v>
      </c>
      <c r="T39" s="771" t="s">
        <v>17</v>
      </c>
      <c r="U39" s="772">
        <f t="shared" si="11"/>
        <v>100</v>
      </c>
      <c r="V39" s="771" t="s">
        <v>17</v>
      </c>
      <c r="W39" s="772">
        <f t="shared" si="12"/>
        <v>100</v>
      </c>
      <c r="X39" s="1799"/>
      <c r="Y39" s="3195"/>
      <c r="Z39" s="1800" t="str">
        <f t="shared" si="13"/>
        <v>宗地形状</v>
      </c>
      <c r="AA39" s="1797">
        <f t="shared" si="3"/>
        <v>1</v>
      </c>
      <c r="AB39" s="1797">
        <f t="shared" si="4"/>
        <v>1</v>
      </c>
      <c r="AC39" s="1797">
        <f t="shared" si="5"/>
        <v>1</v>
      </c>
    </row>
    <row r="40" spans="1:29" ht="15">
      <c r="A40" s="470"/>
      <c r="B40" s="420" t="s">
        <v>2748</v>
      </c>
      <c r="C40" s="2596"/>
      <c r="D40" s="433">
        <v>100</v>
      </c>
      <c r="E40" s="2596"/>
      <c r="F40" s="433">
        <f>SUMIF(121:121,E40,122:122)-SUMIF(121:121,C40,122:122)+100</f>
        <v>100</v>
      </c>
      <c r="G40" s="2596"/>
      <c r="H40" s="433">
        <f>SUMIF(121:121,G40,122:122)-SUMIF(121:121,C40,122:122)+100</f>
        <v>100</v>
      </c>
      <c r="I40" s="2596"/>
      <c r="J40" s="433">
        <f>SUMIF(121:121,I40,122:122)-SUMIF(121:121,C40,122:122)+100</f>
        <v>100</v>
      </c>
      <c r="K40" s="610"/>
      <c r="L40" s="1133"/>
      <c r="M40" s="1124"/>
      <c r="N40" s="1124"/>
      <c r="O40" s="1132"/>
      <c r="P40" s="3195"/>
      <c r="Q40" s="1796" t="str">
        <f t="shared" si="14"/>
        <v>临街宽度及深度</v>
      </c>
      <c r="R40" s="771" t="s">
        <v>17</v>
      </c>
      <c r="S40" s="772">
        <f t="shared" si="10"/>
        <v>100</v>
      </c>
      <c r="T40" s="771" t="s">
        <v>17</v>
      </c>
      <c r="U40" s="772">
        <f t="shared" si="11"/>
        <v>100</v>
      </c>
      <c r="V40" s="771" t="s">
        <v>17</v>
      </c>
      <c r="W40" s="772">
        <f t="shared" si="12"/>
        <v>100</v>
      </c>
      <c r="X40" s="1799"/>
      <c r="Y40" s="3195"/>
      <c r="Z40" s="1800" t="str">
        <f t="shared" si="13"/>
        <v>临街宽度及深度</v>
      </c>
      <c r="AA40" s="1797">
        <f t="shared" si="3"/>
        <v>1</v>
      </c>
      <c r="AB40" s="1797">
        <f t="shared" si="4"/>
        <v>1</v>
      </c>
      <c r="AC40" s="1797">
        <f t="shared" si="5"/>
        <v>1</v>
      </c>
    </row>
    <row r="41" spans="1:29" s="115" customFormat="1" ht="15">
      <c r="A41" s="471"/>
      <c r="B41" s="420" t="s">
        <v>2749</v>
      </c>
      <c r="C41" s="2682"/>
      <c r="D41" s="134">
        <v>100</v>
      </c>
      <c r="E41" s="2682"/>
      <c r="F41" s="433">
        <f>SUMIF(123:123,E41,124:124)-SUMIF(123:123,C41,124:124)+100</f>
        <v>100</v>
      </c>
      <c r="G41" s="2682"/>
      <c r="H41" s="433">
        <f>SUMIF(123:123,G41,124:124)-SUMIF(123:123,C41,124:124)+100</f>
        <v>100</v>
      </c>
      <c r="I41" s="2682"/>
      <c r="J41" s="433">
        <f>SUMIF(123:123,I41,124:124)-SUMIF(123:123,C41,124:124)+100</f>
        <v>100</v>
      </c>
      <c r="K41" s="610"/>
      <c r="L41" s="1125"/>
      <c r="M41" s="1126"/>
      <c r="N41" s="1126"/>
      <c r="O41" s="1127"/>
      <c r="P41" s="3195"/>
      <c r="Q41" s="1796" t="str">
        <f t="shared" si="14"/>
        <v>宗地开发程度</v>
      </c>
      <c r="R41" s="767" t="s">
        <v>17</v>
      </c>
      <c r="S41" s="768">
        <f t="shared" si="10"/>
        <v>100</v>
      </c>
      <c r="T41" s="767" t="s">
        <v>17</v>
      </c>
      <c r="U41" s="768">
        <f t="shared" si="11"/>
        <v>100</v>
      </c>
      <c r="V41" s="767" t="s">
        <v>17</v>
      </c>
      <c r="W41" s="768">
        <f t="shared" si="12"/>
        <v>100</v>
      </c>
      <c r="X41" s="769"/>
      <c r="Y41" s="3195"/>
      <c r="Z41" s="55" t="str">
        <f t="shared" si="13"/>
        <v>宗地开发程度</v>
      </c>
      <c r="AA41" s="770">
        <f t="shared" si="3"/>
        <v>1</v>
      </c>
      <c r="AB41" s="770">
        <f t="shared" si="4"/>
        <v>1</v>
      </c>
      <c r="AC41" s="770">
        <f t="shared" si="5"/>
        <v>1</v>
      </c>
    </row>
    <row r="42" spans="1:29" ht="15">
      <c r="A42" s="470"/>
      <c r="B42" s="420" t="s">
        <v>2750</v>
      </c>
      <c r="C42" s="2596"/>
      <c r="D42" s="433">
        <v>100</v>
      </c>
      <c r="E42" s="2596"/>
      <c r="F42" s="433">
        <f>SUMIF(125:125,E42,126:126)-SUMIF(125:125,C42,126:126)+100</f>
        <v>100</v>
      </c>
      <c r="G42" s="2596"/>
      <c r="H42" s="433">
        <f>SUMIF(125:125,G42,126:126)-SUMIF(125:125,C42,126:126)+100</f>
        <v>100</v>
      </c>
      <c r="I42" s="2596"/>
      <c r="J42" s="433">
        <f>SUMIF(125:125,I42,126:126)-SUMIF(125:125,C42,126:126)+100</f>
        <v>100</v>
      </c>
      <c r="K42" s="610"/>
      <c r="L42" s="1133"/>
      <c r="M42" s="1124"/>
      <c r="N42" s="1124"/>
      <c r="O42" s="1132"/>
      <c r="P42" s="3195" t="s">
        <v>2560</v>
      </c>
      <c r="Q42" s="1796" t="str">
        <f t="shared" si="14"/>
        <v>工程地质条件</v>
      </c>
      <c r="R42" s="771" t="s">
        <v>17</v>
      </c>
      <c r="S42" s="772">
        <f t="shared" si="10"/>
        <v>100</v>
      </c>
      <c r="T42" s="771" t="s">
        <v>17</v>
      </c>
      <c r="U42" s="772">
        <f t="shared" si="11"/>
        <v>100</v>
      </c>
      <c r="V42" s="771" t="s">
        <v>17</v>
      </c>
      <c r="W42" s="772">
        <f t="shared" si="12"/>
        <v>100</v>
      </c>
      <c r="X42" s="1799"/>
      <c r="Y42" s="3195" t="s">
        <v>2560</v>
      </c>
      <c r="Z42" s="1800" t="str">
        <f t="shared" si="13"/>
        <v>工程地质条件</v>
      </c>
      <c r="AA42" s="1797">
        <f t="shared" si="3"/>
        <v>1</v>
      </c>
      <c r="AB42" s="1797">
        <f t="shared" si="4"/>
        <v>1</v>
      </c>
      <c r="AC42" s="1797">
        <f t="shared" si="5"/>
        <v>1</v>
      </c>
    </row>
    <row r="43" spans="1:29" ht="15">
      <c r="A43" s="470"/>
      <c r="B43" s="1372">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3"/>
      <c r="M43" s="1124"/>
      <c r="N43" s="1124"/>
      <c r="O43" s="1132"/>
      <c r="P43" s="3195"/>
      <c r="Q43" s="1796">
        <f t="shared" si="14"/>
        <v>111</v>
      </c>
      <c r="R43" s="771" t="s">
        <v>17</v>
      </c>
      <c r="S43" s="772">
        <f t="shared" si="10"/>
        <v>100</v>
      </c>
      <c r="T43" s="771" t="s">
        <v>17</v>
      </c>
      <c r="U43" s="772">
        <f t="shared" si="11"/>
        <v>100</v>
      </c>
      <c r="V43" s="771" t="s">
        <v>17</v>
      </c>
      <c r="W43" s="772">
        <f t="shared" si="12"/>
        <v>100</v>
      </c>
      <c r="X43" s="1799"/>
      <c r="Y43" s="3195"/>
      <c r="Z43" s="1800">
        <f t="shared" si="13"/>
        <v>111</v>
      </c>
      <c r="AA43" s="1797">
        <f t="shared" si="3"/>
        <v>1</v>
      </c>
      <c r="AB43" s="1797">
        <f t="shared" si="4"/>
        <v>1</v>
      </c>
      <c r="AC43" s="1797">
        <f t="shared" si="5"/>
        <v>1</v>
      </c>
    </row>
    <row r="44" spans="1:29" ht="15">
      <c r="A44" s="470"/>
      <c r="B44" s="1372">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3"/>
      <c r="M44" s="1124"/>
      <c r="N44" s="1124"/>
      <c r="O44" s="1132"/>
      <c r="P44" s="3195"/>
      <c r="Q44" s="1796">
        <f t="shared" si="14"/>
        <v>111</v>
      </c>
      <c r="R44" s="771" t="s">
        <v>17</v>
      </c>
      <c r="S44" s="772">
        <f t="shared" si="10"/>
        <v>100</v>
      </c>
      <c r="T44" s="771" t="s">
        <v>17</v>
      </c>
      <c r="U44" s="772">
        <f t="shared" si="11"/>
        <v>100</v>
      </c>
      <c r="V44" s="771" t="s">
        <v>17</v>
      </c>
      <c r="W44" s="772">
        <f t="shared" si="12"/>
        <v>100</v>
      </c>
      <c r="X44" s="1799"/>
      <c r="Y44" s="3195"/>
      <c r="Z44" s="1800">
        <f t="shared" si="13"/>
        <v>111</v>
      </c>
      <c r="AA44" s="1797">
        <f t="shared" si="3"/>
        <v>1</v>
      </c>
      <c r="AB44" s="1797">
        <f t="shared" si="4"/>
        <v>1</v>
      </c>
      <c r="AC44" s="1797">
        <f t="shared" si="5"/>
        <v>1</v>
      </c>
    </row>
    <row r="45" spans="1:29" s="469" customFormat="1" ht="15.75" thickBot="1">
      <c r="A45" s="466"/>
      <c r="B45" s="1372">
        <v>111</v>
      </c>
      <c r="C45" s="2683"/>
      <c r="D45" s="677">
        <v>100</v>
      </c>
      <c r="E45" s="671"/>
      <c r="F45" s="436">
        <f>SUMIF(131:131,E45,132:132)-SUMIF(131:131,C45,132:132)+100</f>
        <v>100</v>
      </c>
      <c r="G45" s="671"/>
      <c r="H45" s="436">
        <f>SUMIF(131:131,G45,132:132)-SUMIF(131:131,C45,132:132)+100</f>
        <v>100</v>
      </c>
      <c r="I45" s="671"/>
      <c r="J45" s="436">
        <f>SUMIF(131:131,I45,132:132)-SUMIF(131:131,C45,132:132)+100</f>
        <v>100</v>
      </c>
      <c r="K45" s="678"/>
      <c r="L45" s="1131"/>
      <c r="M45" s="1134"/>
      <c r="N45" s="1134"/>
      <c r="O45" s="1135"/>
      <c r="P45" s="3195"/>
      <c r="Q45" s="1796">
        <f t="shared" si="14"/>
        <v>111</v>
      </c>
      <c r="R45" s="774" t="s">
        <v>17</v>
      </c>
      <c r="S45" s="775">
        <f t="shared" si="10"/>
        <v>100</v>
      </c>
      <c r="T45" s="774" t="s">
        <v>17</v>
      </c>
      <c r="U45" s="775">
        <f t="shared" si="11"/>
        <v>100</v>
      </c>
      <c r="V45" s="774" t="s">
        <v>17</v>
      </c>
      <c r="W45" s="775">
        <f t="shared" si="12"/>
        <v>100</v>
      </c>
      <c r="X45" s="776"/>
      <c r="Y45" s="3195"/>
      <c r="Z45" s="777">
        <f t="shared" si="13"/>
        <v>111</v>
      </c>
      <c r="AA45" s="1797">
        <f t="shared" si="3"/>
        <v>1</v>
      </c>
      <c r="AB45" s="1797">
        <f t="shared" si="4"/>
        <v>1</v>
      </c>
      <c r="AC45" s="1797">
        <f t="shared" si="5"/>
        <v>1</v>
      </c>
    </row>
    <row r="46" spans="1:29" ht="15">
      <c r="A46" s="477" t="s">
        <v>2715</v>
      </c>
      <c r="B46" s="2684" t="s">
        <v>2751</v>
      </c>
      <c r="C46" s="679" t="s">
        <v>1</v>
      </c>
      <c r="D46" s="479"/>
      <c r="E46" s="480"/>
      <c r="F46" s="481"/>
      <c r="G46" s="482"/>
      <c r="H46" s="483"/>
      <c r="I46" s="480"/>
      <c r="J46" s="483"/>
      <c r="K46" s="780"/>
      <c r="L46" s="1136"/>
      <c r="M46" s="1137"/>
      <c r="N46" s="1124"/>
      <c r="O46" s="1137"/>
      <c r="P46" s="3188" t="str">
        <f>A46</f>
        <v>成交单价</v>
      </c>
      <c r="Q46" s="3188"/>
      <c r="R46" s="3183">
        <f>E46</f>
        <v>0</v>
      </c>
      <c r="S46" s="3183"/>
      <c r="T46" s="3183">
        <f>G46</f>
        <v>0</v>
      </c>
      <c r="U46" s="3183"/>
      <c r="V46" s="3183">
        <f>I46</f>
        <v>0</v>
      </c>
      <c r="W46" s="3183"/>
      <c r="X46" s="756"/>
      <c r="Y46" s="778"/>
      <c r="Z46" s="756"/>
      <c r="AA46" s="756"/>
      <c r="AB46" s="756"/>
      <c r="AC46" s="756"/>
    </row>
    <row r="47" spans="1:29" ht="15.75" thickBot="1">
      <c r="A47" s="484" t="s">
        <v>2664</v>
      </c>
      <c r="B47" s="680"/>
      <c r="C47" s="488" t="e">
        <f>R48</f>
        <v>#DIV/0!</v>
      </c>
      <c r="D47" s="487"/>
      <c r="E47" s="488" t="e">
        <f>R47</f>
        <v>#DIV/0!</v>
      </c>
      <c r="F47" s="489"/>
      <c r="G47" s="486" t="e">
        <f>T47</f>
        <v>#DIV/0!</v>
      </c>
      <c r="H47" s="487"/>
      <c r="I47" s="488" t="e">
        <f>V47</f>
        <v>#DIV/0!</v>
      </c>
      <c r="J47" s="487"/>
      <c r="K47" s="781"/>
      <c r="L47" s="1136"/>
      <c r="M47" s="1137"/>
      <c r="N47" s="1137"/>
      <c r="O47" s="1137"/>
      <c r="P47" s="3188" t="str">
        <f>A47</f>
        <v>比较价值（元/平方米）</v>
      </c>
      <c r="Q47" s="3188"/>
      <c r="R47" s="3250" t="e">
        <f>ROUND(PRODUCT(R46,AA7:AA45),0)</f>
        <v>#DIV/0!</v>
      </c>
      <c r="S47" s="3250"/>
      <c r="T47" s="3250" t="e">
        <f>ROUND(PRODUCT(T46,AB7:AB45),0)</f>
        <v>#DIV/0!</v>
      </c>
      <c r="U47" s="3250"/>
      <c r="V47" s="3250" t="e">
        <f>ROUND(PRODUCT(V46,AC7:AC45),0)</f>
        <v>#DIV/0!</v>
      </c>
      <c r="W47" s="3250"/>
      <c r="X47" s="756"/>
      <c r="Y47" s="756"/>
      <c r="Z47" s="756"/>
      <c r="AA47" s="756"/>
      <c r="AB47" s="756"/>
      <c r="AC47" s="756"/>
    </row>
    <row r="48" spans="1:29" ht="15.75" thickBot="1">
      <c r="A48" s="490" t="s">
        <v>2752</v>
      </c>
      <c r="B48" s="491"/>
      <c r="C48" s="492" t="e">
        <f>R48</f>
        <v>#DIV/0!</v>
      </c>
      <c r="D48" s="492"/>
      <c r="E48" s="492"/>
      <c r="F48" s="492"/>
      <c r="G48" s="492"/>
      <c r="H48" s="492"/>
      <c r="I48" s="492"/>
      <c r="J48" s="492"/>
      <c r="K48" s="782"/>
      <c r="L48" s="1136"/>
      <c r="M48" s="1137"/>
      <c r="N48" s="1137"/>
      <c r="O48" s="1137"/>
      <c r="P48" s="3185" t="str">
        <f>A48</f>
        <v>估价对象XX用房的比较价值（楼面单价，元/平方米）</v>
      </c>
      <c r="Q48" s="3186"/>
      <c r="R48" s="3251" t="e">
        <f>ROUND(AVERAGE(R47:V47),0)</f>
        <v>#DIV/0!</v>
      </c>
      <c r="S48" s="3251"/>
      <c r="T48" s="3251"/>
      <c r="U48" s="3251"/>
      <c r="V48" s="3251"/>
      <c r="W48" s="3251"/>
      <c r="X48" s="756"/>
      <c r="Y48" s="756"/>
      <c r="Z48" s="756"/>
      <c r="AA48" s="756"/>
      <c r="AB48" s="756"/>
      <c r="AC48" s="756"/>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2666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098"/>
      <c r="L51" s="1099"/>
      <c r="M51" s="1137"/>
      <c r="N51" s="1137"/>
      <c r="O51" s="1137"/>
    </row>
    <row r="52" spans="1:15" ht="13.5" customHeight="1">
      <c r="A52" s="1137"/>
      <c r="B52" s="1137"/>
      <c r="C52" s="495" t="s">
        <v>2667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098"/>
      <c r="L52" s="1099"/>
      <c r="M52" s="1137"/>
      <c r="N52" s="1137"/>
      <c r="O52" s="1137"/>
    </row>
    <row r="53" spans="1:15" s="500" customFormat="1" ht="13.5" customHeight="1">
      <c r="A53" s="1138"/>
      <c r="B53" s="1138"/>
      <c r="C53" s="495" t="s">
        <v>2668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1"/>
      <c r="L53" s="1142"/>
      <c r="M53" s="1138"/>
      <c r="N53" s="1138"/>
      <c r="O53" s="1138"/>
    </row>
    <row r="54" spans="1:15" s="500" customFormat="1" ht="15" thickBot="1">
      <c r="A54" s="1138"/>
      <c r="B54" s="1139"/>
      <c r="C54" s="759"/>
      <c r="D54" s="757"/>
      <c r="E54" s="757"/>
      <c r="F54" s="757"/>
      <c r="G54" s="757"/>
      <c r="H54" s="757"/>
      <c r="I54" s="757"/>
      <c r="J54" s="757"/>
      <c r="K54" s="1141"/>
      <c r="L54" s="1142"/>
      <c r="M54" s="1138"/>
      <c r="N54" s="1138"/>
      <c r="O54" s="1138"/>
    </row>
    <row r="55" spans="1:15" ht="27" customHeight="1">
      <c r="A55" s="681" t="s">
        <v>2753</v>
      </c>
      <c r="B55" s="682" t="s">
        <v>2754</v>
      </c>
      <c r="C55" s="2685" t="s">
        <v>2755</v>
      </c>
      <c r="D55" s="2686" t="s">
        <v>2756</v>
      </c>
      <c r="E55" s="683" t="s">
        <v>2757</v>
      </c>
      <c r="F55" s="1100" t="s">
        <v>2758</v>
      </c>
      <c r="G55" s="3171" t="s">
        <v>2759</v>
      </c>
      <c r="H55" s="3252"/>
      <c r="I55" s="142" t="s">
        <v>2760</v>
      </c>
      <c r="J55" s="2687" t="str">
        <f>项目基本情况!F35</f>
        <v>天津市</v>
      </c>
      <c r="K55" s="2688" t="s">
        <v>2761</v>
      </c>
      <c r="L55" s="1099"/>
      <c r="M55" s="1137"/>
      <c r="N55" s="1137"/>
      <c r="O55" s="1137"/>
    </row>
    <row r="56" spans="1:15" s="689" customFormat="1">
      <c r="A56" s="685" t="s">
        <v>2762</v>
      </c>
      <c r="B56" s="686" t="e">
        <f>C48</f>
        <v>#DIV/0!</v>
      </c>
      <c r="C56" s="687">
        <v>1</v>
      </c>
      <c r="D56" s="1156">
        <v>1</v>
      </c>
      <c r="E56" s="687">
        <f>'数据-汇总表'!E8+'数据-汇总表'!E9</f>
        <v>27977.08</v>
      </c>
      <c r="F56" s="1096" t="e">
        <f t="shared" ref="F56:F65" si="15">ROUND(B56*E56/10000,0)</f>
        <v>#DIV/0!</v>
      </c>
      <c r="G56" s="3170"/>
      <c r="H56" s="3188"/>
      <c r="I56" s="1101">
        <v>1</v>
      </c>
      <c r="J56" s="1104">
        <v>1</v>
      </c>
      <c r="K56" s="1138"/>
      <c r="L56" s="934"/>
      <c r="M56" s="934"/>
      <c r="N56" s="934"/>
      <c r="O56" s="934"/>
    </row>
    <row r="57" spans="1:15" s="689" customFormat="1">
      <c r="A57" s="690" t="s">
        <v>2763</v>
      </c>
      <c r="B57" s="260" t="e">
        <f>ROUND($C$48*C57*D57,0)</f>
        <v>#DIV/0!</v>
      </c>
      <c r="C57" s="198">
        <f t="shared" ref="C57:C65" si="16">IF($C$55="北京市系数",I57,J57)</f>
        <v>0</v>
      </c>
      <c r="D57" s="1157">
        <v>0.25</v>
      </c>
      <c r="E57" s="691"/>
      <c r="F57" s="1096" t="e">
        <f t="shared" si="15"/>
        <v>#DIV/0!</v>
      </c>
      <c r="G57" s="3253" t="s">
        <v>2764</v>
      </c>
      <c r="H57" s="1097">
        <f>项目基本情况!B37</f>
        <v>0</v>
      </c>
      <c r="I57" s="1101">
        <f>SUMIF(修正!A45:A56,H57,修正!B45:B56)</f>
        <v>0</v>
      </c>
      <c r="J57" s="1105"/>
      <c r="K57" s="1137"/>
      <c r="L57" s="934"/>
      <c r="M57" s="934"/>
      <c r="N57" s="934"/>
      <c r="O57" s="934"/>
    </row>
    <row r="58" spans="1:15" s="689" customFormat="1">
      <c r="A58" s="690" t="s">
        <v>2765</v>
      </c>
      <c r="B58" s="260" t="e">
        <f t="shared" ref="B58:B65" si="17">ROUND($C$48*C58*D58,0)</f>
        <v>#DIV/0!</v>
      </c>
      <c r="C58" s="198">
        <f t="shared" si="16"/>
        <v>0</v>
      </c>
      <c r="D58" s="1157">
        <v>0.25</v>
      </c>
      <c r="E58" s="691"/>
      <c r="F58" s="1096" t="e">
        <f t="shared" si="15"/>
        <v>#DIV/0!</v>
      </c>
      <c r="G58" s="3253"/>
      <c r="H58" s="1097">
        <f>项目基本情况!B37</f>
        <v>0</v>
      </c>
      <c r="I58" s="1101">
        <f>SUMIF(修正!A45:A56,H58,修正!C45:C56)</f>
        <v>0</v>
      </c>
      <c r="J58" s="1105"/>
      <c r="K58" s="1138"/>
      <c r="L58" s="934"/>
      <c r="M58" s="934"/>
      <c r="N58" s="934"/>
      <c r="O58" s="934"/>
    </row>
    <row r="59" spans="1:15" s="689" customFormat="1">
      <c r="A59" s="690" t="s">
        <v>2766</v>
      </c>
      <c r="B59" s="260" t="e">
        <f t="shared" si="17"/>
        <v>#DIV/0!</v>
      </c>
      <c r="C59" s="198">
        <f t="shared" si="16"/>
        <v>0</v>
      </c>
      <c r="D59" s="1157">
        <v>0.25</v>
      </c>
      <c r="E59" s="691"/>
      <c r="F59" s="1096" t="e">
        <f t="shared" si="15"/>
        <v>#DIV/0!</v>
      </c>
      <c r="G59" s="3253"/>
      <c r="H59" s="1097">
        <f>项目基本情况!B37</f>
        <v>0</v>
      </c>
      <c r="I59" s="1101">
        <f>SUMIF(修正!A45:A56,H59,修正!D45:D56)</f>
        <v>0</v>
      </c>
      <c r="J59" s="1105"/>
      <c r="K59" s="1137"/>
      <c r="L59" s="934"/>
      <c r="M59" s="934"/>
      <c r="N59" s="934"/>
      <c r="O59" s="934"/>
    </row>
    <row r="60" spans="1:15" s="689" customFormat="1">
      <c r="A60" s="690" t="s">
        <v>2767</v>
      </c>
      <c r="B60" s="260" t="e">
        <f t="shared" si="17"/>
        <v>#DIV/0!</v>
      </c>
      <c r="C60" s="198">
        <f t="shared" si="16"/>
        <v>0</v>
      </c>
      <c r="D60" s="1157">
        <v>0.25</v>
      </c>
      <c r="E60" s="691"/>
      <c r="F60" s="1096" t="e">
        <f t="shared" si="15"/>
        <v>#DIV/0!</v>
      </c>
      <c r="G60" s="3253"/>
      <c r="H60" s="1097">
        <f>项目基本情况!B37</f>
        <v>0</v>
      </c>
      <c r="I60" s="1101">
        <f>SUMIF(修正!A45:A56,H60,修正!E45:E56)</f>
        <v>0</v>
      </c>
      <c r="J60" s="1105"/>
      <c r="K60" s="1138"/>
      <c r="L60" s="934"/>
      <c r="M60" s="934"/>
      <c r="N60" s="934"/>
      <c r="O60" s="934"/>
    </row>
    <row r="61" spans="1:15" s="689" customFormat="1">
      <c r="A61" s="690" t="s">
        <v>2768</v>
      </c>
      <c r="B61" s="260" t="e">
        <f t="shared" si="17"/>
        <v>#DIV/0!</v>
      </c>
      <c r="C61" s="198">
        <f t="shared" si="16"/>
        <v>0</v>
      </c>
      <c r="D61" s="1157">
        <v>0.25</v>
      </c>
      <c r="E61" s="259">
        <f>'数据-汇总表'!E11</f>
        <v>0</v>
      </c>
      <c r="F61" s="1096" t="e">
        <f t="shared" si="15"/>
        <v>#DIV/0!</v>
      </c>
      <c r="G61" s="2689" t="s">
        <v>2769</v>
      </c>
      <c r="H61" s="1097">
        <f>项目基本情况!C37</f>
        <v>0</v>
      </c>
      <c r="I61" s="1101">
        <f>SUMIF(修正!A45:A56,H61,修正!F45:F56)</f>
        <v>0</v>
      </c>
      <c r="J61" s="1105"/>
      <c r="K61" s="1137"/>
      <c r="L61" s="934"/>
      <c r="M61" s="934"/>
      <c r="N61" s="934"/>
      <c r="O61" s="934"/>
    </row>
    <row r="62" spans="1:15" s="689" customFormat="1">
      <c r="A62" s="690" t="s">
        <v>2770</v>
      </c>
      <c r="B62" s="260" t="e">
        <f t="shared" si="17"/>
        <v>#DIV/0!</v>
      </c>
      <c r="C62" s="198">
        <f t="shared" si="16"/>
        <v>0</v>
      </c>
      <c r="D62" s="1157">
        <v>0.25</v>
      </c>
      <c r="E62" s="259">
        <f>'数据-汇总表'!E12</f>
        <v>0</v>
      </c>
      <c r="F62" s="1096" t="e">
        <f t="shared" si="15"/>
        <v>#DIV/0!</v>
      </c>
      <c r="G62" s="1102" t="s">
        <v>2771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9" customFormat="1">
      <c r="A63" s="690" t="s">
        <v>2772</v>
      </c>
      <c r="B63" s="260" t="e">
        <f t="shared" si="17"/>
        <v>#DIV/0!</v>
      </c>
      <c r="C63" s="198">
        <f t="shared" si="16"/>
        <v>0</v>
      </c>
      <c r="D63" s="1157">
        <v>0.25</v>
      </c>
      <c r="E63" s="259">
        <f>'数据-汇总表'!E13</f>
        <v>0</v>
      </c>
      <c r="F63" s="1096" t="e">
        <f t="shared" si="15"/>
        <v>#DIV/0!</v>
      </c>
      <c r="G63" s="1102" t="s">
        <v>2773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9" customFormat="1">
      <c r="A64" s="690" t="s">
        <v>2774</v>
      </c>
      <c r="B64" s="260" t="e">
        <f t="shared" si="17"/>
        <v>#DIV/0!</v>
      </c>
      <c r="C64" s="198">
        <f t="shared" si="16"/>
        <v>0</v>
      </c>
      <c r="D64" s="1157">
        <v>0.25</v>
      </c>
      <c r="E64" s="259">
        <f>'数据-汇总表'!E14</f>
        <v>0</v>
      </c>
      <c r="F64" s="1096" t="e">
        <f t="shared" si="15"/>
        <v>#DIV/0!</v>
      </c>
      <c r="G64" s="2689" t="s">
        <v>2764</v>
      </c>
      <c r="H64" s="1097">
        <f>项目基本情况!B37</f>
        <v>0</v>
      </c>
      <c r="I64" s="1101">
        <f>SUMIF(修正!A45:A56,H64,修正!H45:H56)</f>
        <v>0</v>
      </c>
      <c r="J64" s="1105"/>
      <c r="K64" s="1138"/>
      <c r="L64" s="934"/>
      <c r="M64" s="934"/>
      <c r="N64" s="934"/>
      <c r="O64" s="934"/>
    </row>
    <row r="65" spans="1:17" s="689" customFormat="1" ht="15" thickBot="1">
      <c r="A65" s="690" t="s">
        <v>2775</v>
      </c>
      <c r="B65" s="260" t="e">
        <f t="shared" si="17"/>
        <v>#DIV/0!</v>
      </c>
      <c r="C65" s="198">
        <f t="shared" si="16"/>
        <v>0</v>
      </c>
      <c r="D65" s="1157">
        <v>0.25</v>
      </c>
      <c r="E65" s="259">
        <f>'数据-汇总表'!E15</f>
        <v>0</v>
      </c>
      <c r="F65" s="1096" t="e">
        <f t="shared" si="15"/>
        <v>#DIV/0!</v>
      </c>
      <c r="G65" s="2690" t="s">
        <v>2769</v>
      </c>
      <c r="H65" s="1107">
        <f>项目基本情况!C37</f>
        <v>0</v>
      </c>
      <c r="I65" s="1103">
        <f>SUMIF(修正!A45:A56,H65,修正!H45:H56)</f>
        <v>0</v>
      </c>
      <c r="J65" s="1106"/>
      <c r="K65" s="1137"/>
      <c r="L65" s="934"/>
      <c r="M65" s="934"/>
      <c r="N65" s="934"/>
      <c r="O65" s="934"/>
    </row>
    <row r="66" spans="1:17" s="689" customFormat="1" ht="13.5" thickBot="1">
      <c r="A66" s="692" t="s">
        <v>2776</v>
      </c>
      <c r="B66" s="693" t="s">
        <v>28</v>
      </c>
      <c r="C66" s="693" t="s">
        <v>29</v>
      </c>
      <c r="D66" s="693" t="s">
        <v>1029</v>
      </c>
      <c r="E66" s="693">
        <f>IF(B46="楼面地价",SUM(E56:E65),'数据-汇总表'!D3)</f>
        <v>27977.08</v>
      </c>
      <c r="F66" s="694" t="e">
        <f>IF(B46="楼面地价",SUM(F56:F65),ROUND(C48*E66/10000,0))</f>
        <v>#DIV/0!</v>
      </c>
      <c r="G66" s="784"/>
      <c r="H66" s="784"/>
      <c r="I66" s="784"/>
      <c r="J66" s="784"/>
      <c r="K66" s="1151"/>
      <c r="L66" s="934"/>
      <c r="M66" s="934"/>
      <c r="N66" s="934"/>
      <c r="O66" s="934"/>
    </row>
    <row r="67" spans="1:17">
      <c r="A67" s="756"/>
      <c r="B67" s="758"/>
      <c r="C67" s="759"/>
      <c r="D67" s="756"/>
      <c r="E67" s="756"/>
      <c r="F67" s="756"/>
      <c r="G67" s="756"/>
      <c r="H67" s="756"/>
      <c r="I67" s="756"/>
      <c r="J67" s="1137"/>
      <c r="K67" s="1098"/>
      <c r="L67" s="1099"/>
      <c r="M67" s="1137"/>
      <c r="N67" s="1137"/>
      <c r="O67" s="1137"/>
    </row>
    <row r="68" spans="1:17">
      <c r="A68" s="756"/>
      <c r="B68" s="758"/>
      <c r="C68" s="758" t="str">
        <f>YEAR(C7)&amp;"-"&amp;MONTH(C7)&amp;"-1"</f>
        <v>2017-11-1</v>
      </c>
      <c r="D68" s="758">
        <f>EDATE(C68,-3)</f>
        <v>42948</v>
      </c>
      <c r="E68" s="758">
        <f>EDATE(D68,-3)</f>
        <v>42856</v>
      </c>
      <c r="F68" s="758">
        <f t="shared" ref="F68:O68" si="18">EDATE(E68,-3)</f>
        <v>42767</v>
      </c>
      <c r="G68" s="758">
        <f t="shared" si="18"/>
        <v>42675</v>
      </c>
      <c r="H68" s="758">
        <f t="shared" si="18"/>
        <v>42583</v>
      </c>
      <c r="I68" s="758">
        <f t="shared" si="18"/>
        <v>42491</v>
      </c>
      <c r="J68" s="758">
        <f t="shared" si="18"/>
        <v>42401</v>
      </c>
      <c r="K68" s="758">
        <f t="shared" si="18"/>
        <v>42309</v>
      </c>
      <c r="L68" s="758">
        <f t="shared" si="18"/>
        <v>42217</v>
      </c>
      <c r="M68" s="758">
        <f t="shared" si="18"/>
        <v>42125</v>
      </c>
      <c r="N68" s="758">
        <f t="shared" si="18"/>
        <v>42036</v>
      </c>
      <c r="O68" s="758">
        <f t="shared" si="18"/>
        <v>41944</v>
      </c>
    </row>
    <row r="69" spans="1:17" ht="21.75" thickBot="1">
      <c r="A69" s="760" t="s">
        <v>2669</v>
      </c>
      <c r="B69" s="756"/>
      <c r="C69" s="761"/>
      <c r="D69" s="761"/>
      <c r="E69" s="761"/>
      <c r="F69" s="762"/>
      <c r="G69" s="762"/>
      <c r="H69" s="761"/>
      <c r="I69" s="761"/>
      <c r="J69" s="1152"/>
      <c r="K69" s="1153"/>
      <c r="L69" s="1154"/>
      <c r="M69" s="1152"/>
      <c r="N69" s="1152"/>
      <c r="O69" s="1152"/>
      <c r="P69" s="501"/>
      <c r="Q69" s="502"/>
    </row>
    <row r="70" spans="1:17" s="506" customFormat="1" ht="15">
      <c r="A70" s="2691" t="s">
        <v>2777</v>
      </c>
      <c r="B70" s="1344"/>
      <c r="C70" s="1558" t="str">
        <f>YEAR(C68)&amp;"-"&amp;ROUNDUP(MONTH(C68)/3,0)</f>
        <v>2017-4</v>
      </c>
      <c r="D70" s="1558" t="str">
        <f>YEAR(D68)&amp;"-"&amp;ROUNDUP(MONTH(D68)/3,0)</f>
        <v>2017-3</v>
      </c>
      <c r="E70" s="1558" t="str">
        <f t="shared" ref="E70:O70" si="19">YEAR(E68)&amp;"-"&amp;ROUNDUP(MONTH(E68)/3,0)</f>
        <v>2017-2</v>
      </c>
      <c r="F70" s="1558" t="str">
        <f t="shared" si="19"/>
        <v>2017-1</v>
      </c>
      <c r="G70" s="1558" t="str">
        <f t="shared" si="19"/>
        <v>2016-4</v>
      </c>
      <c r="H70" s="1558" t="str">
        <f t="shared" si="19"/>
        <v>2016-3</v>
      </c>
      <c r="I70" s="1558" t="str">
        <f t="shared" si="19"/>
        <v>2016-2</v>
      </c>
      <c r="J70" s="1558" t="str">
        <f t="shared" si="19"/>
        <v>2016-1</v>
      </c>
      <c r="K70" s="1558" t="str">
        <f t="shared" si="19"/>
        <v>2015-4</v>
      </c>
      <c r="L70" s="1558" t="str">
        <f t="shared" si="19"/>
        <v>2015-3</v>
      </c>
      <c r="M70" s="1558" t="str">
        <f t="shared" si="19"/>
        <v>2015-2</v>
      </c>
      <c r="N70" s="1558" t="str">
        <f t="shared" si="19"/>
        <v>2015-1</v>
      </c>
      <c r="O70" s="1558" t="str">
        <f t="shared" si="19"/>
        <v>2014-4</v>
      </c>
      <c r="P70" s="505"/>
    </row>
    <row r="71" spans="1:17" s="115" customFormat="1" ht="30" customHeight="1">
      <c r="A71" s="2692" t="s">
        <v>2778</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53"/>
      <c r="N71" s="593"/>
      <c r="O71" s="1554"/>
      <c r="P71" s="502"/>
    </row>
    <row r="72" spans="1:17" s="115" customFormat="1" ht="15.75" thickBot="1">
      <c r="A72" s="513" t="s">
        <v>2580</v>
      </c>
      <c r="B72" s="514"/>
      <c r="C72" s="515"/>
      <c r="D72" s="516"/>
      <c r="E72" s="516"/>
      <c r="F72" s="516"/>
      <c r="G72" s="516"/>
      <c r="H72" s="516"/>
      <c r="I72" s="516"/>
      <c r="J72" s="516"/>
      <c r="K72" s="516"/>
      <c r="L72" s="516"/>
      <c r="M72" s="517"/>
      <c r="N72" s="516"/>
      <c r="O72" s="1155"/>
      <c r="P72" s="502"/>
      <c r="Q72" s="502"/>
    </row>
    <row r="73" spans="1:17" s="115" customFormat="1" ht="15">
      <c r="A73" s="519" t="s">
        <v>2545</v>
      </c>
      <c r="B73" s="508"/>
      <c r="C73" s="520" t="s">
        <v>2647</v>
      </c>
      <c r="D73" s="521"/>
      <c r="E73" s="521"/>
      <c r="F73" s="521"/>
      <c r="G73" s="521"/>
      <c r="H73" s="521"/>
      <c r="I73" s="521"/>
      <c r="J73" s="521"/>
      <c r="K73" s="521"/>
      <c r="L73" s="522"/>
      <c r="M73" s="523"/>
      <c r="N73" s="1144"/>
      <c r="O73" s="1144"/>
      <c r="P73" s="524"/>
      <c r="Q73" s="502"/>
    </row>
    <row r="74" spans="1:17" s="115" customFormat="1" ht="15.75" thickBot="1">
      <c r="A74" s="519"/>
      <c r="B74" s="508"/>
      <c r="C74" s="636">
        <v>100</v>
      </c>
      <c r="D74" s="510"/>
      <c r="E74" s="510"/>
      <c r="F74" s="510"/>
      <c r="G74" s="510"/>
      <c r="H74" s="510"/>
      <c r="I74" s="510"/>
      <c r="J74" s="510"/>
      <c r="K74" s="510"/>
      <c r="L74" s="510"/>
      <c r="M74" s="512"/>
      <c r="N74" s="1144"/>
      <c r="O74" s="1144"/>
      <c r="P74" s="502"/>
      <c r="Q74" s="502"/>
    </row>
    <row r="75" spans="1:17">
      <c r="A75" s="525" t="s">
        <v>2583</v>
      </c>
      <c r="B75" s="526" t="s">
        <v>2549</v>
      </c>
      <c r="C75" s="528"/>
      <c r="D75" s="528"/>
      <c r="E75" s="528"/>
      <c r="F75" s="528"/>
      <c r="G75" s="528"/>
      <c r="H75" s="528"/>
      <c r="I75" s="528"/>
      <c r="J75" s="528"/>
      <c r="K75" s="529"/>
      <c r="L75" s="530"/>
      <c r="M75" s="531"/>
      <c r="N75" s="1145"/>
      <c r="O75" s="1145"/>
      <c r="P75" s="45"/>
      <c r="Q75" s="502"/>
    </row>
    <row r="76" spans="1:17" ht="15.75" thickBot="1">
      <c r="A76" s="532"/>
      <c r="B76" s="533"/>
      <c r="C76" s="534"/>
      <c r="D76" s="534"/>
      <c r="E76" s="534"/>
      <c r="F76" s="534"/>
      <c r="G76" s="534"/>
      <c r="H76" s="534"/>
      <c r="I76" s="534"/>
      <c r="J76" s="534"/>
      <c r="K76" s="534"/>
      <c r="L76" s="534"/>
      <c r="M76" s="535"/>
      <c r="N76" s="1146"/>
      <c r="O76" s="1146"/>
      <c r="P76" s="45"/>
      <c r="Q76" s="502"/>
    </row>
    <row r="77" spans="1:17" ht="27.75" thickTop="1">
      <c r="A77" s="532"/>
      <c r="B77" s="536" t="s">
        <v>2552</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2553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5"/>
      <c r="Q79" s="502"/>
    </row>
    <row r="80" spans="1:17" ht="15">
      <c r="A80" s="532"/>
      <c r="B80" s="546"/>
      <c r="C80" s="547"/>
      <c r="D80" s="547"/>
      <c r="E80" s="547"/>
      <c r="F80" s="547"/>
      <c r="G80" s="547"/>
      <c r="H80" s="547"/>
      <c r="I80" s="547"/>
      <c r="J80" s="547"/>
      <c r="K80" s="548"/>
      <c r="L80" s="549"/>
      <c r="M80" s="550"/>
      <c r="N80" s="1145"/>
      <c r="O80" s="1145"/>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6"/>
      <c r="O81" s="1146"/>
      <c r="P81" s="45"/>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2554</v>
      </c>
      <c r="B88" s="526" t="s">
        <v>2591</v>
      </c>
      <c r="C88" s="571" t="s">
        <v>2592</v>
      </c>
      <c r="D88" s="571" t="s">
        <v>2593</v>
      </c>
      <c r="E88" s="571" t="s">
        <v>2594</v>
      </c>
      <c r="F88" s="571" t="s">
        <v>2595</v>
      </c>
      <c r="G88" s="571" t="s">
        <v>2596</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5"/>
      <c r="Q89" s="502"/>
    </row>
    <row r="90" spans="1:17" ht="15.75" thickTop="1">
      <c r="A90" s="532"/>
      <c r="B90" s="536" t="s">
        <v>2779</v>
      </c>
      <c r="C90" s="576" t="s">
        <v>2592</v>
      </c>
      <c r="D90" s="576" t="s">
        <v>2593</v>
      </c>
      <c r="E90" s="576" t="s">
        <v>2594</v>
      </c>
      <c r="F90" s="576" t="s">
        <v>2595</v>
      </c>
      <c r="G90" s="576" t="s">
        <v>2596</v>
      </c>
      <c r="H90" s="537"/>
      <c r="I90" s="537"/>
      <c r="J90" s="537"/>
      <c r="K90" s="538"/>
      <c r="L90" s="539"/>
      <c r="M90" s="540"/>
      <c r="N90" s="1145"/>
      <c r="O90" s="1145"/>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5"/>
      <c r="Q91" s="502"/>
    </row>
    <row r="92" spans="1:17" ht="15.75" thickTop="1">
      <c r="A92" s="532"/>
      <c r="B92" s="536" t="s">
        <v>2692</v>
      </c>
      <c r="C92" s="576" t="s">
        <v>2592</v>
      </c>
      <c r="D92" s="576" t="s">
        <v>2593</v>
      </c>
      <c r="E92" s="576" t="s">
        <v>2594</v>
      </c>
      <c r="F92" s="576" t="s">
        <v>2595</v>
      </c>
      <c r="G92" s="576" t="s">
        <v>2596</v>
      </c>
      <c r="H92" s="537"/>
      <c r="I92" s="537"/>
      <c r="J92" s="537"/>
      <c r="K92" s="538"/>
      <c r="L92" s="539"/>
      <c r="M92" s="540"/>
      <c r="N92" s="1145"/>
      <c r="O92" s="1145"/>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5"/>
      <c r="Q93" s="502"/>
    </row>
    <row r="94" spans="1:17" ht="15.75" thickTop="1">
      <c r="A94" s="532"/>
      <c r="B94" s="536" t="s">
        <v>2597</v>
      </c>
      <c r="C94" s="576" t="s">
        <v>2592</v>
      </c>
      <c r="D94" s="576" t="s">
        <v>2593</v>
      </c>
      <c r="E94" s="576" t="s">
        <v>2594</v>
      </c>
      <c r="F94" s="576" t="s">
        <v>2595</v>
      </c>
      <c r="G94" s="576" t="s">
        <v>2596</v>
      </c>
      <c r="H94" s="537"/>
      <c r="I94" s="537"/>
      <c r="J94" s="537"/>
      <c r="K94" s="538"/>
      <c r="L94" s="539"/>
      <c r="M94" s="540"/>
      <c r="N94" s="1145"/>
      <c r="O94" s="1145"/>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5"/>
      <c r="Q95" s="502"/>
    </row>
    <row r="96" spans="1:17" s="115" customFormat="1" ht="15.75" thickTop="1">
      <c r="A96" s="577"/>
      <c r="B96" s="536" t="s">
        <v>2780</v>
      </c>
      <c r="C96" s="576" t="s">
        <v>2592</v>
      </c>
      <c r="D96" s="576" t="s">
        <v>2593</v>
      </c>
      <c r="E96" s="576" t="s">
        <v>2594</v>
      </c>
      <c r="F96" s="576" t="s">
        <v>2595</v>
      </c>
      <c r="G96" s="576" t="s">
        <v>2596</v>
      </c>
      <c r="H96" s="576"/>
      <c r="I96" s="576"/>
      <c r="J96" s="576"/>
      <c r="K96" s="576"/>
      <c r="L96" s="695"/>
      <c r="M96" s="619"/>
      <c r="N96" s="1144"/>
      <c r="O96" s="1144"/>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5"/>
      <c r="Q97" s="502"/>
    </row>
    <row r="98" spans="1:17" s="115" customFormat="1" ht="27.75" thickTop="1">
      <c r="A98" s="577"/>
      <c r="B98" s="536" t="s">
        <v>2781</v>
      </c>
      <c r="C98" s="571" t="s">
        <v>2592</v>
      </c>
      <c r="D98" s="571" t="s">
        <v>2593</v>
      </c>
      <c r="E98" s="571" t="s">
        <v>2594</v>
      </c>
      <c r="F98" s="571" t="s">
        <v>2595</v>
      </c>
      <c r="G98" s="571" t="s">
        <v>2596</v>
      </c>
      <c r="H98" s="576"/>
      <c r="I98" s="576"/>
      <c r="J98" s="576"/>
      <c r="K98" s="576"/>
      <c r="L98" s="576"/>
      <c r="M98" s="619"/>
      <c r="N98" s="1144"/>
      <c r="O98" s="1144"/>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5"/>
      <c r="Q99" s="502"/>
    </row>
    <row r="100" spans="1:17" s="469" customFormat="1" ht="15.75" thickTop="1">
      <c r="A100" s="551"/>
      <c r="B100" s="536" t="s">
        <v>2649</v>
      </c>
      <c r="C100" s="571" t="s">
        <v>2592</v>
      </c>
      <c r="D100" s="571" t="s">
        <v>2593</v>
      </c>
      <c r="E100" s="571" t="s">
        <v>2594</v>
      </c>
      <c r="F100" s="571" t="s">
        <v>2595</v>
      </c>
      <c r="G100" s="571" t="s">
        <v>2596</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2650</v>
      </c>
      <c r="C102" s="657" t="s">
        <v>2670</v>
      </c>
      <c r="D102" s="657" t="s">
        <v>2671</v>
      </c>
      <c r="E102" s="657" t="s">
        <v>2672</v>
      </c>
      <c r="F102" s="657" t="s">
        <v>2673</v>
      </c>
      <c r="G102" s="657" t="s">
        <v>2674</v>
      </c>
      <c r="H102" s="598"/>
      <c r="I102" s="598"/>
      <c r="J102" s="598"/>
      <c r="K102" s="598"/>
      <c r="L102" s="598"/>
      <c r="M102" s="1370"/>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0"/>
      <c r="N103" s="1147"/>
      <c r="O103" s="1147"/>
      <c r="P103" s="556"/>
      <c r="Q103" s="557"/>
    </row>
    <row r="104" spans="1:17" ht="15.75" thickTop="1">
      <c r="A104" s="532"/>
      <c r="B104" s="536" t="str">
        <f>B31</f>
        <v>临街状况</v>
      </c>
      <c r="C104" s="537" t="s">
        <v>2782</v>
      </c>
      <c r="D104" s="537" t="s">
        <v>2783</v>
      </c>
      <c r="E104" s="537" t="s">
        <v>2784</v>
      </c>
      <c r="F104" s="537" t="s">
        <v>2785</v>
      </c>
      <c r="G104" s="537"/>
      <c r="H104" s="537"/>
      <c r="I104" s="537"/>
      <c r="J104" s="537"/>
      <c r="K104" s="538"/>
      <c r="L104" s="539"/>
      <c r="M104" s="540"/>
      <c r="N104" s="1145"/>
      <c r="O104" s="1145"/>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5"/>
      <c r="Q105" s="502"/>
    </row>
    <row r="106" spans="1:17" ht="27.75" thickTop="1">
      <c r="A106" s="532"/>
      <c r="B106" s="536" t="s">
        <v>2686</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5"/>
      <c r="Q107" s="502"/>
    </row>
    <row r="108" spans="1:17" ht="15.75" thickTop="1">
      <c r="A108" s="532"/>
      <c r="B108" s="536" t="s">
        <v>2745</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2"/>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4"/>
      <c r="E115" s="674"/>
      <c r="F115" s="674"/>
      <c r="G115" s="674"/>
      <c r="H115" s="674"/>
      <c r="I115" s="674"/>
      <c r="J115" s="674"/>
      <c r="K115" s="674"/>
      <c r="L115" s="674"/>
      <c r="M115" s="696"/>
      <c r="N115" s="1146"/>
      <c r="O115" s="1146"/>
      <c r="P115" s="556"/>
      <c r="Q115" s="557"/>
    </row>
    <row r="116" spans="1:17">
      <c r="A116" s="525" t="s">
        <v>2558</v>
      </c>
      <c r="B116" s="526" t="s">
        <v>2786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5"/>
      <c r="Q116" s="502"/>
    </row>
    <row r="117" spans="1:17" ht="15">
      <c r="A117" s="532"/>
      <c r="B117" s="544"/>
      <c r="C117" s="593"/>
      <c r="D117" s="593"/>
      <c r="E117" s="593"/>
      <c r="F117" s="593"/>
      <c r="G117" s="593"/>
      <c r="H117" s="593"/>
      <c r="I117" s="593"/>
      <c r="J117" s="594"/>
      <c r="K117" s="594"/>
      <c r="L117" s="595"/>
      <c r="M117" s="596"/>
      <c r="N117" s="1145"/>
      <c r="O117" s="1145"/>
      <c r="P117" s="45"/>
      <c r="Q117" s="502"/>
    </row>
    <row r="118" spans="1:17" ht="15.75" thickBot="1">
      <c r="A118" s="532"/>
      <c r="B118" s="541"/>
      <c r="C118" s="568"/>
      <c r="D118" s="589"/>
      <c r="E118" s="589"/>
      <c r="F118" s="589"/>
      <c r="G118" s="589"/>
      <c r="H118" s="589"/>
      <c r="I118" s="589"/>
      <c r="J118" s="589"/>
      <c r="K118" s="589"/>
      <c r="L118" s="589"/>
      <c r="M118" s="590"/>
      <c r="N118" s="1146"/>
      <c r="O118" s="1146"/>
      <c r="P118" s="45"/>
      <c r="Q118" s="502"/>
    </row>
    <row r="119" spans="1:17" ht="15" thickTop="1">
      <c r="A119" s="597"/>
      <c r="B119" s="536" t="s">
        <v>2787</v>
      </c>
      <c r="C119" s="581"/>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6"/>
      <c r="O120" s="1146"/>
      <c r="P120" s="45"/>
      <c r="Q120" s="502"/>
    </row>
    <row r="121" spans="1:17" ht="15" thickTop="1">
      <c r="A121" s="597"/>
      <c r="B121" s="536" t="s">
        <v>2788</v>
      </c>
      <c r="C121" s="552"/>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6"/>
      <c r="O122" s="1146"/>
      <c r="P122" s="45"/>
      <c r="Q122" s="502"/>
    </row>
    <row r="123" spans="1:17" s="469" customFormat="1" ht="15" thickTop="1">
      <c r="A123" s="591"/>
      <c r="B123" s="536" t="s">
        <v>2789</v>
      </c>
      <c r="C123" s="552"/>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7"/>
      <c r="O124" s="1147"/>
      <c r="P124" s="556"/>
      <c r="Q124" s="557"/>
    </row>
    <row r="125" spans="1:17" ht="15" thickTop="1">
      <c r="A125" s="597"/>
      <c r="B125" s="536" t="s">
        <v>2790</v>
      </c>
      <c r="C125" s="552"/>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7"/>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2739</v>
      </c>
      <c r="B1" s="393"/>
      <c r="C1" s="394"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2322</v>
      </c>
      <c r="B2" s="668" t="e">
        <f>F61</f>
        <v>#DIV/0!</v>
      </c>
      <c r="C2" s="1118"/>
      <c r="D2" s="1118"/>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2324</v>
      </c>
      <c r="B3" s="607" t="e">
        <f>ROUND(IF(D3="",B2*10000/'数据-汇总表'!E3,B2*10000/D3),0)</f>
        <v>#DIV/0!</v>
      </c>
      <c r="C3" s="245" t="s">
        <v>2741</v>
      </c>
      <c r="D3" s="1569"/>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2640</v>
      </c>
      <c r="B4" s="400"/>
      <c r="C4" s="3171" t="s">
        <v>2641</v>
      </c>
      <c r="D4" s="3172"/>
      <c r="E4" s="3173" t="s">
        <v>2642</v>
      </c>
      <c r="F4" s="3174"/>
      <c r="G4" s="3171" t="s">
        <v>2643</v>
      </c>
      <c r="H4" s="3172"/>
      <c r="I4" s="3171" t="s">
        <v>2644</v>
      </c>
      <c r="J4" s="3172"/>
      <c r="K4" s="608" t="s">
        <v>2645</v>
      </c>
      <c r="L4" s="1123"/>
      <c r="M4" s="1124"/>
      <c r="N4" s="1124"/>
      <c r="O4" s="1124"/>
      <c r="P4" s="3175" t="s">
        <v>2646</v>
      </c>
      <c r="Q4" s="3176"/>
      <c r="R4" s="3157" t="s">
        <v>2642</v>
      </c>
      <c r="S4" s="3158"/>
      <c r="T4" s="3157" t="s">
        <v>2643</v>
      </c>
      <c r="U4" s="3158"/>
      <c r="V4" s="3183" t="s">
        <v>2644</v>
      </c>
      <c r="W4" s="3183"/>
      <c r="X4" s="1799"/>
      <c r="Y4" s="3157" t="s">
        <v>2646</v>
      </c>
      <c r="Z4" s="3158"/>
      <c r="AA4" s="3152" t="s">
        <v>2642</v>
      </c>
      <c r="AB4" s="3153" t="s">
        <v>2643</v>
      </c>
      <c r="AC4" s="3152" t="s">
        <v>2644</v>
      </c>
    </row>
    <row r="5" spans="1:29" ht="15">
      <c r="A5" s="402"/>
      <c r="B5" s="403"/>
      <c r="C5" s="3230" t="s">
        <v>2537</v>
      </c>
      <c r="D5" s="3164"/>
      <c r="E5" s="3234" t="s">
        <v>2538</v>
      </c>
      <c r="F5" s="3162"/>
      <c r="G5" s="3230" t="s">
        <v>2539</v>
      </c>
      <c r="H5" s="3164"/>
      <c r="I5" s="3230" t="s">
        <v>2540</v>
      </c>
      <c r="J5" s="3164"/>
      <c r="K5" s="608"/>
      <c r="L5" s="1123"/>
      <c r="M5" s="1124"/>
      <c r="N5" s="1124"/>
      <c r="O5" s="1124"/>
      <c r="P5" s="3177"/>
      <c r="Q5" s="3178"/>
      <c r="R5" s="3159"/>
      <c r="S5" s="3160"/>
      <c r="T5" s="3159"/>
      <c r="U5" s="3160"/>
      <c r="V5" s="3183"/>
      <c r="W5" s="3183"/>
      <c r="X5" s="1799"/>
      <c r="Y5" s="3159"/>
      <c r="Z5" s="3160"/>
      <c r="AA5" s="3153"/>
      <c r="AB5" s="3153"/>
      <c r="AC5" s="3153"/>
    </row>
    <row r="6" spans="1:29" ht="15.75" thickBot="1">
      <c r="A6" s="404"/>
      <c r="B6" s="405"/>
      <c r="C6" s="3254" t="s">
        <v>2792</v>
      </c>
      <c r="D6" s="3255"/>
      <c r="E6" s="3256" t="s">
        <v>2792</v>
      </c>
      <c r="F6" s="3257"/>
      <c r="G6" s="3254" t="s">
        <v>2792</v>
      </c>
      <c r="H6" s="3255"/>
      <c r="I6" s="3254" t="s">
        <v>2792</v>
      </c>
      <c r="J6" s="3255"/>
      <c r="K6" s="608" t="s">
        <v>2542</v>
      </c>
      <c r="L6" s="1123"/>
      <c r="M6" s="1124"/>
      <c r="N6" s="1124"/>
      <c r="O6" s="1124"/>
      <c r="P6" s="3179"/>
      <c r="Q6" s="3180"/>
      <c r="R6" s="3159"/>
      <c r="S6" s="3160"/>
      <c r="T6" s="3181"/>
      <c r="U6" s="3182"/>
      <c r="V6" s="3183"/>
      <c r="W6" s="3183"/>
      <c r="X6" s="1799"/>
      <c r="Y6" s="3181"/>
      <c r="Z6" s="3182"/>
      <c r="AA6" s="3154"/>
      <c r="AB6" s="3154"/>
      <c r="AC6" s="3154"/>
    </row>
    <row r="7" spans="1:29" s="115" customFormat="1" ht="15.75" thickBot="1">
      <c r="A7" s="406" t="s">
        <v>2543</v>
      </c>
      <c r="B7" s="407"/>
      <c r="C7" s="408">
        <f>'数据-取费表'!B2</f>
        <v>43061</v>
      </c>
      <c r="D7" s="409">
        <v>100</v>
      </c>
      <c r="E7" s="410"/>
      <c r="F7" s="411">
        <f>SUMIF(65:65,YEAR(E7)&amp;"-"&amp;INT((MONTH(E7)+2)/3),66:66)</f>
        <v>0</v>
      </c>
      <c r="G7" s="2676"/>
      <c r="H7" s="409">
        <f>SUMIF(65:65,YEAR(G7)&amp;"-"&amp;INT((MONTH(G7)+2)/3),66:66)</f>
        <v>0</v>
      </c>
      <c r="I7" s="2676"/>
      <c r="J7" s="409">
        <f>SUMIF(65:65,YEAR(I7)&amp;"-"&amp;INT((MONTH(I7)+2)/3),66:66)</f>
        <v>0</v>
      </c>
      <c r="K7" s="609"/>
      <c r="L7" s="1125"/>
      <c r="M7" s="1126"/>
      <c r="N7" s="1126"/>
      <c r="O7" s="1126"/>
      <c r="P7" s="3155" t="s">
        <v>2544</v>
      </c>
      <c r="Q7" s="3184"/>
      <c r="R7" s="767" t="s">
        <v>17</v>
      </c>
      <c r="S7" s="768">
        <f t="shared" ref="S7:S15" si="0">F7</f>
        <v>0</v>
      </c>
      <c r="T7" s="767" t="s">
        <v>17</v>
      </c>
      <c r="U7" s="768">
        <f t="shared" ref="U7:U15" si="1">H7</f>
        <v>0</v>
      </c>
      <c r="V7" s="767" t="s">
        <v>17</v>
      </c>
      <c r="W7" s="768">
        <f t="shared" ref="W7:W15" si="2">J7</f>
        <v>0</v>
      </c>
      <c r="X7" s="769"/>
      <c r="Y7" s="3155" t="s">
        <v>2544</v>
      </c>
      <c r="Z7" s="3156"/>
      <c r="AA7" s="770" t="e">
        <f>D7/F7</f>
        <v>#DIV/0!</v>
      </c>
      <c r="AB7" s="770" t="e">
        <f>D7/H7</f>
        <v>#DIV/0!</v>
      </c>
      <c r="AC7" s="770" t="e">
        <f>D7/J7</f>
        <v>#DIV/0!</v>
      </c>
    </row>
    <row r="8" spans="1:29" s="115" customFormat="1" ht="15.75" thickBot="1">
      <c r="A8" s="406" t="s">
        <v>2545</v>
      </c>
      <c r="B8" s="407"/>
      <c r="C8" s="412" t="s">
        <v>2546</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155" t="s">
        <v>2547</v>
      </c>
      <c r="Q8" s="3156"/>
      <c r="R8" s="767" t="s">
        <v>17</v>
      </c>
      <c r="S8" s="768">
        <f t="shared" si="0"/>
        <v>0</v>
      </c>
      <c r="T8" s="767" t="s">
        <v>17</v>
      </c>
      <c r="U8" s="768">
        <f t="shared" si="1"/>
        <v>0</v>
      </c>
      <c r="V8" s="767" t="s">
        <v>17</v>
      </c>
      <c r="W8" s="768">
        <f t="shared" si="2"/>
        <v>0</v>
      </c>
      <c r="X8" s="769"/>
      <c r="Y8" s="3155" t="s">
        <v>2547</v>
      </c>
      <c r="Z8" s="3156"/>
      <c r="AA8" s="770" t="e">
        <f t="shared" ref="AA8:AA40" si="3">D8/F8</f>
        <v>#DIV/0!</v>
      </c>
      <c r="AB8" s="770" t="e">
        <f t="shared" ref="AB8:AB40" si="4">D8/H8</f>
        <v>#DIV/0!</v>
      </c>
      <c r="AC8" s="770" t="e">
        <f t="shared" ref="AC8:AC40" si="5">D8/J8</f>
        <v>#DIV/0!</v>
      </c>
    </row>
    <row r="9" spans="1:29" s="115" customFormat="1">
      <c r="A9" s="413" t="s">
        <v>2548</v>
      </c>
      <c r="B9" s="71" t="s">
        <v>2549</v>
      </c>
      <c r="C9" s="2679"/>
      <c r="D9" s="133">
        <v>100</v>
      </c>
      <c r="E9" s="2679"/>
      <c r="F9" s="133">
        <f>SUMIF(70:70,E9,71:71)-SUMIF(70:70,C9,71:71)+100</f>
        <v>100</v>
      </c>
      <c r="G9" s="2679"/>
      <c r="H9" s="133">
        <f>SUMIF(70:70,G9,71:71)-SUMIF(70:70,C9,71:71)+100</f>
        <v>100</v>
      </c>
      <c r="I9" s="2679"/>
      <c r="J9" s="133">
        <f>SUMIF(70:70,I9,71:71)-SUMIF(70:70,C9,71:71)+100</f>
        <v>100</v>
      </c>
      <c r="K9" s="609"/>
      <c r="L9" s="1125"/>
      <c r="M9" s="1126"/>
      <c r="N9" s="1126"/>
      <c r="O9" s="1127"/>
      <c r="P9" s="3188" t="s">
        <v>2550</v>
      </c>
      <c r="Q9" s="1781" t="str">
        <f t="shared" ref="Q9:Q15" si="6">B9</f>
        <v>用途</v>
      </c>
      <c r="R9" s="767" t="s">
        <v>17</v>
      </c>
      <c r="S9" s="768">
        <f t="shared" si="0"/>
        <v>100</v>
      </c>
      <c r="T9" s="767" t="s">
        <v>17</v>
      </c>
      <c r="U9" s="768">
        <f t="shared" si="1"/>
        <v>100</v>
      </c>
      <c r="V9" s="767" t="s">
        <v>17</v>
      </c>
      <c r="W9" s="768">
        <f t="shared" si="2"/>
        <v>100</v>
      </c>
      <c r="X9" s="769"/>
      <c r="Y9" s="3029" t="s">
        <v>2551</v>
      </c>
      <c r="Z9" s="55" t="str">
        <f t="shared" ref="Z9:Z15" si="7">Q9</f>
        <v>用途</v>
      </c>
      <c r="AA9" s="770">
        <f t="shared" si="3"/>
        <v>1</v>
      </c>
      <c r="AB9" s="770">
        <f t="shared" si="4"/>
        <v>1</v>
      </c>
      <c r="AC9" s="770">
        <f t="shared" si="5"/>
        <v>1</v>
      </c>
    </row>
    <row r="10" spans="1:29" s="425" customFormat="1" ht="27">
      <c r="A10" s="419"/>
      <c r="B10" s="420" t="s">
        <v>2552</v>
      </c>
      <c r="C10" s="430"/>
      <c r="D10" s="134">
        <v>100</v>
      </c>
      <c r="E10" s="430"/>
      <c r="F10" s="134">
        <f>ROUND(100/'数据-取费表'!G16,0)</f>
        <v>106</v>
      </c>
      <c r="G10" s="430"/>
      <c r="H10" s="134">
        <f>ROUND(100/'数据-取费表'!G16,0)</f>
        <v>106</v>
      </c>
      <c r="I10" s="430"/>
      <c r="J10" s="134">
        <f>ROUND(100/'数据-取费表'!G16,0)</f>
        <v>106</v>
      </c>
      <c r="K10" s="669"/>
      <c r="L10" s="1128"/>
      <c r="M10" s="1129"/>
      <c r="N10" s="1129"/>
      <c r="O10" s="1130"/>
      <c r="P10" s="3188"/>
      <c r="Q10" s="1781" t="str">
        <f t="shared" si="6"/>
        <v>土地使用年限（年）</v>
      </c>
      <c r="R10" s="767" t="s">
        <v>17</v>
      </c>
      <c r="S10" s="768">
        <f t="shared" si="0"/>
        <v>106</v>
      </c>
      <c r="T10" s="767" t="s">
        <v>17</v>
      </c>
      <c r="U10" s="768">
        <f t="shared" si="1"/>
        <v>106</v>
      </c>
      <c r="V10" s="767" t="s">
        <v>17</v>
      </c>
      <c r="W10" s="768">
        <f t="shared" si="2"/>
        <v>106</v>
      </c>
      <c r="X10" s="769"/>
      <c r="Y10" s="3029"/>
      <c r="Z10" s="55" t="str">
        <f t="shared" si="7"/>
        <v>土地使用年限（年）</v>
      </c>
      <c r="AA10" s="770">
        <f t="shared" si="3"/>
        <v>0.94339622641509435</v>
      </c>
      <c r="AB10" s="770">
        <f t="shared" si="4"/>
        <v>0.94339622641509435</v>
      </c>
      <c r="AC10" s="770">
        <f t="shared" si="5"/>
        <v>0.94339622641509435</v>
      </c>
    </row>
    <row r="11" spans="1:29" ht="15">
      <c r="A11" s="426"/>
      <c r="B11" s="420" t="s">
        <v>2553</v>
      </c>
      <c r="C11" s="427"/>
      <c r="D11" s="134">
        <v>100</v>
      </c>
      <c r="E11" s="427"/>
      <c r="F11" s="134" t="e">
        <f>LOOKUP(E11,75:75,76:76)-LOOKUP(C11,75:75,76:76)+100</f>
        <v>#N/A</v>
      </c>
      <c r="G11" s="428"/>
      <c r="H11" s="134" t="e">
        <f>LOOKUP(G11,75:75,76:76)-LOOKUP(C11,75:75,76:76)+100</f>
        <v>#N/A</v>
      </c>
      <c r="I11" s="427"/>
      <c r="J11" s="134" t="e">
        <f>LOOKUP(I11,75:75,76:76)-LOOKUP(C11,75:75,76:76)+100</f>
        <v>#N/A</v>
      </c>
      <c r="K11" s="670"/>
      <c r="L11" s="1131"/>
      <c r="M11" s="1124"/>
      <c r="N11" s="1124"/>
      <c r="O11" s="1132"/>
      <c r="P11" s="3188"/>
      <c r="Q11" s="1781"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29" s="115" customFormat="1" ht="15">
      <c r="A12" s="429"/>
      <c r="B12" s="2583">
        <v>111</v>
      </c>
      <c r="C12" s="430"/>
      <c r="D12" s="431">
        <v>100</v>
      </c>
      <c r="E12" s="547"/>
      <c r="F12" s="134">
        <f>SUMIF(77:77,E12,78:78)-SUMIF(77:77,C12,78:78)+100</f>
        <v>100</v>
      </c>
      <c r="G12" s="671"/>
      <c r="H12" s="134">
        <f>SUMIF(77:77,G12,78:78)-SUMIF(77:77,C12,78:78)+100</f>
        <v>100</v>
      </c>
      <c r="I12" s="547"/>
      <c r="J12" s="134">
        <f>SUMIF(77:77,I12,78:78)-SUMIF(77:77,C12,78:78)+100</f>
        <v>100</v>
      </c>
      <c r="K12" s="669"/>
      <c r="L12" s="1125"/>
      <c r="M12" s="1126"/>
      <c r="N12" s="1126"/>
      <c r="O12" s="1127"/>
      <c r="P12" s="3188"/>
      <c r="Q12" s="1781">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6"/>
      <c r="B13" s="2583">
        <v>111</v>
      </c>
      <c r="C13" s="432"/>
      <c r="D13" s="433">
        <v>100</v>
      </c>
      <c r="E13" s="547"/>
      <c r="F13" s="134">
        <f>SUMIF(79:79,E13,80:80)-SUMIF(79:79,C13,80:80)+100</f>
        <v>100</v>
      </c>
      <c r="G13" s="671"/>
      <c r="H13" s="433">
        <f>SUMIF(79:79,G13,80:80)-SUMIF(79:79,C13,80:80)+100</f>
        <v>100</v>
      </c>
      <c r="I13" s="547"/>
      <c r="J13" s="433">
        <f>SUMIF(79:79,I13,80:80)-SUMIF(79:79,C13,80:80)+100</f>
        <v>100</v>
      </c>
      <c r="K13" s="669"/>
      <c r="L13" s="1133"/>
      <c r="M13" s="1124"/>
      <c r="N13" s="1124"/>
      <c r="O13" s="1132"/>
      <c r="P13" s="3188"/>
      <c r="Q13" s="1781">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75" thickBot="1">
      <c r="A14" s="434"/>
      <c r="B14" s="2585">
        <v>111</v>
      </c>
      <c r="C14" s="435"/>
      <c r="D14" s="436">
        <v>100</v>
      </c>
      <c r="E14" s="547"/>
      <c r="F14" s="436">
        <f>SUMIF(81:81,E14,82:82)-SUMIF(81:81,C14,82:82)+100</f>
        <v>100</v>
      </c>
      <c r="G14" s="671"/>
      <c r="H14" s="436">
        <f>SUMIF(81:81,G14,82:82)-SUMIF(81:81,C14,82:82)+100</f>
        <v>100</v>
      </c>
      <c r="I14" s="547"/>
      <c r="J14" s="436">
        <f>SUMIF(81:81,I14,82:82)-SUMIF(81:81,C14,82:82)+100</f>
        <v>100</v>
      </c>
      <c r="K14" s="669"/>
      <c r="L14" s="1133"/>
      <c r="M14" s="1124"/>
      <c r="N14" s="1124"/>
      <c r="O14" s="1132"/>
      <c r="P14" s="3188"/>
      <c r="Q14" s="1781">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57">
      <c r="A15" s="438" t="s">
        <v>2554</v>
      </c>
      <c r="B15" s="626" t="s">
        <v>2793</v>
      </c>
      <c r="C15" s="267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3"/>
      <c r="M15" s="1124"/>
      <c r="N15" s="1124"/>
      <c r="O15" s="1132"/>
      <c r="P15" s="3190" t="s">
        <v>2555</v>
      </c>
      <c r="Q15" s="1796" t="str">
        <f t="shared" si="6"/>
        <v>产业集聚程度</v>
      </c>
      <c r="R15" s="771" t="s">
        <v>17</v>
      </c>
      <c r="S15" s="772">
        <f t="shared" si="0"/>
        <v>100</v>
      </c>
      <c r="T15" s="771" t="s">
        <v>17</v>
      </c>
      <c r="U15" s="772">
        <f t="shared" si="1"/>
        <v>100</v>
      </c>
      <c r="V15" s="771" t="s">
        <v>17</v>
      </c>
      <c r="W15" s="772">
        <f t="shared" si="2"/>
        <v>100</v>
      </c>
      <c r="X15" s="1799"/>
      <c r="Y15" s="3190" t="s">
        <v>2555</v>
      </c>
      <c r="Z15" s="1800" t="str">
        <f t="shared" si="7"/>
        <v>产业集聚程度</v>
      </c>
      <c r="AA15" s="1797">
        <f t="shared" si="3"/>
        <v>1</v>
      </c>
      <c r="AB15" s="1797">
        <f t="shared" si="4"/>
        <v>1</v>
      </c>
      <c r="AC15" s="1797">
        <f t="shared" si="5"/>
        <v>1</v>
      </c>
    </row>
    <row r="16" spans="1:29" ht="15">
      <c r="A16" s="426"/>
      <c r="B16" s="627"/>
      <c r="C16" s="445"/>
      <c r="D16" s="446"/>
      <c r="E16" s="2594"/>
      <c r="F16" s="446"/>
      <c r="G16" s="2594"/>
      <c r="H16" s="448"/>
      <c r="I16" s="2594"/>
      <c r="J16" s="446"/>
      <c r="K16" s="669"/>
      <c r="L16" s="1133"/>
      <c r="M16" s="1124"/>
      <c r="N16" s="1124"/>
      <c r="O16" s="1132"/>
      <c r="P16" s="3191"/>
      <c r="Q16" s="1796"/>
      <c r="R16" s="771"/>
      <c r="S16" s="772"/>
      <c r="T16" s="771"/>
      <c r="U16" s="772"/>
      <c r="V16" s="771"/>
      <c r="W16" s="772"/>
      <c r="X16" s="1799"/>
      <c r="Y16" s="3191"/>
      <c r="Z16" s="1800"/>
      <c r="AA16" s="1797">
        <v>1</v>
      </c>
      <c r="AB16" s="1797">
        <v>1</v>
      </c>
      <c r="AC16" s="1797">
        <v>1</v>
      </c>
    </row>
    <row r="17" spans="1:29" ht="85.5">
      <c r="A17" s="426"/>
      <c r="B17" s="628" t="s">
        <v>2704</v>
      </c>
      <c r="C17" s="259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3"/>
      <c r="M17" s="1124"/>
      <c r="N17" s="1124"/>
      <c r="O17" s="1132"/>
      <c r="P17" s="3191"/>
      <c r="Q17" s="1796" t="str">
        <f>B17</f>
        <v>交通便捷度</v>
      </c>
      <c r="R17" s="771" t="s">
        <v>17</v>
      </c>
      <c r="S17" s="772">
        <f>F17</f>
        <v>100</v>
      </c>
      <c r="T17" s="771" t="s">
        <v>17</v>
      </c>
      <c r="U17" s="772">
        <f>H17</f>
        <v>100</v>
      </c>
      <c r="V17" s="771" t="s">
        <v>17</v>
      </c>
      <c r="W17" s="772">
        <f>J17</f>
        <v>100</v>
      </c>
      <c r="X17" s="1799"/>
      <c r="Y17" s="3191"/>
      <c r="Z17" s="1800" t="str">
        <f>Q17</f>
        <v>交通便捷度</v>
      </c>
      <c r="AA17" s="1797">
        <f t="shared" si="3"/>
        <v>1</v>
      </c>
      <c r="AB17" s="1797">
        <f t="shared" si="4"/>
        <v>1</v>
      </c>
      <c r="AC17" s="1797">
        <f t="shared" si="5"/>
        <v>1</v>
      </c>
    </row>
    <row r="18" spans="1:29" ht="15">
      <c r="A18" s="426"/>
      <c r="B18" s="629"/>
      <c r="C18" s="445"/>
      <c r="D18" s="446"/>
      <c r="E18" s="2588"/>
      <c r="F18" s="446"/>
      <c r="G18" s="2588"/>
      <c r="H18" s="446"/>
      <c r="I18" s="2587"/>
      <c r="J18" s="446"/>
      <c r="K18" s="669"/>
      <c r="L18" s="1133"/>
      <c r="M18" s="1124"/>
      <c r="N18" s="1124"/>
      <c r="O18" s="1132"/>
      <c r="P18" s="3191"/>
      <c r="Q18" s="1796"/>
      <c r="R18" s="771"/>
      <c r="S18" s="772"/>
      <c r="T18" s="771"/>
      <c r="U18" s="772"/>
      <c r="V18" s="771"/>
      <c r="W18" s="772"/>
      <c r="X18" s="1799"/>
      <c r="Y18" s="3191"/>
      <c r="Z18" s="1800"/>
      <c r="AA18" s="1797">
        <v>1</v>
      </c>
      <c r="AB18" s="1797">
        <v>1</v>
      </c>
      <c r="AC18" s="1797">
        <v>1</v>
      </c>
    </row>
    <row r="19" spans="1:29" ht="15">
      <c r="A19" s="426"/>
      <c r="B19" s="628" t="s">
        <v>2743</v>
      </c>
      <c r="C19" s="2590">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3"/>
      <c r="M19" s="1124"/>
      <c r="N19" s="1124"/>
      <c r="O19" s="1132"/>
      <c r="P19" s="3191"/>
      <c r="Q19" s="1796" t="str">
        <f t="shared" ref="Q19:Q33" si="8">B19</f>
        <v>区域土地利用方向</v>
      </c>
      <c r="R19" s="771" t="s">
        <v>17</v>
      </c>
      <c r="S19" s="772">
        <f>F19</f>
        <v>100</v>
      </c>
      <c r="T19" s="771" t="s">
        <v>17</v>
      </c>
      <c r="U19" s="772">
        <f>H19</f>
        <v>100</v>
      </c>
      <c r="V19" s="771" t="s">
        <v>17</v>
      </c>
      <c r="W19" s="772">
        <f>J19</f>
        <v>100</v>
      </c>
      <c r="X19" s="1799"/>
      <c r="Y19" s="3191"/>
      <c r="Z19" s="1800" t="str">
        <f>Q19</f>
        <v>区域土地利用方向</v>
      </c>
      <c r="AA19" s="1797">
        <f t="shared" si="3"/>
        <v>1</v>
      </c>
      <c r="AB19" s="1797">
        <f t="shared" si="4"/>
        <v>1</v>
      </c>
      <c r="AC19" s="1797">
        <f t="shared" si="5"/>
        <v>1</v>
      </c>
    </row>
    <row r="20" spans="1:29" ht="15">
      <c r="A20" s="402"/>
      <c r="B20" s="629"/>
      <c r="C20" s="445"/>
      <c r="D20" s="446"/>
      <c r="E20" s="2588"/>
      <c r="F20" s="446"/>
      <c r="G20" s="2588"/>
      <c r="H20" s="446"/>
      <c r="I20" s="2588"/>
      <c r="J20" s="446"/>
      <c r="K20" s="802"/>
      <c r="L20" s="1133"/>
      <c r="M20" s="1124"/>
      <c r="N20" s="1124"/>
      <c r="O20" s="1132"/>
      <c r="P20" s="3191"/>
      <c r="Q20" s="1796"/>
      <c r="R20" s="771"/>
      <c r="S20" s="772"/>
      <c r="T20" s="771"/>
      <c r="U20" s="772"/>
      <c r="V20" s="771"/>
      <c r="W20" s="772"/>
      <c r="X20" s="1799"/>
      <c r="Y20" s="3191"/>
      <c r="Z20" s="1800"/>
      <c r="AA20" s="1797"/>
      <c r="AB20" s="1797"/>
      <c r="AC20" s="1797"/>
    </row>
    <row r="21" spans="1:29" ht="71.25">
      <c r="A21" s="402"/>
      <c r="B21" s="628" t="s">
        <v>2794</v>
      </c>
      <c r="C21" s="259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3"/>
      <c r="M21" s="1124"/>
      <c r="N21" s="1124"/>
      <c r="O21" s="1132"/>
      <c r="P21" s="3191"/>
      <c r="Q21" s="1796" t="str">
        <f t="shared" si="8"/>
        <v>环境状况</v>
      </c>
      <c r="R21" s="771" t="s">
        <v>17</v>
      </c>
      <c r="S21" s="772">
        <f>F21</f>
        <v>100</v>
      </c>
      <c r="T21" s="771" t="s">
        <v>17</v>
      </c>
      <c r="U21" s="772">
        <f>H21</f>
        <v>100</v>
      </c>
      <c r="V21" s="771" t="s">
        <v>17</v>
      </c>
      <c r="W21" s="772">
        <f>J21</f>
        <v>100</v>
      </c>
      <c r="X21" s="1799"/>
      <c r="Y21" s="3191"/>
      <c r="Z21" s="1800" t="str">
        <f>Q21</f>
        <v>环境状况</v>
      </c>
      <c r="AA21" s="1797">
        <f t="shared" si="3"/>
        <v>1</v>
      </c>
      <c r="AB21" s="1797">
        <f t="shared" si="4"/>
        <v>1</v>
      </c>
      <c r="AC21" s="1797">
        <f t="shared" si="5"/>
        <v>1</v>
      </c>
    </row>
    <row r="22" spans="1:29" ht="15">
      <c r="A22" s="402"/>
      <c r="B22" s="629"/>
      <c r="C22" s="445"/>
      <c r="D22" s="446"/>
      <c r="E22" s="2594"/>
      <c r="F22" s="446"/>
      <c r="G22" s="2594"/>
      <c r="H22" s="446"/>
      <c r="I22" s="445"/>
      <c r="J22" s="446"/>
      <c r="K22" s="669"/>
      <c r="L22" s="1133"/>
      <c r="M22" s="1124"/>
      <c r="N22" s="1124"/>
      <c r="O22" s="1132"/>
      <c r="P22" s="3191"/>
      <c r="Q22" s="1796"/>
      <c r="R22" s="771"/>
      <c r="S22" s="772"/>
      <c r="T22" s="771"/>
      <c r="U22" s="772"/>
      <c r="V22" s="771"/>
      <c r="W22" s="772"/>
      <c r="X22" s="1799"/>
      <c r="Y22" s="3191"/>
      <c r="Z22" s="1800"/>
      <c r="AA22" s="1797">
        <v>1</v>
      </c>
      <c r="AB22" s="1797">
        <v>1</v>
      </c>
      <c r="AC22" s="1797">
        <v>1</v>
      </c>
    </row>
    <row r="23" spans="1:29" s="115" customFormat="1" ht="42.75">
      <c r="A23" s="646"/>
      <c r="B23" s="630" t="s">
        <v>2649</v>
      </c>
      <c r="C23" s="259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5"/>
      <c r="M23" s="1126"/>
      <c r="N23" s="1126"/>
      <c r="O23" s="1127"/>
      <c r="P23" s="3191"/>
      <c r="Q23" s="1781" t="str">
        <f t="shared" si="8"/>
        <v>公共配套设施</v>
      </c>
      <c r="R23" s="767" t="s">
        <v>17</v>
      </c>
      <c r="S23" s="768">
        <f>F23</f>
        <v>100</v>
      </c>
      <c r="T23" s="767" t="s">
        <v>17</v>
      </c>
      <c r="U23" s="768">
        <f>H23</f>
        <v>100</v>
      </c>
      <c r="V23" s="767" t="s">
        <v>17</v>
      </c>
      <c r="W23" s="768">
        <f>J23</f>
        <v>100</v>
      </c>
      <c r="X23" s="769"/>
      <c r="Y23" s="3191"/>
      <c r="Z23" s="55" t="str">
        <f>Q23</f>
        <v>公共配套设施</v>
      </c>
      <c r="AA23" s="1797">
        <f>D23/F23</f>
        <v>1</v>
      </c>
      <c r="AB23" s="1797">
        <f>D23/H23</f>
        <v>1</v>
      </c>
      <c r="AC23" s="1797">
        <f>D23/J23</f>
        <v>1</v>
      </c>
    </row>
    <row r="24" spans="1:29" s="115" customFormat="1" ht="15">
      <c r="A24" s="646"/>
      <c r="B24" s="629"/>
      <c r="C24" s="2680"/>
      <c r="D24" s="446"/>
      <c r="E24" s="2594"/>
      <c r="F24" s="446"/>
      <c r="G24" s="2594"/>
      <c r="H24" s="446"/>
      <c r="I24" s="445"/>
      <c r="J24" s="446"/>
      <c r="K24" s="669"/>
      <c r="L24" s="1125"/>
      <c r="M24" s="1126"/>
      <c r="N24" s="1126"/>
      <c r="O24" s="1127"/>
      <c r="P24" s="3191"/>
      <c r="Q24" s="1781"/>
      <c r="R24" s="767"/>
      <c r="S24" s="768"/>
      <c r="T24" s="767"/>
      <c r="U24" s="768"/>
      <c r="V24" s="767"/>
      <c r="W24" s="768"/>
      <c r="X24" s="769"/>
      <c r="Y24" s="3191"/>
      <c r="Z24" s="55"/>
      <c r="AA24" s="770">
        <v>1</v>
      </c>
      <c r="AB24" s="770">
        <v>1</v>
      </c>
      <c r="AC24" s="770">
        <v>1</v>
      </c>
    </row>
    <row r="25" spans="1:29" s="115" customFormat="1" ht="28.5">
      <c r="A25" s="646"/>
      <c r="B25" s="630" t="s">
        <v>2650</v>
      </c>
      <c r="C25" s="259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5"/>
      <c r="M25" s="1126"/>
      <c r="N25" s="1126"/>
      <c r="O25" s="1127"/>
      <c r="P25" s="3191"/>
      <c r="Q25" s="1781" t="str">
        <f t="shared" ref="Q25" si="9">B25</f>
        <v>基础设施水平</v>
      </c>
      <c r="R25" s="767" t="s">
        <v>17</v>
      </c>
      <c r="S25" s="768">
        <f>F25</f>
        <v>100</v>
      </c>
      <c r="T25" s="767" t="s">
        <v>17</v>
      </c>
      <c r="U25" s="768">
        <f>H25</f>
        <v>100</v>
      </c>
      <c r="V25" s="767" t="s">
        <v>17</v>
      </c>
      <c r="W25" s="768">
        <f>J25</f>
        <v>100</v>
      </c>
      <c r="X25" s="769"/>
      <c r="Y25" s="3191"/>
      <c r="Z25" s="55" t="str">
        <f>Q25</f>
        <v>基础设施水平</v>
      </c>
      <c r="AA25" s="1797">
        <f>D25/F25</f>
        <v>1</v>
      </c>
      <c r="AB25" s="1797">
        <f>D25/H25</f>
        <v>1</v>
      </c>
      <c r="AC25" s="1797">
        <f>D25/J25</f>
        <v>1</v>
      </c>
    </row>
    <row r="26" spans="1:29" s="115" customFormat="1" ht="15">
      <c r="A26" s="646"/>
      <c r="B26" s="629"/>
      <c r="C26" s="2680"/>
      <c r="D26" s="446"/>
      <c r="E26" s="2681"/>
      <c r="F26" s="446"/>
      <c r="G26" s="2681"/>
      <c r="H26" s="446"/>
      <c r="I26" s="2681"/>
      <c r="J26" s="446"/>
      <c r="K26" s="669"/>
      <c r="L26" s="1125"/>
      <c r="M26" s="1126"/>
      <c r="N26" s="1126"/>
      <c r="O26" s="1127"/>
      <c r="P26" s="3191"/>
      <c r="Q26" s="1781"/>
      <c r="R26" s="767"/>
      <c r="S26" s="768"/>
      <c r="T26" s="767"/>
      <c r="U26" s="768"/>
      <c r="V26" s="767"/>
      <c r="W26" s="768"/>
      <c r="X26" s="769"/>
      <c r="Y26" s="3191"/>
      <c r="Z26" s="55"/>
      <c r="AA26" s="770">
        <v>1</v>
      </c>
      <c r="AB26" s="770">
        <v>1</v>
      </c>
      <c r="AC26" s="770">
        <v>1</v>
      </c>
    </row>
    <row r="27" spans="1:29" ht="15">
      <c r="A27" s="426"/>
      <c r="B27" s="629" t="s">
        <v>2651</v>
      </c>
      <c r="C27" s="614"/>
      <c r="D27" s="433">
        <v>100</v>
      </c>
      <c r="E27" s="631"/>
      <c r="F27" s="433">
        <f>SUMIF(95:95,E27,96:96)-SUMIF(95:95,C27,96:96)+100</f>
        <v>100</v>
      </c>
      <c r="G27" s="631"/>
      <c r="H27" s="433">
        <f>SUMIF(95:95,G27,96:96)-SUMIF(95:95,C27,96:96)+100</f>
        <v>100</v>
      </c>
      <c r="I27" s="631"/>
      <c r="J27" s="433">
        <f>SUMIF(95:95,I27,96:96)-SUMIF(95:95,C27,96:96)+100</f>
        <v>100</v>
      </c>
      <c r="K27" s="670"/>
      <c r="L27" s="1133"/>
      <c r="M27" s="1124"/>
      <c r="N27" s="1124"/>
      <c r="O27" s="1132"/>
      <c r="P27" s="3191"/>
      <c r="Q27" s="1796" t="str">
        <f t="shared" si="8"/>
        <v>临街状况</v>
      </c>
      <c r="R27" s="771" t="s">
        <v>17</v>
      </c>
      <c r="S27" s="772">
        <f t="shared" ref="S27:S40" si="10">F27</f>
        <v>100</v>
      </c>
      <c r="T27" s="771" t="s">
        <v>17</v>
      </c>
      <c r="U27" s="772">
        <f t="shared" ref="U27:U40" si="11">H27</f>
        <v>100</v>
      </c>
      <c r="V27" s="771" t="s">
        <v>17</v>
      </c>
      <c r="W27" s="772">
        <f t="shared" ref="W27:W40" si="12">J27</f>
        <v>100</v>
      </c>
      <c r="X27" s="1799"/>
      <c r="Y27" s="3191"/>
      <c r="Z27" s="1800" t="str">
        <f t="shared" ref="Z27:Z40" si="13">Q27</f>
        <v>临街状况</v>
      </c>
      <c r="AA27" s="1797">
        <f t="shared" si="3"/>
        <v>1</v>
      </c>
      <c r="AB27" s="1797">
        <f t="shared" si="4"/>
        <v>1</v>
      </c>
      <c r="AC27" s="1797">
        <f t="shared" si="5"/>
        <v>1</v>
      </c>
    </row>
    <row r="28" spans="1:29" ht="27">
      <c r="A28" s="426"/>
      <c r="B28" s="630" t="s">
        <v>2686</v>
      </c>
      <c r="C28" s="2693">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3"/>
      <c r="M28" s="1124"/>
      <c r="N28" s="1124"/>
      <c r="O28" s="1132"/>
      <c r="P28" s="3191"/>
      <c r="Q28" s="1796" t="str">
        <f t="shared" si="8"/>
        <v>毗邻道路的类型与等级</v>
      </c>
      <c r="R28" s="771" t="s">
        <v>17</v>
      </c>
      <c r="S28" s="772">
        <f t="shared" si="10"/>
        <v>100</v>
      </c>
      <c r="T28" s="771" t="s">
        <v>17</v>
      </c>
      <c r="U28" s="772">
        <f t="shared" si="11"/>
        <v>100</v>
      </c>
      <c r="V28" s="771" t="s">
        <v>17</v>
      </c>
      <c r="W28" s="772">
        <f t="shared" si="12"/>
        <v>100</v>
      </c>
      <c r="X28" s="1799"/>
      <c r="Y28" s="3191"/>
      <c r="Z28" s="1800" t="str">
        <f t="shared" si="13"/>
        <v>毗邻道路的类型与等级</v>
      </c>
      <c r="AA28" s="1797">
        <f t="shared" si="3"/>
        <v>1</v>
      </c>
      <c r="AB28" s="1797">
        <f t="shared" si="4"/>
        <v>1</v>
      </c>
      <c r="AC28" s="1797">
        <f t="shared" si="5"/>
        <v>1</v>
      </c>
    </row>
    <row r="29" spans="1:29" ht="15">
      <c r="A29" s="426"/>
      <c r="B29" s="629"/>
      <c r="C29" s="445"/>
      <c r="D29" s="446"/>
      <c r="E29" s="2594"/>
      <c r="F29" s="446"/>
      <c r="G29" s="2594"/>
      <c r="H29" s="446"/>
      <c r="I29" s="2594"/>
      <c r="J29" s="446"/>
      <c r="K29" s="611"/>
      <c r="L29" s="1133"/>
      <c r="M29" s="1124"/>
      <c r="N29" s="1124"/>
      <c r="O29" s="1132"/>
      <c r="P29" s="3191"/>
      <c r="Q29" s="1796"/>
      <c r="R29" s="771"/>
      <c r="S29" s="772"/>
      <c r="T29" s="771"/>
      <c r="U29" s="772"/>
      <c r="V29" s="771"/>
      <c r="W29" s="772"/>
      <c r="X29" s="1799"/>
      <c r="Y29" s="3191"/>
      <c r="Z29" s="1800"/>
      <c r="AA29" s="1797">
        <v>1</v>
      </c>
      <c r="AB29" s="1797">
        <v>1</v>
      </c>
      <c r="AC29" s="1797">
        <v>1</v>
      </c>
    </row>
    <row r="30" spans="1:29" ht="15">
      <c r="A30" s="426"/>
      <c r="B30" s="651" t="s">
        <v>2745</v>
      </c>
      <c r="C30" s="1374">
        <f>估价对象房地状况!G23</f>
        <v>0</v>
      </c>
      <c r="D30" s="433">
        <v>100</v>
      </c>
      <c r="E30" s="631"/>
      <c r="F30" s="433">
        <f>SUMIF(99:99,E30,100:100)-SUMIF(99:99,C30,100:100)+100</f>
        <v>100</v>
      </c>
      <c r="G30" s="631"/>
      <c r="H30" s="433">
        <f>SUMIF(99:99,G30,100:100)-SUMIF(99:99,C30,100:100)+100</f>
        <v>100</v>
      </c>
      <c r="I30" s="631"/>
      <c r="J30" s="433">
        <f>SUMIF(99:99,I30,100:100)-SUMIF(99:99,C30,100:100)+100</f>
        <v>100</v>
      </c>
      <c r="K30" s="610"/>
      <c r="L30" s="1133"/>
      <c r="M30" s="1124"/>
      <c r="N30" s="1124"/>
      <c r="O30" s="1132"/>
      <c r="P30" s="3191"/>
      <c r="Q30" s="1796" t="str">
        <f t="shared" si="8"/>
        <v>土地级别</v>
      </c>
      <c r="R30" s="771" t="s">
        <v>17</v>
      </c>
      <c r="S30" s="772">
        <f t="shared" si="10"/>
        <v>100</v>
      </c>
      <c r="T30" s="771" t="s">
        <v>17</v>
      </c>
      <c r="U30" s="772">
        <f t="shared" si="11"/>
        <v>100</v>
      </c>
      <c r="V30" s="771" t="s">
        <v>17</v>
      </c>
      <c r="W30" s="772">
        <f t="shared" si="12"/>
        <v>100</v>
      </c>
      <c r="X30" s="1799"/>
      <c r="Y30" s="3191"/>
      <c r="Z30" s="1800" t="str">
        <f t="shared" si="13"/>
        <v>土地级别</v>
      </c>
      <c r="AA30" s="1797">
        <f t="shared" si="3"/>
        <v>1</v>
      </c>
      <c r="AB30" s="1797">
        <f t="shared" si="4"/>
        <v>1</v>
      </c>
      <c r="AC30" s="1797">
        <f t="shared" si="5"/>
        <v>1</v>
      </c>
    </row>
    <row r="31" spans="1:29" ht="15">
      <c r="A31" s="402"/>
      <c r="B31" s="2658">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191"/>
      <c r="Q31" s="1796">
        <f t="shared" si="8"/>
        <v>111</v>
      </c>
      <c r="R31" s="771" t="s">
        <v>17</v>
      </c>
      <c r="S31" s="772">
        <f t="shared" si="10"/>
        <v>100</v>
      </c>
      <c r="T31" s="771" t="s">
        <v>17</v>
      </c>
      <c r="U31" s="772">
        <f t="shared" si="11"/>
        <v>100</v>
      </c>
      <c r="V31" s="771" t="s">
        <v>17</v>
      </c>
      <c r="W31" s="772">
        <f t="shared" si="12"/>
        <v>100</v>
      </c>
      <c r="X31" s="1799"/>
      <c r="Y31" s="3191"/>
      <c r="Z31" s="1800">
        <f t="shared" si="13"/>
        <v>111</v>
      </c>
      <c r="AA31" s="1797">
        <f t="shared" si="3"/>
        <v>1</v>
      </c>
      <c r="AB31" s="1797">
        <f t="shared" si="4"/>
        <v>1</v>
      </c>
      <c r="AC31" s="1797">
        <f t="shared" si="5"/>
        <v>1</v>
      </c>
    </row>
    <row r="32" spans="1:29" ht="15">
      <c r="A32" s="672"/>
      <c r="B32" s="2694">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3"/>
      <c r="M32" s="1124"/>
      <c r="N32" s="1124"/>
      <c r="O32" s="1132"/>
      <c r="P32" s="3249" t="s">
        <v>2560</v>
      </c>
      <c r="Q32" s="1796">
        <f t="shared" si="8"/>
        <v>111</v>
      </c>
      <c r="R32" s="771" t="s">
        <v>17</v>
      </c>
      <c r="S32" s="772">
        <f t="shared" si="10"/>
        <v>100</v>
      </c>
      <c r="T32" s="771" t="s">
        <v>17</v>
      </c>
      <c r="U32" s="772">
        <f t="shared" si="11"/>
        <v>100</v>
      </c>
      <c r="V32" s="771" t="s">
        <v>17</v>
      </c>
      <c r="W32" s="772">
        <f t="shared" si="12"/>
        <v>100</v>
      </c>
      <c r="X32" s="1799"/>
      <c r="Y32" s="3195" t="s">
        <v>2560</v>
      </c>
      <c r="Z32" s="1800">
        <f t="shared" si="13"/>
        <v>111</v>
      </c>
      <c r="AA32" s="1797">
        <f t="shared" si="3"/>
        <v>1</v>
      </c>
      <c r="AB32" s="1797">
        <f t="shared" si="4"/>
        <v>1</v>
      </c>
      <c r="AC32" s="1797">
        <f t="shared" si="5"/>
        <v>1</v>
      </c>
    </row>
    <row r="33" spans="1:29" s="469" customFormat="1" ht="15.75" thickBot="1">
      <c r="A33" s="673"/>
      <c r="B33" s="2695">
        <v>111</v>
      </c>
      <c r="C33" s="675"/>
      <c r="D33" s="135">
        <v>100</v>
      </c>
      <c r="E33" s="698"/>
      <c r="F33" s="436">
        <f>SUMIF(105:105,E33,106:106)-SUMIF(105:105,C33,106:106)+100</f>
        <v>100</v>
      </c>
      <c r="G33" s="698"/>
      <c r="H33" s="436">
        <f>SUMIF(105:105,G33,106:106)-SUMIF(105:105,C33,106:106)+100</f>
        <v>100</v>
      </c>
      <c r="I33" s="675"/>
      <c r="J33" s="436">
        <f>SUMIF(105:105,I33,106:106)-SUMIF(105:105,C33,106:106)+100</f>
        <v>100</v>
      </c>
      <c r="K33" s="611"/>
      <c r="L33" s="1131"/>
      <c r="M33" s="1134"/>
      <c r="N33" s="1134"/>
      <c r="O33" s="1135"/>
      <c r="P33" s="3195"/>
      <c r="Q33" s="1796">
        <f t="shared" si="8"/>
        <v>111</v>
      </c>
      <c r="R33" s="774" t="s">
        <v>17</v>
      </c>
      <c r="S33" s="775">
        <f t="shared" si="10"/>
        <v>100</v>
      </c>
      <c r="T33" s="774" t="s">
        <v>17</v>
      </c>
      <c r="U33" s="775">
        <f t="shared" si="11"/>
        <v>100</v>
      </c>
      <c r="V33" s="774" t="s">
        <v>17</v>
      </c>
      <c r="W33" s="775">
        <f t="shared" si="12"/>
        <v>100</v>
      </c>
      <c r="X33" s="776"/>
      <c r="Y33" s="3195"/>
      <c r="Z33" s="777">
        <f t="shared" si="13"/>
        <v>111</v>
      </c>
      <c r="AA33" s="1797">
        <f t="shared" si="3"/>
        <v>1</v>
      </c>
      <c r="AB33" s="1797">
        <f t="shared" si="4"/>
        <v>1</v>
      </c>
      <c r="AC33" s="1797">
        <f t="shared" si="5"/>
        <v>1</v>
      </c>
    </row>
    <row r="34" spans="1:29" ht="15">
      <c r="A34" s="438" t="s">
        <v>2558</v>
      </c>
      <c r="B34" s="454" t="s">
        <v>2746</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3"/>
      <c r="M34" s="1124"/>
      <c r="N34" s="1124"/>
      <c r="O34" s="1132"/>
      <c r="P34" s="3195"/>
      <c r="Q34" s="1796" t="str">
        <f>B34</f>
        <v>宗地面积</v>
      </c>
      <c r="R34" s="771" t="s">
        <v>17</v>
      </c>
      <c r="S34" s="772" t="e">
        <f t="shared" si="10"/>
        <v>#N/A</v>
      </c>
      <c r="T34" s="771" t="s">
        <v>17</v>
      </c>
      <c r="U34" s="772" t="e">
        <f t="shared" si="11"/>
        <v>#N/A</v>
      </c>
      <c r="V34" s="771" t="s">
        <v>17</v>
      </c>
      <c r="W34" s="772" t="e">
        <f t="shared" si="12"/>
        <v>#N/A</v>
      </c>
      <c r="X34" s="1799"/>
      <c r="Y34" s="3195"/>
      <c r="Z34" s="1800" t="str">
        <f t="shared" si="13"/>
        <v>宗地面积</v>
      </c>
      <c r="AA34" s="1797" t="e">
        <f t="shared" si="3"/>
        <v>#N/A</v>
      </c>
      <c r="AB34" s="1797" t="e">
        <f t="shared" si="4"/>
        <v>#N/A</v>
      </c>
      <c r="AC34" s="1797" t="e">
        <f t="shared" si="5"/>
        <v>#N/A</v>
      </c>
    </row>
    <row r="35" spans="1:29" ht="15">
      <c r="A35" s="470"/>
      <c r="B35" s="420" t="s">
        <v>2747</v>
      </c>
      <c r="C35" s="2596"/>
      <c r="D35" s="433">
        <v>100</v>
      </c>
      <c r="E35" s="2596"/>
      <c r="F35" s="433">
        <f>SUMIF(110:110,E35,111:111)-SUMIF(110:110,C35,111:111)+100</f>
        <v>100</v>
      </c>
      <c r="G35" s="2596"/>
      <c r="H35" s="433">
        <f>SUMIF(110:110,G35,111:111)-SUMIF(110:110,C35,111:111)+100</f>
        <v>100</v>
      </c>
      <c r="I35" s="2596"/>
      <c r="J35" s="433">
        <f>SUMIF(110:110,I35,111:111)-SUMIF(110:110,C35,111:111)+100</f>
        <v>100</v>
      </c>
      <c r="K35" s="610"/>
      <c r="L35" s="1133"/>
      <c r="M35" s="1124"/>
      <c r="N35" s="1124"/>
      <c r="O35" s="1132"/>
      <c r="P35" s="3195"/>
      <c r="Q35" s="1796" t="str">
        <f t="shared" ref="Q35:Q40" si="14">B35</f>
        <v>宗地形状</v>
      </c>
      <c r="R35" s="771" t="s">
        <v>17</v>
      </c>
      <c r="S35" s="772">
        <f t="shared" si="10"/>
        <v>100</v>
      </c>
      <c r="T35" s="771" t="s">
        <v>17</v>
      </c>
      <c r="U35" s="772">
        <f t="shared" si="11"/>
        <v>100</v>
      </c>
      <c r="V35" s="771" t="s">
        <v>17</v>
      </c>
      <c r="W35" s="772">
        <f t="shared" si="12"/>
        <v>100</v>
      </c>
      <c r="X35" s="1799"/>
      <c r="Y35" s="3195"/>
      <c r="Z35" s="1800" t="str">
        <f t="shared" si="13"/>
        <v>宗地形状</v>
      </c>
      <c r="AA35" s="1797">
        <f t="shared" si="3"/>
        <v>1</v>
      </c>
      <c r="AB35" s="1797">
        <f t="shared" si="4"/>
        <v>1</v>
      </c>
      <c r="AC35" s="1797">
        <f t="shared" si="5"/>
        <v>1</v>
      </c>
    </row>
    <row r="36" spans="1:29" s="115" customFormat="1" ht="15">
      <c r="A36" s="471"/>
      <c r="B36" s="420" t="s">
        <v>2749</v>
      </c>
      <c r="C36" s="2682"/>
      <c r="D36" s="134">
        <v>100</v>
      </c>
      <c r="E36" s="2682"/>
      <c r="F36" s="433">
        <f>SUMIF(112:112,E36,113:113)-SUMIF(112:112,C36,113:113)+100</f>
        <v>100</v>
      </c>
      <c r="G36" s="2682"/>
      <c r="H36" s="433">
        <f>SUMIF(112:112,G36,113:113)-SUMIF(112:112,C36,113:113)+100</f>
        <v>100</v>
      </c>
      <c r="I36" s="2682"/>
      <c r="J36" s="433">
        <f>SUMIF(112:112,I36,113:113)-SUMIF(112:112,C36,113:113)+100</f>
        <v>100</v>
      </c>
      <c r="K36" s="610"/>
      <c r="L36" s="1125"/>
      <c r="M36" s="1126"/>
      <c r="N36" s="1126"/>
      <c r="O36" s="1127"/>
      <c r="P36" s="3195"/>
      <c r="Q36" s="1796" t="str">
        <f t="shared" si="14"/>
        <v>宗地开发程度</v>
      </c>
      <c r="R36" s="767" t="s">
        <v>17</v>
      </c>
      <c r="S36" s="768">
        <f t="shared" si="10"/>
        <v>100</v>
      </c>
      <c r="T36" s="767" t="s">
        <v>17</v>
      </c>
      <c r="U36" s="768">
        <f t="shared" si="11"/>
        <v>100</v>
      </c>
      <c r="V36" s="767" t="s">
        <v>17</v>
      </c>
      <c r="W36" s="768">
        <f t="shared" si="12"/>
        <v>100</v>
      </c>
      <c r="X36" s="769"/>
      <c r="Y36" s="3195"/>
      <c r="Z36" s="55" t="str">
        <f t="shared" si="13"/>
        <v>宗地开发程度</v>
      </c>
      <c r="AA36" s="770">
        <f t="shared" si="3"/>
        <v>1</v>
      </c>
      <c r="AB36" s="770">
        <f t="shared" si="4"/>
        <v>1</v>
      </c>
      <c r="AC36" s="770">
        <f t="shared" si="5"/>
        <v>1</v>
      </c>
    </row>
    <row r="37" spans="1:29" ht="15">
      <c r="A37" s="470"/>
      <c r="B37" s="420" t="s">
        <v>2750</v>
      </c>
      <c r="C37" s="2596"/>
      <c r="D37" s="433">
        <v>100</v>
      </c>
      <c r="E37" s="2596"/>
      <c r="F37" s="433">
        <f>SUMIF(114:114,E37,115:115)-SUMIF(114:114,C37,115:115)+100</f>
        <v>100</v>
      </c>
      <c r="G37" s="2596"/>
      <c r="H37" s="433">
        <f>SUMIF(114:114,G37,115:115)-SUMIF(114:114,C37,115:115)+100</f>
        <v>100</v>
      </c>
      <c r="I37" s="2596"/>
      <c r="J37" s="433">
        <f>SUMIF(114:114,I37,115:115)-SUMIF(114:114,C37,115:115)+100</f>
        <v>100</v>
      </c>
      <c r="K37" s="610"/>
      <c r="L37" s="1133"/>
      <c r="M37" s="1124"/>
      <c r="N37" s="1124"/>
      <c r="O37" s="1132"/>
      <c r="P37" s="3195" t="s">
        <v>2560</v>
      </c>
      <c r="Q37" s="1796" t="str">
        <f t="shared" si="14"/>
        <v>工程地质条件</v>
      </c>
      <c r="R37" s="771" t="s">
        <v>17</v>
      </c>
      <c r="S37" s="772">
        <f t="shared" si="10"/>
        <v>100</v>
      </c>
      <c r="T37" s="771" t="s">
        <v>17</v>
      </c>
      <c r="U37" s="772">
        <f t="shared" si="11"/>
        <v>100</v>
      </c>
      <c r="V37" s="771" t="s">
        <v>17</v>
      </c>
      <c r="W37" s="772">
        <f t="shared" si="12"/>
        <v>100</v>
      </c>
      <c r="X37" s="1799"/>
      <c r="Y37" s="3195" t="s">
        <v>2560</v>
      </c>
      <c r="Z37" s="1800" t="str">
        <f t="shared" si="13"/>
        <v>工程地质条件</v>
      </c>
      <c r="AA37" s="1797">
        <f t="shared" si="3"/>
        <v>1</v>
      </c>
      <c r="AB37" s="1797">
        <f t="shared" si="4"/>
        <v>1</v>
      </c>
      <c r="AC37" s="1797">
        <f t="shared" si="5"/>
        <v>1</v>
      </c>
    </row>
    <row r="38" spans="1:29" ht="15">
      <c r="A38" s="470"/>
      <c r="B38" s="1372">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3"/>
      <c r="M38" s="1124"/>
      <c r="N38" s="1124"/>
      <c r="O38" s="1132"/>
      <c r="P38" s="3195"/>
      <c r="Q38" s="1796">
        <f t="shared" si="14"/>
        <v>111</v>
      </c>
      <c r="R38" s="771" t="s">
        <v>17</v>
      </c>
      <c r="S38" s="772">
        <f t="shared" si="10"/>
        <v>100</v>
      </c>
      <c r="T38" s="771" t="s">
        <v>17</v>
      </c>
      <c r="U38" s="772">
        <f t="shared" si="11"/>
        <v>100</v>
      </c>
      <c r="V38" s="771" t="s">
        <v>17</v>
      </c>
      <c r="W38" s="772">
        <f t="shared" si="12"/>
        <v>100</v>
      </c>
      <c r="X38" s="1799"/>
      <c r="Y38" s="3195"/>
      <c r="Z38" s="1800">
        <f t="shared" si="13"/>
        <v>111</v>
      </c>
      <c r="AA38" s="1797">
        <f t="shared" si="3"/>
        <v>1</v>
      </c>
      <c r="AB38" s="1797">
        <f t="shared" si="4"/>
        <v>1</v>
      </c>
      <c r="AC38" s="1797">
        <f t="shared" si="5"/>
        <v>1</v>
      </c>
    </row>
    <row r="39" spans="1:29" ht="15">
      <c r="A39" s="470"/>
      <c r="B39" s="1372">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3"/>
      <c r="M39" s="1124"/>
      <c r="N39" s="1124"/>
      <c r="O39" s="1132"/>
      <c r="P39" s="3195"/>
      <c r="Q39" s="1796">
        <f t="shared" si="14"/>
        <v>111</v>
      </c>
      <c r="R39" s="771" t="s">
        <v>17</v>
      </c>
      <c r="S39" s="772">
        <f t="shared" si="10"/>
        <v>100</v>
      </c>
      <c r="T39" s="771" t="s">
        <v>17</v>
      </c>
      <c r="U39" s="772">
        <f t="shared" si="11"/>
        <v>100</v>
      </c>
      <c r="V39" s="771" t="s">
        <v>17</v>
      </c>
      <c r="W39" s="772">
        <f t="shared" si="12"/>
        <v>100</v>
      </c>
      <c r="X39" s="1799"/>
      <c r="Y39" s="3195"/>
      <c r="Z39" s="1800">
        <f t="shared" si="13"/>
        <v>111</v>
      </c>
      <c r="AA39" s="1797">
        <f t="shared" si="3"/>
        <v>1</v>
      </c>
      <c r="AB39" s="1797">
        <f t="shared" si="4"/>
        <v>1</v>
      </c>
      <c r="AC39" s="1797">
        <f t="shared" si="5"/>
        <v>1</v>
      </c>
    </row>
    <row r="40" spans="1:29" s="469" customFormat="1" ht="15.75" thickBot="1">
      <c r="A40" s="466"/>
      <c r="B40" s="1372">
        <v>111</v>
      </c>
      <c r="C40" s="2683"/>
      <c r="D40" s="135">
        <v>100</v>
      </c>
      <c r="E40" s="671"/>
      <c r="F40" s="436">
        <f>SUMIF(120:120,E40,121:121)-SUMIF(120:120,C40,121:121)+100</f>
        <v>100</v>
      </c>
      <c r="G40" s="671"/>
      <c r="H40" s="436">
        <f>SUMIF(120:120,G40,121:121)-SUMIF(120:120,C40,121:121)+100</f>
        <v>100</v>
      </c>
      <c r="I40" s="547"/>
      <c r="J40" s="436">
        <f>SUMIF(120:120,I40,121:121)-SUMIF(120:120,C40,121:121)+100</f>
        <v>100</v>
      </c>
      <c r="K40" s="678"/>
      <c r="L40" s="1131"/>
      <c r="M40" s="1134"/>
      <c r="N40" s="1134"/>
      <c r="O40" s="1135"/>
      <c r="P40" s="3195"/>
      <c r="Q40" s="1796">
        <f t="shared" si="14"/>
        <v>111</v>
      </c>
      <c r="R40" s="774" t="s">
        <v>17</v>
      </c>
      <c r="S40" s="775">
        <f t="shared" si="10"/>
        <v>100</v>
      </c>
      <c r="T40" s="774" t="s">
        <v>17</v>
      </c>
      <c r="U40" s="775">
        <f t="shared" si="11"/>
        <v>100</v>
      </c>
      <c r="V40" s="774" t="s">
        <v>17</v>
      </c>
      <c r="W40" s="775">
        <f t="shared" si="12"/>
        <v>100</v>
      </c>
      <c r="X40" s="776"/>
      <c r="Y40" s="3195"/>
      <c r="Z40" s="777">
        <f t="shared" si="13"/>
        <v>111</v>
      </c>
      <c r="AA40" s="1797">
        <f t="shared" si="3"/>
        <v>1</v>
      </c>
      <c r="AB40" s="1797">
        <f t="shared" si="4"/>
        <v>1</v>
      </c>
      <c r="AC40" s="1797">
        <f t="shared" si="5"/>
        <v>1</v>
      </c>
    </row>
    <row r="41" spans="1:29" ht="15">
      <c r="A41" s="477" t="s">
        <v>2715</v>
      </c>
      <c r="B41" s="2684" t="s">
        <v>2795</v>
      </c>
      <c r="C41" s="679" t="s">
        <v>1</v>
      </c>
      <c r="D41" s="479"/>
      <c r="E41" s="480"/>
      <c r="F41" s="481"/>
      <c r="G41" s="482"/>
      <c r="H41" s="483"/>
      <c r="I41" s="480"/>
      <c r="J41" s="483"/>
      <c r="K41" s="780"/>
      <c r="L41" s="1136"/>
      <c r="M41" s="1124"/>
      <c r="N41" s="1124"/>
      <c r="O41" s="1137"/>
      <c r="P41" s="3188" t="str">
        <f>A41</f>
        <v>成交单价</v>
      </c>
      <c r="Q41" s="3188"/>
      <c r="R41" s="3183">
        <f>E41</f>
        <v>0</v>
      </c>
      <c r="S41" s="3183"/>
      <c r="T41" s="3183">
        <f>G41</f>
        <v>0</v>
      </c>
      <c r="U41" s="3183"/>
      <c r="V41" s="3183">
        <f>I41</f>
        <v>0</v>
      </c>
      <c r="W41" s="3183"/>
      <c r="X41" s="756"/>
      <c r="Y41" s="778"/>
      <c r="Z41" s="756"/>
      <c r="AA41" s="756"/>
      <c r="AB41" s="756"/>
      <c r="AC41" s="756"/>
    </row>
    <row r="42" spans="1:29" ht="15.75" thickBot="1">
      <c r="A42" s="484" t="s">
        <v>2664</v>
      </c>
      <c r="B42" s="680"/>
      <c r="C42" s="488" t="e">
        <f>R43</f>
        <v>#DIV/0!</v>
      </c>
      <c r="D42" s="487"/>
      <c r="E42" s="488" t="e">
        <f>R42</f>
        <v>#DIV/0!</v>
      </c>
      <c r="F42" s="489"/>
      <c r="G42" s="486" t="e">
        <f>T42</f>
        <v>#DIV/0!</v>
      </c>
      <c r="H42" s="487"/>
      <c r="I42" s="488" t="e">
        <f>V42</f>
        <v>#DIV/0!</v>
      </c>
      <c r="J42" s="487"/>
      <c r="K42" s="781"/>
      <c r="L42" s="1136"/>
      <c r="M42" s="1124"/>
      <c r="N42" s="1124"/>
      <c r="O42" s="1137"/>
      <c r="P42" s="3188" t="str">
        <f>A42</f>
        <v>比较价值（元/平方米）</v>
      </c>
      <c r="Q42" s="3188"/>
      <c r="R42" s="3250" t="e">
        <f>ROUND(PRODUCT(R41,AA7:AA40),0)</f>
        <v>#DIV/0!</v>
      </c>
      <c r="S42" s="3250"/>
      <c r="T42" s="3250" t="e">
        <f>ROUND(PRODUCT(T41,AB7:AB40),0)</f>
        <v>#DIV/0!</v>
      </c>
      <c r="U42" s="3250"/>
      <c r="V42" s="3250" t="e">
        <f>ROUND(PRODUCT(V41,AC7:AC40),0)</f>
        <v>#DIV/0!</v>
      </c>
      <c r="W42" s="3250"/>
      <c r="X42" s="756"/>
      <c r="Y42" s="756"/>
      <c r="Z42" s="756"/>
      <c r="AA42" s="756"/>
      <c r="AB42" s="756"/>
      <c r="AC42" s="756"/>
    </row>
    <row r="43" spans="1:29" ht="15.75" thickBot="1">
      <c r="A43" s="490" t="s">
        <v>2665</v>
      </c>
      <c r="B43" s="491"/>
      <c r="C43" s="492" t="e">
        <f>R43</f>
        <v>#DIV/0!</v>
      </c>
      <c r="D43" s="492"/>
      <c r="E43" s="492"/>
      <c r="F43" s="492"/>
      <c r="G43" s="492"/>
      <c r="H43" s="492"/>
      <c r="I43" s="492"/>
      <c r="J43" s="492"/>
      <c r="K43" s="782"/>
      <c r="L43" s="1136"/>
      <c r="M43" s="1124"/>
      <c r="N43" s="1124"/>
      <c r="O43" s="1137"/>
      <c r="P43" s="3185" t="str">
        <f>A43</f>
        <v>估价对象XX用房的比较价值（楼面单价，元/平方米）</v>
      </c>
      <c r="Q43" s="3186"/>
      <c r="R43" s="3251" t="e">
        <f>ROUND(AVERAGE(R42:V42),0)</f>
        <v>#DIV/0!</v>
      </c>
      <c r="S43" s="3251"/>
      <c r="T43" s="3251"/>
      <c r="U43" s="3251"/>
      <c r="V43" s="3251"/>
      <c r="W43" s="3251"/>
      <c r="X43" s="756"/>
      <c r="Y43" s="756"/>
      <c r="Z43" s="756"/>
      <c r="AA43" s="756"/>
      <c r="AB43" s="756"/>
      <c r="AC43" s="756"/>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9"/>
      <c r="D49" s="757"/>
      <c r="E49" s="757"/>
      <c r="F49" s="757"/>
      <c r="G49" s="757"/>
      <c r="H49" s="757"/>
      <c r="I49" s="757"/>
      <c r="J49" s="757"/>
      <c r="K49" s="1141"/>
      <c r="L49" s="1142"/>
      <c r="M49" s="1138"/>
      <c r="N49" s="1138"/>
      <c r="O49" s="1138"/>
    </row>
    <row r="50" spans="1:17" ht="27">
      <c r="A50" s="681" t="s">
        <v>2753</v>
      </c>
      <c r="B50" s="682" t="s">
        <v>2754</v>
      </c>
      <c r="C50" s="2685" t="s">
        <v>2755</v>
      </c>
      <c r="D50" s="2686" t="s">
        <v>2756</v>
      </c>
      <c r="E50" s="683" t="s">
        <v>2757</v>
      </c>
      <c r="F50" s="684" t="s">
        <v>2758</v>
      </c>
      <c r="G50" s="3171" t="s">
        <v>2759</v>
      </c>
      <c r="H50" s="3252"/>
      <c r="I50" s="1800" t="s">
        <v>2796</v>
      </c>
      <c r="J50" s="1800" t="str">
        <f>项目基本情况!F35</f>
        <v>天津市</v>
      </c>
      <c r="K50" s="2688" t="s">
        <v>2761</v>
      </c>
      <c r="L50" s="1099"/>
      <c r="M50" s="1137"/>
      <c r="N50" s="1137"/>
      <c r="O50" s="1137"/>
    </row>
    <row r="51" spans="1:17" s="689" customFormat="1">
      <c r="A51" s="685" t="s">
        <v>2762</v>
      </c>
      <c r="B51" s="686" t="e">
        <f>C43</f>
        <v>#DIV/0!</v>
      </c>
      <c r="C51" s="687">
        <v>1</v>
      </c>
      <c r="D51" s="1156">
        <v>1</v>
      </c>
      <c r="E51" s="687">
        <f>'数据-汇总表'!E8+'数据-汇总表'!E9</f>
        <v>27977.08</v>
      </c>
      <c r="F51" s="688" t="e">
        <f t="shared" ref="F51:F60" si="15">ROUND(B51*E51/10000,0)</f>
        <v>#DIV/0!</v>
      </c>
      <c r="G51" s="3170"/>
      <c r="H51" s="3188"/>
      <c r="I51" s="935">
        <v>1</v>
      </c>
      <c r="J51" s="935">
        <v>1</v>
      </c>
      <c r="K51" s="1138"/>
      <c r="L51" s="934"/>
      <c r="M51" s="934"/>
      <c r="N51" s="934"/>
      <c r="O51" s="934"/>
    </row>
    <row r="52" spans="1:17" s="689" customFormat="1">
      <c r="A52" s="690" t="s">
        <v>2763</v>
      </c>
      <c r="B52" s="260" t="e">
        <f>ROUND($C$43*C52*D52,0)</f>
        <v>#DIV/0!</v>
      </c>
      <c r="C52" s="198">
        <f t="shared" ref="C52:C60" si="16">IF($C$50="北京市系数",I52,J52)</f>
        <v>0</v>
      </c>
      <c r="D52" s="1157">
        <v>0.25</v>
      </c>
      <c r="E52" s="691"/>
      <c r="F52" s="688" t="e">
        <f t="shared" si="15"/>
        <v>#DIV/0!</v>
      </c>
      <c r="G52" s="3253" t="s">
        <v>2764</v>
      </c>
      <c r="H52" s="1097">
        <f>项目基本情况!B37</f>
        <v>0</v>
      </c>
      <c r="I52" s="935">
        <f>SUMIF(修正!A45:A56,H52,修正!B45:B56)</f>
        <v>0</v>
      </c>
      <c r="J52" s="936"/>
      <c r="K52" s="1137"/>
      <c r="L52" s="934"/>
      <c r="M52" s="934"/>
      <c r="N52" s="934"/>
      <c r="O52" s="934"/>
    </row>
    <row r="53" spans="1:17" s="689" customFormat="1">
      <c r="A53" s="690" t="s">
        <v>2765</v>
      </c>
      <c r="B53" s="260" t="e">
        <f t="shared" ref="B53:B60" si="17">ROUND($C$43*C53*D53,0)</f>
        <v>#DIV/0!</v>
      </c>
      <c r="C53" s="198">
        <f t="shared" si="16"/>
        <v>0</v>
      </c>
      <c r="D53" s="1157">
        <v>0.25</v>
      </c>
      <c r="E53" s="691"/>
      <c r="F53" s="688" t="e">
        <f t="shared" si="15"/>
        <v>#DIV/0!</v>
      </c>
      <c r="G53" s="3253"/>
      <c r="H53" s="1097">
        <f>项目基本情况!B37</f>
        <v>0</v>
      </c>
      <c r="I53" s="935">
        <f>SUMIF(修正!A45:A56,H53,修正!C45:C56)</f>
        <v>0</v>
      </c>
      <c r="J53" s="936"/>
      <c r="K53" s="1138"/>
      <c r="L53" s="934"/>
      <c r="M53" s="934"/>
      <c r="N53" s="934"/>
      <c r="O53" s="934"/>
    </row>
    <row r="54" spans="1:17" s="689" customFormat="1">
      <c r="A54" s="690" t="s">
        <v>2766</v>
      </c>
      <c r="B54" s="260" t="e">
        <f t="shared" si="17"/>
        <v>#DIV/0!</v>
      </c>
      <c r="C54" s="198">
        <f t="shared" si="16"/>
        <v>0</v>
      </c>
      <c r="D54" s="1157">
        <v>0.25</v>
      </c>
      <c r="E54" s="691"/>
      <c r="F54" s="688" t="e">
        <f t="shared" si="15"/>
        <v>#DIV/0!</v>
      </c>
      <c r="G54" s="3253"/>
      <c r="H54" s="1097">
        <f>项目基本情况!B37</f>
        <v>0</v>
      </c>
      <c r="I54" s="935">
        <f>SUMIF(修正!A45:A56,H54,修正!D45:D56)</f>
        <v>0</v>
      </c>
      <c r="J54" s="936"/>
      <c r="K54" s="1137"/>
      <c r="L54" s="934"/>
      <c r="M54" s="934"/>
      <c r="N54" s="934"/>
      <c r="O54" s="934"/>
    </row>
    <row r="55" spans="1:17" s="689" customFormat="1">
      <c r="A55" s="690" t="s">
        <v>2767</v>
      </c>
      <c r="B55" s="260" t="e">
        <f t="shared" si="17"/>
        <v>#DIV/0!</v>
      </c>
      <c r="C55" s="198">
        <f t="shared" si="16"/>
        <v>0</v>
      </c>
      <c r="D55" s="1157">
        <v>0.25</v>
      </c>
      <c r="E55" s="691"/>
      <c r="F55" s="688" t="e">
        <f t="shared" si="15"/>
        <v>#DIV/0!</v>
      </c>
      <c r="G55" s="3253"/>
      <c r="H55" s="1097">
        <f>项目基本情况!B37</f>
        <v>0</v>
      </c>
      <c r="I55" s="935">
        <f>SUMIF(修正!A45:A56,H55,修正!E45:E56)</f>
        <v>0</v>
      </c>
      <c r="J55" s="936"/>
      <c r="K55" s="1138"/>
      <c r="L55" s="934"/>
      <c r="M55" s="934"/>
      <c r="N55" s="934"/>
      <c r="O55" s="934"/>
    </row>
    <row r="56" spans="1:17" s="689" customFormat="1">
      <c r="A56" s="690" t="s">
        <v>2768</v>
      </c>
      <c r="B56" s="260" t="e">
        <f t="shared" si="17"/>
        <v>#DIV/0!</v>
      </c>
      <c r="C56" s="198">
        <f t="shared" si="16"/>
        <v>0</v>
      </c>
      <c r="D56" s="1157">
        <v>0.25</v>
      </c>
      <c r="E56" s="259">
        <f>'数据-汇总表'!E11</f>
        <v>0</v>
      </c>
      <c r="F56" s="688" t="e">
        <f t="shared" si="15"/>
        <v>#DIV/0!</v>
      </c>
      <c r="G56" s="2689" t="s">
        <v>2769</v>
      </c>
      <c r="H56" s="1097">
        <f>项目基本情况!C37</f>
        <v>0</v>
      </c>
      <c r="I56" s="935">
        <f>SUMIF(修正!A45:A56,H56,修正!F45:F56)</f>
        <v>0</v>
      </c>
      <c r="J56" s="936"/>
      <c r="K56" s="1137"/>
      <c r="L56" s="934"/>
      <c r="M56" s="934"/>
      <c r="N56" s="934"/>
      <c r="O56" s="934"/>
    </row>
    <row r="57" spans="1:17" s="689" customFormat="1">
      <c r="A57" s="690" t="s">
        <v>2770</v>
      </c>
      <c r="B57" s="260" t="e">
        <f t="shared" si="17"/>
        <v>#DIV/0!</v>
      </c>
      <c r="C57" s="198">
        <f t="shared" si="16"/>
        <v>0</v>
      </c>
      <c r="D57" s="1157">
        <v>0.25</v>
      </c>
      <c r="E57" s="259">
        <f>'数据-汇总表'!E12</f>
        <v>0</v>
      </c>
      <c r="F57" s="688" t="e">
        <f t="shared" si="15"/>
        <v>#DIV/0!</v>
      </c>
      <c r="G57" s="1102" t="s">
        <v>2771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9" customFormat="1">
      <c r="A58" s="690" t="s">
        <v>2772</v>
      </c>
      <c r="B58" s="260" t="e">
        <f t="shared" si="17"/>
        <v>#DIV/0!</v>
      </c>
      <c r="C58" s="198">
        <f t="shared" si="16"/>
        <v>0</v>
      </c>
      <c r="D58" s="1157">
        <v>0.25</v>
      </c>
      <c r="E58" s="259">
        <f>'数据-汇总表'!E13</f>
        <v>0</v>
      </c>
      <c r="F58" s="688" t="e">
        <f t="shared" si="15"/>
        <v>#DIV/0!</v>
      </c>
      <c r="G58" s="1102" t="s">
        <v>2773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9" customFormat="1">
      <c r="A59" s="690" t="s">
        <v>2774</v>
      </c>
      <c r="B59" s="260" t="e">
        <f t="shared" si="17"/>
        <v>#DIV/0!</v>
      </c>
      <c r="C59" s="198">
        <f t="shared" si="16"/>
        <v>0</v>
      </c>
      <c r="D59" s="1157">
        <v>0.25</v>
      </c>
      <c r="E59" s="259">
        <f>'数据-汇总表'!E14</f>
        <v>0</v>
      </c>
      <c r="F59" s="688" t="e">
        <f t="shared" si="15"/>
        <v>#DIV/0!</v>
      </c>
      <c r="G59" s="2689" t="s">
        <v>2764</v>
      </c>
      <c r="H59" s="1097">
        <f>项目基本情况!B37</f>
        <v>0</v>
      </c>
      <c r="I59" s="935">
        <f>SUMIF(修正!A45:A56,H59,修正!H45:H56)</f>
        <v>0</v>
      </c>
      <c r="J59" s="936"/>
      <c r="K59" s="1138"/>
      <c r="L59" s="934"/>
      <c r="M59" s="934"/>
      <c r="N59" s="934"/>
      <c r="O59" s="934"/>
    </row>
    <row r="60" spans="1:17" s="689" customFormat="1" ht="15" thickBot="1">
      <c r="A60" s="690" t="s">
        <v>2775</v>
      </c>
      <c r="B60" s="260" t="e">
        <f t="shared" si="17"/>
        <v>#DIV/0!</v>
      </c>
      <c r="C60" s="198">
        <f t="shared" si="16"/>
        <v>0</v>
      </c>
      <c r="D60" s="1157">
        <v>0.25</v>
      </c>
      <c r="E60" s="259">
        <f>'数据-汇总表'!E15</f>
        <v>0</v>
      </c>
      <c r="F60" s="688" t="e">
        <f t="shared" si="15"/>
        <v>#DIV/0!</v>
      </c>
      <c r="G60" s="2690" t="s">
        <v>2769</v>
      </c>
      <c r="H60" s="1107">
        <f>项目基本情况!C37</f>
        <v>0</v>
      </c>
      <c r="I60" s="935">
        <f>SUMIF(修正!A45:A56,H60,修正!H45:H56)</f>
        <v>0</v>
      </c>
      <c r="J60" s="936"/>
      <c r="K60" s="1137"/>
      <c r="L60" s="934"/>
      <c r="M60" s="934"/>
      <c r="N60" s="934"/>
      <c r="O60" s="934"/>
    </row>
    <row r="61" spans="1:17" s="689" customFormat="1" ht="15" thickBot="1">
      <c r="A61" s="692" t="s">
        <v>2776</v>
      </c>
      <c r="B61" s="693" t="s">
        <v>28</v>
      </c>
      <c r="C61" s="693" t="s">
        <v>29</v>
      </c>
      <c r="D61" s="693" t="s">
        <v>1029</v>
      </c>
      <c r="E61" s="693">
        <f>IF(B41="楼面地价",SUM(E51:E60),'数据-汇总表'!D3)</f>
        <v>2337.9</v>
      </c>
      <c r="F61" s="694"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8" t="str">
        <f>YEAR(C7)&amp;"-"&amp;MONTH(C7)&amp;"-1"</f>
        <v>2017-11-1</v>
      </c>
      <c r="D63" s="758">
        <f>EDATE(C63,-3)</f>
        <v>42948</v>
      </c>
      <c r="E63" s="758">
        <f>EDATE(D63,-3)</f>
        <v>42856</v>
      </c>
      <c r="F63" s="758">
        <f t="shared" ref="F63:O63" si="18">EDATE(E63,-3)</f>
        <v>42767</v>
      </c>
      <c r="G63" s="758">
        <f t="shared" si="18"/>
        <v>42675</v>
      </c>
      <c r="H63" s="758">
        <f t="shared" si="18"/>
        <v>42583</v>
      </c>
      <c r="I63" s="758">
        <f t="shared" si="18"/>
        <v>42491</v>
      </c>
      <c r="J63" s="758">
        <f t="shared" si="18"/>
        <v>42401</v>
      </c>
      <c r="K63" s="758">
        <f t="shared" si="18"/>
        <v>42309</v>
      </c>
      <c r="L63" s="758">
        <f t="shared" si="18"/>
        <v>42217</v>
      </c>
      <c r="M63" s="758">
        <f t="shared" si="18"/>
        <v>42125</v>
      </c>
      <c r="N63" s="758">
        <f t="shared" si="18"/>
        <v>42036</v>
      </c>
      <c r="O63" s="758">
        <f t="shared" si="18"/>
        <v>41944</v>
      </c>
    </row>
    <row r="64" spans="1:17" ht="21.75" thickBot="1">
      <c r="A64" s="760" t="s">
        <v>2669</v>
      </c>
      <c r="B64" s="756"/>
      <c r="C64" s="761"/>
      <c r="D64" s="761"/>
      <c r="E64" s="761"/>
      <c r="F64" s="762"/>
      <c r="G64" s="762"/>
      <c r="H64" s="761"/>
      <c r="I64" s="761"/>
      <c r="J64" s="761"/>
      <c r="K64" s="763"/>
      <c r="L64" s="764"/>
      <c r="M64" s="761"/>
      <c r="N64" s="761"/>
      <c r="O64" s="1152"/>
      <c r="P64" s="501"/>
      <c r="Q64" s="502"/>
    </row>
    <row r="65" spans="1:17" s="506" customFormat="1" ht="15">
      <c r="A65" s="2691" t="s">
        <v>2777</v>
      </c>
      <c r="B65" s="1344"/>
      <c r="C65" s="1558" t="str">
        <f>YEAR(C63)&amp;"-"&amp;ROUNDUP(MONTH(C63)/3,0)</f>
        <v>2017-4</v>
      </c>
      <c r="D65" s="1558" t="str">
        <f t="shared" ref="D65:O65" si="19">YEAR(D63)&amp;"-"&amp;ROUNDUP(MONTH(D63)/3,0)</f>
        <v>2017-3</v>
      </c>
      <c r="E65" s="1558" t="str">
        <f t="shared" si="19"/>
        <v>2017-2</v>
      </c>
      <c r="F65" s="1558" t="str">
        <f t="shared" si="19"/>
        <v>2017-1</v>
      </c>
      <c r="G65" s="1558" t="str">
        <f t="shared" si="19"/>
        <v>2016-4</v>
      </c>
      <c r="H65" s="1558" t="str">
        <f t="shared" si="19"/>
        <v>2016-3</v>
      </c>
      <c r="I65" s="1558" t="str">
        <f t="shared" si="19"/>
        <v>2016-2</v>
      </c>
      <c r="J65" s="1558" t="str">
        <f t="shared" si="19"/>
        <v>2016-1</v>
      </c>
      <c r="K65" s="1558" t="str">
        <f t="shared" si="19"/>
        <v>2015-4</v>
      </c>
      <c r="L65" s="1558" t="str">
        <f t="shared" si="19"/>
        <v>2015-3</v>
      </c>
      <c r="M65" s="1558" t="str">
        <f t="shared" si="19"/>
        <v>2015-2</v>
      </c>
      <c r="N65" s="1558" t="str">
        <f t="shared" si="19"/>
        <v>2015-1</v>
      </c>
      <c r="O65" s="1558" t="str">
        <f t="shared" si="19"/>
        <v>2014-4</v>
      </c>
      <c r="P65" s="505"/>
    </row>
    <row r="66" spans="1:17" s="115" customFormat="1" ht="30.75" customHeight="1">
      <c r="A66" s="2696" t="s">
        <v>2797</v>
      </c>
      <c r="B66" s="330" t="str">
        <f>"北京市平均增长率"&amp;TEXT(基准地价修正!P24,"0.00%")</f>
        <v>北京市平均增长率1.39%</v>
      </c>
      <c r="C66" s="601">
        <v>100</v>
      </c>
      <c r="D66" s="593"/>
      <c r="E66" s="593"/>
      <c r="F66" s="593"/>
      <c r="G66" s="593"/>
      <c r="H66" s="593"/>
      <c r="I66" s="593"/>
      <c r="J66" s="593"/>
      <c r="K66" s="593"/>
      <c r="L66" s="593"/>
      <c r="M66" s="1553"/>
      <c r="N66" s="1553"/>
      <c r="O66" s="1555"/>
      <c r="P66" s="502"/>
    </row>
    <row r="67" spans="1:17" s="115" customFormat="1" ht="15.75" thickBot="1">
      <c r="A67" s="513" t="s">
        <v>2580</v>
      </c>
      <c r="B67" s="514"/>
      <c r="C67" s="515"/>
      <c r="D67" s="516"/>
      <c r="E67" s="516"/>
      <c r="F67" s="516"/>
      <c r="G67" s="516"/>
      <c r="H67" s="516"/>
      <c r="I67" s="516"/>
      <c r="J67" s="516"/>
      <c r="K67" s="516"/>
      <c r="L67" s="516"/>
      <c r="M67" s="517"/>
      <c r="N67" s="517"/>
      <c r="O67" s="518"/>
      <c r="P67" s="502"/>
      <c r="Q67" s="502"/>
    </row>
    <row r="68" spans="1:17" s="115" customFormat="1" ht="15">
      <c r="A68" s="519" t="s">
        <v>2545</v>
      </c>
      <c r="B68" s="508"/>
      <c r="C68" s="520" t="s">
        <v>2647</v>
      </c>
      <c r="D68" s="521"/>
      <c r="E68" s="521"/>
      <c r="F68" s="521"/>
      <c r="G68" s="521"/>
      <c r="H68" s="521"/>
      <c r="I68" s="521"/>
      <c r="J68" s="521"/>
      <c r="K68" s="521"/>
      <c r="L68" s="522"/>
      <c r="M68" s="523"/>
      <c r="N68" s="1144"/>
      <c r="O68" s="1144"/>
      <c r="P68" s="524"/>
      <c r="Q68" s="502"/>
    </row>
    <row r="69" spans="1:17" s="115" customFormat="1" ht="15.75" thickBot="1">
      <c r="A69" s="519"/>
      <c r="B69" s="508"/>
      <c r="C69" s="636">
        <v>100</v>
      </c>
      <c r="D69" s="510"/>
      <c r="E69" s="510"/>
      <c r="F69" s="510"/>
      <c r="G69" s="510"/>
      <c r="H69" s="510"/>
      <c r="I69" s="510"/>
      <c r="J69" s="510"/>
      <c r="K69" s="510"/>
      <c r="L69" s="510"/>
      <c r="M69" s="512"/>
      <c r="N69" s="1144"/>
      <c r="O69" s="1144"/>
      <c r="P69" s="502"/>
      <c r="Q69" s="502"/>
    </row>
    <row r="70" spans="1:17">
      <c r="A70" s="525" t="s">
        <v>2583</v>
      </c>
      <c r="B70" s="526" t="s">
        <v>2549</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2552</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2553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2554</v>
      </c>
      <c r="B83" s="526" t="s">
        <v>2700</v>
      </c>
      <c r="C83" s="571" t="s">
        <v>2592</v>
      </c>
      <c r="D83" s="571" t="s">
        <v>2593</v>
      </c>
      <c r="E83" s="571" t="s">
        <v>2594</v>
      </c>
      <c r="F83" s="571" t="s">
        <v>2595</v>
      </c>
      <c r="G83" s="571" t="s">
        <v>2596</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2597</v>
      </c>
      <c r="C85" s="576" t="s">
        <v>2592</v>
      </c>
      <c r="D85" s="576" t="s">
        <v>2593</v>
      </c>
      <c r="E85" s="576" t="s">
        <v>2594</v>
      </c>
      <c r="F85" s="576" t="s">
        <v>2595</v>
      </c>
      <c r="G85" s="576" t="s">
        <v>2596</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5" customFormat="1" ht="15.75" thickTop="1">
      <c r="A87" s="577"/>
      <c r="B87" s="536" t="s">
        <v>2780</v>
      </c>
      <c r="C87" s="571" t="s">
        <v>2592</v>
      </c>
      <c r="D87" s="571" t="s">
        <v>2593</v>
      </c>
      <c r="E87" s="571" t="s">
        <v>2594</v>
      </c>
      <c r="F87" s="571" t="s">
        <v>2595</v>
      </c>
      <c r="G87" s="571" t="s">
        <v>2596</v>
      </c>
      <c r="H87" s="576"/>
      <c r="I87" s="576"/>
      <c r="J87" s="576"/>
      <c r="K87" s="576"/>
      <c r="L87" s="695"/>
      <c r="M87" s="619"/>
      <c r="N87" s="1144"/>
      <c r="O87" s="1144"/>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5" customFormat="1" ht="27.75" thickTop="1">
      <c r="A89" s="577"/>
      <c r="B89" s="536" t="s">
        <v>2781</v>
      </c>
      <c r="C89" s="571" t="s">
        <v>2592</v>
      </c>
      <c r="D89" s="571" t="s">
        <v>2593</v>
      </c>
      <c r="E89" s="571" t="s">
        <v>2594</v>
      </c>
      <c r="F89" s="571" t="s">
        <v>2595</v>
      </c>
      <c r="G89" s="571" t="s">
        <v>2596</v>
      </c>
      <c r="H89" s="576"/>
      <c r="I89" s="576"/>
      <c r="J89" s="576"/>
      <c r="K89" s="576"/>
      <c r="L89" s="576"/>
      <c r="M89" s="619"/>
      <c r="N89" s="1144"/>
      <c r="O89" s="1144"/>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2649</v>
      </c>
      <c r="C91" s="571" t="s">
        <v>2592</v>
      </c>
      <c r="D91" s="571" t="s">
        <v>2593</v>
      </c>
      <c r="E91" s="571" t="s">
        <v>2594</v>
      </c>
      <c r="F91" s="571" t="s">
        <v>2595</v>
      </c>
      <c r="G91" s="571" t="s">
        <v>2596</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2798</v>
      </c>
      <c r="C93" s="657" t="s">
        <v>2670</v>
      </c>
      <c r="D93" s="657" t="s">
        <v>2671</v>
      </c>
      <c r="E93" s="657" t="s">
        <v>2672</v>
      </c>
      <c r="F93" s="657" t="s">
        <v>2673</v>
      </c>
      <c r="G93" s="657" t="s">
        <v>2674</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0"/>
      <c r="N94" s="1147"/>
      <c r="O94" s="1147"/>
      <c r="P94" s="556"/>
      <c r="Q94" s="557"/>
    </row>
    <row r="95" spans="1:17" ht="15.75" thickTop="1">
      <c r="A95" s="532"/>
      <c r="B95" s="536" t="str">
        <f>B27</f>
        <v>临街状况</v>
      </c>
      <c r="C95" s="537" t="s">
        <v>2782</v>
      </c>
      <c r="D95" s="537" t="s">
        <v>2783</v>
      </c>
      <c r="E95" s="537" t="s">
        <v>2784</v>
      </c>
      <c r="F95" s="537" t="s">
        <v>2785</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2686</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2745</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2"/>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4"/>
      <c r="H106" s="674"/>
      <c r="I106" s="674"/>
      <c r="J106" s="674"/>
      <c r="K106" s="674"/>
      <c r="L106" s="674"/>
      <c r="M106" s="696"/>
      <c r="N106" s="1146"/>
      <c r="O106" s="1146"/>
      <c r="P106" s="556"/>
      <c r="Q106" s="557"/>
    </row>
    <row r="107" spans="1:17">
      <c r="A107" s="525" t="s">
        <v>2558</v>
      </c>
      <c r="B107" s="526" t="s">
        <v>2786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2" t="str">
        <f t="shared" si="25"/>
        <v>(含)-</v>
      </c>
      <c r="L107" s="1752" t="str">
        <f t="shared" si="25"/>
        <v>(含)-</v>
      </c>
      <c r="M107" s="1753"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2787</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2789</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2790</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7"/>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76" customWidth="1"/>
    <col min="2" max="2" width="19.25" style="2882" customWidth="1"/>
    <col min="3" max="4" width="12" style="2700"/>
    <col min="5" max="5" width="14.625" style="2700" customWidth="1"/>
    <col min="6" max="8" width="12" style="2700"/>
    <col min="9" max="9" width="12.25" style="2700" bestFit="1" customWidth="1"/>
    <col min="10" max="10" width="12" style="2700"/>
    <col min="11" max="11" width="8.125" style="2768" customWidth="1"/>
    <col min="12" max="12" width="12" style="2700"/>
    <col min="13" max="13" width="8.5" style="2700" customWidth="1"/>
    <col min="14" max="14" width="9.75" style="2700" customWidth="1"/>
    <col min="15" max="25" width="12" style="2700"/>
    <col min="26" max="26" width="9.375" style="2776" customWidth="1"/>
    <col min="27" max="32" width="9.375" style="1357" customWidth="1"/>
    <col min="33" max="36" width="9.375" style="2776" customWidth="1"/>
    <col min="37" max="38" width="9.375" style="2700" customWidth="1"/>
    <col min="39" max="16384" width="12" style="2700"/>
  </cols>
  <sheetData>
    <row r="1" spans="1:36" ht="28.5">
      <c r="A1" s="238" t="s">
        <v>2799</v>
      </c>
      <c r="B1" s="239"/>
      <c r="C1" s="243" t="s">
        <v>2800</v>
      </c>
      <c r="D1" s="386">
        <f>SUM(D29:D30,D33:D39)</f>
        <v>0</v>
      </c>
      <c r="E1" s="2697"/>
      <c r="F1" s="2697"/>
      <c r="G1" s="2697"/>
      <c r="H1" s="2697"/>
      <c r="I1" s="2697"/>
      <c r="J1" s="2697"/>
      <c r="K1" s="1355"/>
      <c r="L1" s="2698" t="s">
        <v>2801</v>
      </c>
      <c r="M1" s="1073">
        <f>SUMPRODUCT((区片价!B5:B9=I2)*(区片价!C3:F3=E2)*(区片价!C5:F9))</f>
        <v>0</v>
      </c>
      <c r="N1" s="1076">
        <f>SUMPRODUCT((因素修正幅度!B5:B9=I2)*(因素修正幅度!C3:F3=E2)*(因素修正幅度!C5:F9))</f>
        <v>0</v>
      </c>
      <c r="O1" s="2699"/>
      <c r="P1" s="2699"/>
      <c r="Q1" s="1355"/>
      <c r="R1" s="1588" t="s">
        <v>2802</v>
      </c>
      <c r="S1" s="1588" t="s">
        <v>2803</v>
      </c>
      <c r="T1" s="1588" t="s">
        <v>2804</v>
      </c>
      <c r="U1" s="1588" t="s">
        <v>2805</v>
      </c>
      <c r="V1" s="1588" t="s">
        <v>2806</v>
      </c>
      <c r="W1" s="1592"/>
      <c r="X1" s="1592"/>
      <c r="Y1" s="1592"/>
      <c r="Z1" s="1592"/>
      <c r="AA1" s="1592"/>
      <c r="AB1" s="1592"/>
      <c r="AC1" s="1593"/>
      <c r="AD1" s="1594"/>
      <c r="AE1" s="1594"/>
      <c r="AF1" s="1594"/>
      <c r="AG1" s="1594"/>
      <c r="AH1" s="1594"/>
      <c r="AI1" s="1594"/>
      <c r="AJ1" s="1595"/>
    </row>
    <row r="2" spans="1:36" ht="15.75">
      <c r="A2" s="243" t="s">
        <v>2807</v>
      </c>
      <c r="B2" s="246" t="e">
        <f>C26</f>
        <v>#DIV/0!</v>
      </c>
      <c r="C2" s="2701" t="s">
        <v>2808</v>
      </c>
      <c r="D2" s="2702" t="s">
        <v>2809</v>
      </c>
      <c r="E2" s="2703"/>
      <c r="F2" s="2702" t="s">
        <v>2810</v>
      </c>
      <c r="G2" s="2704">
        <f>IF(E2="商业",项目基本情况!B37,IF(E2="办公",项目基本情况!C37,IF(E2="住宅",项目基本情况!D37,项目基本情况!E37)))</f>
        <v>0</v>
      </c>
      <c r="H2" s="2702" t="s">
        <v>2811</v>
      </c>
      <c r="I2" s="2704">
        <f>IF(E2="商业",项目基本情况!B38,IF(E2="办公",项目基本情况!C38,IF(E2="住宅",项目基本情况!D38,项目基本情况!E38)))</f>
        <v>0</v>
      </c>
      <c r="J2" s="2705"/>
      <c r="K2" s="1355"/>
      <c r="L2" s="2706" t="s">
        <v>2812</v>
      </c>
      <c r="M2" s="1074">
        <f>SUMPRODUCT((区片价!B10:B28=I2)*(区片价!C3:F3=E2)*(区片价!C10:F28))</f>
        <v>0</v>
      </c>
      <c r="N2" s="1076">
        <f>SUMPRODUCT((因素修正幅度!B10:B28=I2)*(因素修正幅度!C3:F3=E2)*(因素修正幅度!C10:F28))</f>
        <v>0</v>
      </c>
      <c r="O2" s="1355"/>
      <c r="P2" s="1355"/>
      <c r="Q2" s="1355"/>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5" t="s">
        <v>2813</v>
      </c>
      <c r="B3" s="246" t="e">
        <f>ROUND(B2*10000/D1,0)</f>
        <v>#DIV/0!</v>
      </c>
      <c r="C3" s="2701" t="s">
        <v>2814</v>
      </c>
      <c r="D3" s="2702" t="s">
        <v>2815</v>
      </c>
      <c r="E3" s="2707"/>
      <c r="F3" s="2708" t="s">
        <v>2816</v>
      </c>
      <c r="G3" s="906">
        <f>IF(F3="宗地容积率",'数据-汇总表'!I4,IF(F3="估价对象容积率",'数据-汇总表'!I6,'数据-汇总表'!I7))</f>
        <v>12.07</v>
      </c>
      <c r="H3" s="196" t="s">
        <v>2817</v>
      </c>
      <c r="I3" s="937"/>
      <c r="J3" s="2705" t="s">
        <v>2818</v>
      </c>
      <c r="K3" s="1355"/>
      <c r="L3" s="2706" t="s">
        <v>2819</v>
      </c>
      <c r="M3" s="1074">
        <f>SUMPRODUCT((区片价!B29:B48=I2)*(区片价!C3:F3=E2)*(区片价!C29:F48))</f>
        <v>0</v>
      </c>
      <c r="N3" s="1076">
        <f>SUMPRODUCT((因素修正幅度!B29:B48=I2)*(因素修正幅度!C3:F3=E2)*(因素修正幅度!C29:F48))</f>
        <v>0</v>
      </c>
      <c r="O3" s="1355"/>
      <c r="P3" s="1355"/>
      <c r="Q3" s="1355"/>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272"/>
      <c r="B4" s="3273"/>
      <c r="C4" s="3273"/>
      <c r="D4" s="3274"/>
      <c r="E4" s="3274"/>
      <c r="F4" s="3274"/>
      <c r="G4" s="3274"/>
      <c r="H4" s="3274"/>
      <c r="I4" s="3274"/>
      <c r="J4" s="3275"/>
      <c r="K4" s="1355"/>
      <c r="L4" s="2706" t="s">
        <v>2820</v>
      </c>
      <c r="M4" s="1074">
        <f>SUMPRODUCT((区片价!B49:B75=I2)*(区片价!C3:F3=E2)*(区片价!C49:F75))</f>
        <v>0</v>
      </c>
      <c r="N4" s="1076">
        <f>SUMPRODUCT((因素修正幅度!B49:B75=I2)*(因素修正幅度!C3:F3=E2)*(因素修正幅度!C49:F75))</f>
        <v>0</v>
      </c>
      <c r="O4" s="1355"/>
      <c r="P4" s="1355"/>
      <c r="Q4" s="1355"/>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18" customFormat="1" ht="15.75" thickBot="1">
      <c r="A5" s="2709" t="s">
        <v>807</v>
      </c>
      <c r="B5" s="2710" t="s">
        <v>2821</v>
      </c>
      <c r="C5" s="907" t="e">
        <f>ROUND(IF(E2="商业",IF(F16="增加",C6*C7+C16,C6*C7-C16),IF(E2="住宅",IF(F16="增加",C6*C12+C16,C6*C12-C16),IF(F16="增加",C6+C16,C6-C16))),0)</f>
        <v>#DIV/0!</v>
      </c>
      <c r="D5" s="1773">
        <f>ROUND(IF(E2="商业",IF(F16="增加",C6+C16,C6-C16)),0)</f>
        <v>0</v>
      </c>
      <c r="E5" s="2711"/>
      <c r="F5" s="2711"/>
      <c r="G5" s="2712"/>
      <c r="H5" s="2712"/>
      <c r="I5" s="2712"/>
      <c r="J5" s="2713"/>
      <c r="K5" s="2714"/>
      <c r="L5" s="2706" t="s">
        <v>2822</v>
      </c>
      <c r="M5" s="1074">
        <f>SUMPRODUCT((区片价!B76:B109=I2)*(区片价!C3:F3=E2)*(区片价!C76:F109))</f>
        <v>0</v>
      </c>
      <c r="N5" s="1076">
        <f>SUMPRODUCT((因素修正幅度!B76:B109=I2)*(因素修正幅度!C3:F3=E2)*(因素修正幅度!C76:F109))</f>
        <v>0</v>
      </c>
      <c r="O5" s="1355"/>
      <c r="P5" s="1355"/>
      <c r="Q5" s="1355"/>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15"/>
      <c r="AD5" s="2716"/>
      <c r="AE5" s="2716"/>
      <c r="AF5" s="2716"/>
      <c r="AG5" s="2716"/>
      <c r="AH5" s="2716"/>
      <c r="AI5" s="2716"/>
      <c r="AJ5" s="2717"/>
    </row>
    <row r="6" spans="1:36" ht="15.75" thickBot="1">
      <c r="A6" s="2719" t="s">
        <v>2823</v>
      </c>
      <c r="B6" s="2720" t="s">
        <v>2824</v>
      </c>
      <c r="C6" s="908">
        <f>SUMIF(L1:L12,G2,M1:M12)</f>
        <v>0</v>
      </c>
      <c r="D6" s="2721" t="s">
        <v>2825</v>
      </c>
      <c r="E6" s="2722"/>
      <c r="F6" s="2722"/>
      <c r="G6" s="2723"/>
      <c r="H6" s="2723"/>
      <c r="I6" s="2723"/>
      <c r="J6" s="2724"/>
      <c r="K6" s="1828"/>
      <c r="L6" s="2706" t="s">
        <v>2826</v>
      </c>
      <c r="M6" s="1074">
        <f>SUMPRODUCT((区片价!B110:B157=I2)*(区片价!C3:F3=E2)*(区片价!C110:F157))</f>
        <v>0</v>
      </c>
      <c r="N6" s="1076">
        <f>SUMPRODUCT((因素修正幅度!B110:B157=I2)*(因素修正幅度!C3:F3=E2)*(因素修正幅度!C110:F157))</f>
        <v>0</v>
      </c>
      <c r="O6" s="1355"/>
      <c r="P6" s="1355"/>
      <c r="Q6" s="1355"/>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15"/>
      <c r="AD6" s="2716"/>
      <c r="AE6" s="2716"/>
      <c r="AF6" s="2716"/>
      <c r="AG6" s="2716"/>
      <c r="AH6" s="2716"/>
      <c r="AI6" s="2716"/>
      <c r="AJ6" s="2717"/>
    </row>
    <row r="7" spans="1:36" ht="24">
      <c r="A7" s="3258" t="str">
        <f>IF(E2="商业",IF(C8="不临58条商业街","",2),"")</f>
        <v/>
      </c>
      <c r="B7" s="2725" t="s">
        <v>2827</v>
      </c>
      <c r="C7" s="909" t="e">
        <f>IF(C8="不临58条商业街",1,ROUND(1+(1.6*E8+1.2*E9+0.8*E10+0.4*E11)*C9,4))</f>
        <v>#DIV/0!</v>
      </c>
      <c r="D7" s="2726" t="s">
        <v>2828</v>
      </c>
      <c r="E7" s="938"/>
      <c r="F7" s="2727"/>
      <c r="G7" s="2728"/>
      <c r="H7" s="2728"/>
      <c r="I7" s="2728"/>
      <c r="J7" s="2729"/>
      <c r="K7" s="1828"/>
      <c r="L7" s="2706" t="s">
        <v>2829</v>
      </c>
      <c r="M7" s="1074">
        <f>SUMPRODUCT((区片价!B158:B205=I2)*(区片价!C3:F3=E2)*(区片价!C158:F205))</f>
        <v>0</v>
      </c>
      <c r="N7" s="1076">
        <f>SUMPRODUCT((因素修正幅度!B158:B205=I2)*(因素修正幅度!C3:F3=E2)*(因素修正幅度!C158:F205))</f>
        <v>0</v>
      </c>
      <c r="O7" s="1355"/>
      <c r="P7" s="1355"/>
      <c r="Q7" s="1355"/>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2830</v>
      </c>
      <c r="X7" s="1590">
        <f>G2</f>
        <v>0</v>
      </c>
      <c r="Y7" s="1590" t="s">
        <v>2831</v>
      </c>
      <c r="Z7" s="1591">
        <f>G3</f>
        <v>12.07</v>
      </c>
      <c r="AA7" s="1592"/>
      <c r="AB7" s="1592"/>
      <c r="AC7" s="1593"/>
      <c r="AD7" s="1594"/>
      <c r="AE7" s="1594"/>
      <c r="AF7" s="1594"/>
      <c r="AG7" s="1594"/>
      <c r="AH7" s="1594"/>
      <c r="AI7" s="1594"/>
      <c r="AJ7" s="1595"/>
    </row>
    <row r="8" spans="1:36" ht="15">
      <c r="A8" s="3259"/>
      <c r="B8" s="196" t="s">
        <v>2832</v>
      </c>
      <c r="C8" s="2730"/>
      <c r="D8" s="910" t="s">
        <v>139</v>
      </c>
      <c r="E8" s="911" t="e">
        <f>ROUND(C11/E7,4)</f>
        <v>#DIV/0!</v>
      </c>
      <c r="F8" s="2731" t="s">
        <v>2833</v>
      </c>
      <c r="G8" s="2732"/>
      <c r="H8" s="2732"/>
      <c r="I8" s="2732"/>
      <c r="J8" s="2733"/>
      <c r="K8" s="1355"/>
      <c r="L8" s="2706" t="s">
        <v>2834</v>
      </c>
      <c r="M8" s="1074">
        <f>SUMPRODUCT((区片价!B206:B244=I2)*(区片价!C3:F3=E2)*(区片价!C206:F244))</f>
        <v>0</v>
      </c>
      <c r="N8" s="1076">
        <f>SUMPRODUCT((因素修正幅度!B206:B244=I2)*(因素修正幅度!C3:F3=E2)*(因素修正幅度!C206:F244))</f>
        <v>0</v>
      </c>
      <c r="O8" s="1355"/>
      <c r="P8" s="1355"/>
      <c r="Q8" s="1355"/>
      <c r="R8" s="1588">
        <v>7</v>
      </c>
      <c r="S8" s="1589"/>
      <c r="T8" s="1588" t="e">
        <f t="shared" si="0"/>
        <v>#DIV/0!</v>
      </c>
      <c r="U8" s="1589"/>
      <c r="V8" s="1588" t="e">
        <f t="shared" si="1"/>
        <v>#DIV/0!</v>
      </c>
      <c r="W8" s="3269" t="s">
        <v>2835</v>
      </c>
      <c r="X8" s="3270"/>
      <c r="Y8" s="1596" t="s">
        <v>2836</v>
      </c>
      <c r="Z8" s="1596" t="s">
        <v>2837</v>
      </c>
      <c r="AA8" s="1596" t="s">
        <v>2838</v>
      </c>
      <c r="AB8" s="1596" t="s">
        <v>2839</v>
      </c>
      <c r="AC8" s="1596" t="s">
        <v>2840</v>
      </c>
      <c r="AD8" s="1596" t="s">
        <v>2841</v>
      </c>
      <c r="AE8" s="1596" t="s">
        <v>2842</v>
      </c>
      <c r="AF8" s="1596" t="s">
        <v>2843</v>
      </c>
      <c r="AG8" s="1596" t="s">
        <v>2844</v>
      </c>
      <c r="AH8" s="1596" t="s">
        <v>2845</v>
      </c>
      <c r="AI8" s="1596" t="s">
        <v>2846</v>
      </c>
      <c r="AJ8" s="1596" t="s">
        <v>2847</v>
      </c>
    </row>
    <row r="9" spans="1:36" ht="15">
      <c r="A9" s="3259"/>
      <c r="B9" s="196" t="s">
        <v>2848</v>
      </c>
      <c r="C9" s="912">
        <f>SUMIF(修正!C59:C119,C8,修正!E59:E119)</f>
        <v>0</v>
      </c>
      <c r="D9" s="198" t="s">
        <v>140</v>
      </c>
      <c r="E9" s="198" t="e">
        <f>ROUND(C11/E7,4)</f>
        <v>#DIV/0!</v>
      </c>
      <c r="F9" s="2731" t="s">
        <v>2849</v>
      </c>
      <c r="G9" s="2732"/>
      <c r="H9" s="2732"/>
      <c r="I9" s="2732"/>
      <c r="J9" s="2733"/>
      <c r="K9" s="1355"/>
      <c r="L9" s="2706" t="s">
        <v>2850</v>
      </c>
      <c r="M9" s="1074">
        <f>SUMPRODUCT((区片价!B245:B289=I2)*(区片价!C3:F3=E2)*(区片价!C245:F289))</f>
        <v>0</v>
      </c>
      <c r="N9" s="1076">
        <f>SUMPRODUCT((因素修正幅度!B245:B289=I2)*(因素修正幅度!C3:F3=E2)*(因素修正幅度!C245:F289))</f>
        <v>0</v>
      </c>
      <c r="O9" s="1355"/>
      <c r="P9" s="1355"/>
      <c r="Q9" s="1355"/>
      <c r="R9" s="1588">
        <v>8</v>
      </c>
      <c r="S9" s="1589"/>
      <c r="T9" s="1588" t="e">
        <f t="shared" si="0"/>
        <v>#DIV/0!</v>
      </c>
      <c r="U9" s="1589"/>
      <c r="V9" s="1588" t="e">
        <f t="shared" si="1"/>
        <v>#DIV/0!</v>
      </c>
      <c r="W9" s="3271" t="s">
        <v>2851</v>
      </c>
      <c r="X9" s="1597" t="s">
        <v>2852</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59"/>
      <c r="B10" s="196" t="s">
        <v>2853</v>
      </c>
      <c r="C10" s="198">
        <f>SUMIF(修正!C59:C119,C8,修正!F59:F119)</f>
        <v>0</v>
      </c>
      <c r="D10" s="198" t="s">
        <v>141</v>
      </c>
      <c r="E10" s="198" t="e">
        <f>ROUND(C11/E7,4)</f>
        <v>#DIV/0!</v>
      </c>
      <c r="F10" s="2731" t="s">
        <v>2854</v>
      </c>
      <c r="G10" s="2732"/>
      <c r="H10" s="2732"/>
      <c r="I10" s="2732"/>
      <c r="J10" s="2733"/>
      <c r="K10" s="1355"/>
      <c r="L10" s="2706" t="s">
        <v>2855</v>
      </c>
      <c r="M10" s="1074">
        <f>SUMPRODUCT((区片价!B290:B316=I2)*(区片价!C3:F3=E2)*(区片价!C290:F316))</f>
        <v>0</v>
      </c>
      <c r="N10" s="1076">
        <f>SUMPRODUCT((因素修正幅度!B290:B316=I2)*(因素修正幅度!C3:F3=E2)*(因素修正幅度!C290:F316))</f>
        <v>0</v>
      </c>
      <c r="O10" s="1355"/>
      <c r="P10" s="1355"/>
      <c r="Q10" s="1355"/>
      <c r="R10" s="1588">
        <v>9</v>
      </c>
      <c r="S10" s="1589"/>
      <c r="T10" s="1588" t="e">
        <f t="shared" si="0"/>
        <v>#DIV/0!</v>
      </c>
      <c r="U10" s="1589"/>
      <c r="V10" s="1588" t="e">
        <f t="shared" si="1"/>
        <v>#DIV/0!</v>
      </c>
      <c r="W10" s="3271"/>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59"/>
      <c r="B11" s="2734" t="s">
        <v>2856</v>
      </c>
      <c r="C11" s="913">
        <f>C10/4</f>
        <v>0</v>
      </c>
      <c r="D11" s="913" t="s">
        <v>142</v>
      </c>
      <c r="E11" s="913" t="e">
        <f>ROUND(C11/E7,4)</f>
        <v>#DIV/0!</v>
      </c>
      <c r="F11" s="2735" t="s">
        <v>2857</v>
      </c>
      <c r="G11" s="2736"/>
      <c r="H11" s="2736"/>
      <c r="I11" s="2736"/>
      <c r="J11" s="2737"/>
      <c r="K11" s="1355"/>
      <c r="L11" s="2706" t="s">
        <v>2858</v>
      </c>
      <c r="M11" s="1074">
        <f>SUMPRODUCT((区片价!B317:B337=I2)*(区片价!C3:F3=E2)*(区片价!C317:F337))</f>
        <v>0</v>
      </c>
      <c r="N11" s="1076">
        <f>SUMPRODUCT((因素修正幅度!B317:B337=I2)*(因素修正幅度!C3:F3=E2)*(因素修正幅度!C317:F337))</f>
        <v>0</v>
      </c>
      <c r="O11" s="1355"/>
      <c r="P11" s="1355"/>
      <c r="Q11" s="1355"/>
      <c r="R11" s="1588">
        <v>10</v>
      </c>
      <c r="S11" s="1589"/>
      <c r="T11" s="1588" t="e">
        <f t="shared" si="0"/>
        <v>#DIV/0!</v>
      </c>
      <c r="U11" s="1589"/>
      <c r="V11" s="1588" t="e">
        <f t="shared" si="1"/>
        <v>#DIV/0!</v>
      </c>
      <c r="W11" s="3271" t="s">
        <v>2859</v>
      </c>
      <c r="X11" s="1600" t="s">
        <v>2860</v>
      </c>
      <c r="Y11" s="1601">
        <f>$G$3</f>
        <v>12.07</v>
      </c>
      <c r="Z11" s="1601">
        <f t="shared" ref="Z11:AJ11" si="3">$G$3</f>
        <v>12.07</v>
      </c>
      <c r="AA11" s="1601">
        <f t="shared" si="3"/>
        <v>12.07</v>
      </c>
      <c r="AB11" s="1601">
        <f t="shared" si="3"/>
        <v>12.07</v>
      </c>
      <c r="AC11" s="1601">
        <f t="shared" si="3"/>
        <v>12.07</v>
      </c>
      <c r="AD11" s="1601">
        <f t="shared" si="3"/>
        <v>12.07</v>
      </c>
      <c r="AE11" s="1601">
        <f t="shared" si="3"/>
        <v>12.07</v>
      </c>
      <c r="AF11" s="1601">
        <f t="shared" si="3"/>
        <v>12.07</v>
      </c>
      <c r="AG11" s="1601">
        <f t="shared" si="3"/>
        <v>12.07</v>
      </c>
      <c r="AH11" s="1601">
        <f t="shared" si="3"/>
        <v>12.07</v>
      </c>
      <c r="AI11" s="1601">
        <f t="shared" si="3"/>
        <v>12.07</v>
      </c>
      <c r="AJ11" s="1601">
        <f t="shared" si="3"/>
        <v>12.07</v>
      </c>
    </row>
    <row r="12" spans="1:36" ht="25.5" thickBot="1">
      <c r="A12" s="3258" t="s">
        <v>2861</v>
      </c>
      <c r="B12" s="2738" t="s">
        <v>2862</v>
      </c>
      <c r="C12" s="909">
        <f>ROUND(C15*D15*E15*F15*G15*H15*I15*J15,4)</f>
        <v>1</v>
      </c>
      <c r="D12" s="2739" t="s">
        <v>2863</v>
      </c>
      <c r="E12" s="2740"/>
      <c r="F12" s="2740"/>
      <c r="G12" s="2741"/>
      <c r="H12" s="2741"/>
      <c r="I12" s="2741"/>
      <c r="J12" s="2742"/>
      <c r="K12" s="1355"/>
      <c r="L12" s="2743" t="s">
        <v>2864</v>
      </c>
      <c r="M12" s="1075">
        <f>SUMPRODUCT((区片价!B338:B344=I2)*(区片价!C3:F3=E2)*(区片价!C338:F344))</f>
        <v>0</v>
      </c>
      <c r="N12" s="1076">
        <f>SUMPRODUCT((因素修正幅度!B338:B344=I2)*(因素修正幅度!C3:F3=E2)*(因素修正幅度!C338:F344))</f>
        <v>0</v>
      </c>
      <c r="O12" s="1355"/>
      <c r="P12" s="1355"/>
      <c r="Q12" s="1355"/>
      <c r="R12" s="1588">
        <v>11</v>
      </c>
      <c r="S12" s="1589"/>
      <c r="T12" s="1588" t="e">
        <f t="shared" si="0"/>
        <v>#DIV/0!</v>
      </c>
      <c r="U12" s="1589"/>
      <c r="V12" s="1588" t="e">
        <f t="shared" si="1"/>
        <v>#DIV/0!</v>
      </c>
      <c r="W12" s="3271"/>
      <c r="X12" s="1602" t="s">
        <v>2865</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276"/>
      <c r="B13" s="2744" t="s">
        <v>2866</v>
      </c>
      <c r="C13" s="2745" t="s">
        <v>2867</v>
      </c>
      <c r="D13" s="1794" t="s">
        <v>2868</v>
      </c>
      <c r="E13" s="1794" t="s">
        <v>2869</v>
      </c>
      <c r="F13" s="30" t="s">
        <v>2870</v>
      </c>
      <c r="G13" s="2746" t="s">
        <v>2871</v>
      </c>
      <c r="H13" s="2746" t="s">
        <v>2871</v>
      </c>
      <c r="I13" s="2746" t="s">
        <v>2871</v>
      </c>
      <c r="J13" s="2747" t="s">
        <v>2871</v>
      </c>
      <c r="K13" s="1355"/>
      <c r="L13" s="1355"/>
      <c r="M13" s="1355"/>
      <c r="N13" s="1355"/>
      <c r="O13" s="1355"/>
      <c r="P13" s="1355"/>
      <c r="Q13" s="1355"/>
      <c r="R13" s="1588">
        <v>12</v>
      </c>
      <c r="S13" s="1589"/>
      <c r="T13" s="1588" t="e">
        <f t="shared" si="0"/>
        <v>#DIV/0!</v>
      </c>
      <c r="U13" s="1589"/>
      <c r="V13" s="1588" t="e">
        <f t="shared" si="1"/>
        <v>#DIV/0!</v>
      </c>
      <c r="W13" s="3271"/>
      <c r="X13" s="1602"/>
      <c r="Y13" s="1599">
        <f>(-0.163*(Y12^2)-0.59*Y12+7617)*(10^(-4))/Y11</f>
        <v>6.3106876553438274E-2</v>
      </c>
      <c r="Z13" s="1599">
        <f t="shared" ref="Z13:AJ13" si="5">(-0.163*(Z12^2)-0.59*Z12+7617)*(10^(-4))/Z11</f>
        <v>6.3106876553438274E-2</v>
      </c>
      <c r="AA13" s="1599">
        <f t="shared" si="5"/>
        <v>6.3106876553438274E-2</v>
      </c>
      <c r="AB13" s="1599">
        <f t="shared" si="5"/>
        <v>6.3106876553438274E-2</v>
      </c>
      <c r="AC13" s="1599">
        <f t="shared" si="5"/>
        <v>6.3106876553438274E-2</v>
      </c>
      <c r="AD13" s="1599">
        <f t="shared" si="5"/>
        <v>6.3106876553438274E-2</v>
      </c>
      <c r="AE13" s="1599">
        <f t="shared" si="5"/>
        <v>6.3106876553438274E-2</v>
      </c>
      <c r="AF13" s="1599">
        <f t="shared" si="5"/>
        <v>6.3106876553438274E-2</v>
      </c>
      <c r="AG13" s="1599">
        <f t="shared" si="5"/>
        <v>6.3106876553438274E-2</v>
      </c>
      <c r="AH13" s="1599">
        <f t="shared" si="5"/>
        <v>6.3106876553438274E-2</v>
      </c>
      <c r="AI13" s="1599">
        <f t="shared" si="5"/>
        <v>6.3106876553438274E-2</v>
      </c>
      <c r="AJ13" s="1599">
        <f t="shared" si="5"/>
        <v>6.3106876553438274E-2</v>
      </c>
    </row>
    <row r="14" spans="1:36" ht="15">
      <c r="A14" s="3276"/>
      <c r="B14" s="2748"/>
      <c r="C14" s="2749"/>
      <c r="D14" s="2750"/>
      <c r="E14" s="2750"/>
      <c r="F14" s="2751"/>
      <c r="G14" s="2752" t="s">
        <v>2872</v>
      </c>
      <c r="H14" s="2753"/>
      <c r="I14" s="2754"/>
      <c r="J14" s="2755"/>
      <c r="K14" s="1355"/>
      <c r="L14" s="1355"/>
      <c r="M14" s="1355"/>
      <c r="N14" s="1355"/>
      <c r="O14" s="1355"/>
      <c r="P14" s="1355"/>
      <c r="Q14" s="1355"/>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277"/>
      <c r="B15" s="2756" t="s">
        <v>2873</v>
      </c>
      <c r="C15" s="227">
        <f>IF(C14="有",1.1,1)</f>
        <v>1</v>
      </c>
      <c r="D15" s="227">
        <f>IF(D14="有",1.1,1)</f>
        <v>1</v>
      </c>
      <c r="E15" s="227">
        <f>IF(E14="有",1.1,1)</f>
        <v>1</v>
      </c>
      <c r="F15" s="227">
        <f>IF(F14="500米范围内",1.2,IF(F14="500-1000米",1.1,1))</f>
        <v>1</v>
      </c>
      <c r="G15" s="939">
        <v>1</v>
      </c>
      <c r="H15" s="939">
        <v>1</v>
      </c>
      <c r="I15" s="939">
        <v>1</v>
      </c>
      <c r="J15" s="940">
        <v>1</v>
      </c>
      <c r="K15" s="1355"/>
      <c r="L15" s="2757" t="s">
        <v>2809</v>
      </c>
      <c r="M15" s="910" t="s">
        <v>2874</v>
      </c>
      <c r="N15" s="910" t="s">
        <v>2875</v>
      </c>
      <c r="O15" s="910" t="s">
        <v>2876</v>
      </c>
      <c r="P15" s="2758" t="s">
        <v>2877</v>
      </c>
      <c r="Q15" s="1355"/>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58" t="s">
        <v>2878</v>
      </c>
      <c r="B16" s="2725" t="s">
        <v>2879</v>
      </c>
      <c r="C16" s="1787" t="e">
        <f>ROUND(SUM(G17:J17)/C17,0)</f>
        <v>#DIV/0!</v>
      </c>
      <c r="D16" s="2759" t="s">
        <v>2880</v>
      </c>
      <c r="E16" s="2760"/>
      <c r="F16" s="2761"/>
      <c r="G16" s="2762"/>
      <c r="H16" s="2762"/>
      <c r="I16" s="2762"/>
      <c r="J16" s="2763"/>
      <c r="K16" s="1355"/>
      <c r="L16" s="2764" t="s">
        <v>2881</v>
      </c>
      <c r="M16" s="912">
        <v>0.25</v>
      </c>
      <c r="N16" s="912">
        <v>0.2</v>
      </c>
      <c r="O16" s="912">
        <v>0.15</v>
      </c>
      <c r="P16" s="1354">
        <v>0.1</v>
      </c>
      <c r="Q16" s="1355"/>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59"/>
      <c r="B17" s="2765" t="s">
        <v>2882</v>
      </c>
      <c r="C17" s="914">
        <f>SUMPRODUCT((修正!A2:A5=E2)*(修正!B1:M1=G2)*(修正!B2:M5))</f>
        <v>0</v>
      </c>
      <c r="D17" s="2766" t="s">
        <v>2883</v>
      </c>
      <c r="E17" s="913" t="str">
        <f>IF(OR(G2="八级",G2="九级",G2="十级",G2="十一级",G2="十二级"),"五通一平","七通一平")</f>
        <v>七通一平</v>
      </c>
      <c r="F17" s="914" t="s">
        <v>2884</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55"/>
      <c r="L17" s="2767" t="s">
        <v>2885</v>
      </c>
      <c r="M17" s="209">
        <f ca="1">ROUND($E$20*(1+M16),3)</f>
        <v>5.3999999999999999E-2</v>
      </c>
      <c r="N17" s="209">
        <f ca="1">ROUND($E$20*(1+N16),3)</f>
        <v>5.1999999999999998E-2</v>
      </c>
      <c r="O17" s="209">
        <f ca="1">ROUND($E$20*(1+O16),3)</f>
        <v>0.05</v>
      </c>
      <c r="P17" s="1358">
        <f ca="1">ROUND($E$20*(1+P16),3)</f>
        <v>4.8000000000000001E-2</v>
      </c>
      <c r="Q17" s="1355"/>
      <c r="R17" s="1355"/>
      <c r="S17" s="1355"/>
      <c r="T17" s="1355"/>
      <c r="U17" s="1355"/>
      <c r="V17" s="1355"/>
      <c r="W17" s="1355"/>
      <c r="X17" s="1355"/>
      <c r="Y17" s="1355"/>
      <c r="Z17" s="1356"/>
      <c r="AE17" s="2768"/>
      <c r="AF17" s="2768"/>
      <c r="AG17" s="2700"/>
      <c r="AH17" s="2700"/>
      <c r="AI17" s="2700"/>
      <c r="AJ17" s="2700"/>
    </row>
    <row r="18" spans="1:37" s="2718" customFormat="1" ht="15.75" thickBot="1">
      <c r="A18" s="2769" t="s">
        <v>808</v>
      </c>
      <c r="B18" s="2770" t="s">
        <v>2886</v>
      </c>
      <c r="C18" s="916">
        <f>SUMIF(修正!C18:C39,E3,修正!E18:E39)</f>
        <v>0</v>
      </c>
      <c r="D18" s="2771"/>
      <c r="E18" s="2772"/>
      <c r="F18" s="2773"/>
      <c r="G18" s="2774"/>
      <c r="H18" s="2774"/>
      <c r="I18" s="2774"/>
      <c r="J18" s="2775"/>
      <c r="K18" s="1362"/>
      <c r="O18" s="1360"/>
      <c r="P18" s="1360"/>
      <c r="Q18" s="1361"/>
      <c r="R18" s="1361"/>
      <c r="S18" s="1361"/>
      <c r="T18" s="1356"/>
      <c r="U18" s="1356"/>
      <c r="V18" s="1356"/>
      <c r="W18" s="1355"/>
      <c r="X18" s="1355"/>
      <c r="Y18" s="1355"/>
      <c r="Z18" s="1362"/>
      <c r="AA18" s="1363"/>
      <c r="AB18" s="1363"/>
      <c r="AC18" s="1363"/>
      <c r="AD18" s="1363"/>
      <c r="AE18" s="1357"/>
      <c r="AF18" s="1357"/>
      <c r="AG18" s="2776"/>
      <c r="AH18" s="2776"/>
      <c r="AI18" s="2776"/>
    </row>
    <row r="19" spans="1:37" s="2718" customFormat="1" ht="27.75" thickBot="1">
      <c r="A19" s="2769" t="s">
        <v>809</v>
      </c>
      <c r="B19" s="2770" t="s">
        <v>2887</v>
      </c>
      <c r="C19" s="917" t="e">
        <f>ROUND(IF(H19="按公示增长率计算",SUMPRODUCT((地价!A3:A20=YEAR(G19)&amp;"-"&amp;ROUNDUP(MONTH(G19)/3,0))*(地价!X2:AB2=E2)*(地价!X3:AB20)),IF(H19="地价指数",M20/M19,(1+I19)^O19)),4)</f>
        <v>#DIV/0!</v>
      </c>
      <c r="D19" s="2777" t="s">
        <v>2888</v>
      </c>
      <c r="E19" s="918">
        <v>41640</v>
      </c>
      <c r="F19" s="2777" t="s">
        <v>2889</v>
      </c>
      <c r="G19" s="919">
        <f>'数据-取费表'!B2</f>
        <v>43061</v>
      </c>
      <c r="H19" s="2778" t="s">
        <v>2890</v>
      </c>
      <c r="I19" s="920" t="str">
        <f>IF(H19="季度增幅（自定义）",SUMIF(N21:N24,E2,O21:O24),"")</f>
        <v/>
      </c>
      <c r="J19" s="2775"/>
      <c r="K19" s="1362"/>
      <c r="L19" s="2779" t="s">
        <v>2891</v>
      </c>
      <c r="M19" s="1720">
        <f>ROUND(SUMIF(地价!B2:F2,E2,地价!B20:F20),0)</f>
        <v>0</v>
      </c>
      <c r="N19" s="2780" t="s">
        <v>2892</v>
      </c>
      <c r="O19" s="921">
        <f>ROUNDDOWN(DATEDIF(E19,G19,"M")/3,0)</f>
        <v>15</v>
      </c>
      <c r="P19" s="1359"/>
      <c r="Q19" s="1361"/>
      <c r="R19" s="1361"/>
      <c r="S19" s="1361"/>
      <c r="T19" s="1356"/>
      <c r="U19" s="1356"/>
      <c r="V19" s="1356"/>
      <c r="W19" s="1355"/>
      <c r="X19" s="1355"/>
      <c r="Y19" s="1355"/>
      <c r="Z19" s="1362"/>
      <c r="AA19" s="1363"/>
      <c r="AB19" s="1363"/>
      <c r="AC19" s="1363"/>
      <c r="AD19" s="1363"/>
      <c r="AE19" s="1363"/>
      <c r="AF19" s="2781"/>
      <c r="AG19" s="2782"/>
      <c r="AH19" s="2776"/>
      <c r="AI19" s="2783"/>
      <c r="AJ19" s="2783"/>
      <c r="AK19" s="2783"/>
    </row>
    <row r="20" spans="1:37" s="2718" customFormat="1" ht="27.75" thickBot="1">
      <c r="A20" s="2784" t="s">
        <v>810</v>
      </c>
      <c r="B20" s="2785" t="s">
        <v>2893</v>
      </c>
      <c r="C20" s="922" t="e">
        <f>ROUND(POWER(1+G20,J20-I20)*(POWER(1+G20,I20)-1)/(POWER(1+G20,J20)-1),4)</f>
        <v>#DIV/0!</v>
      </c>
      <c r="D20" s="2786" t="s">
        <v>2894</v>
      </c>
      <c r="E20" s="1754">
        <f ca="1">存贷款利率!D4/100</f>
        <v>4.3499999999999997E-2</v>
      </c>
      <c r="F20" s="2786" t="s">
        <v>2885</v>
      </c>
      <c r="G20" s="927">
        <f>SUMIF(M15:P15,E2,M17:P17)</f>
        <v>0</v>
      </c>
      <c r="H20" s="2786" t="s">
        <v>2895</v>
      </c>
      <c r="I20" s="928" t="e">
        <f>SUMIF('数据-取费表'!C6:C15,E2,'数据-取费表'!F6:F15)/COUNTIF('数据-取费表'!C6:C15,E2)</f>
        <v>#DIV/0!</v>
      </c>
      <c r="J20" s="929">
        <f>IF(E2="住宅",70,IF(E2="商业",40,50))</f>
        <v>50</v>
      </c>
      <c r="K20" s="1362"/>
      <c r="L20" s="2787" t="s">
        <v>2896</v>
      </c>
      <c r="M20" s="1721">
        <f>ROUND(SUMPRODUCT((地价!A5:A20=YEAR(G19)&amp;"-"&amp;ROUNDUP(MONTH(G19)/3,0))*(地价!B2:F2=E2)*(地价!B5:F20)),0)</f>
        <v>0</v>
      </c>
      <c r="N20" s="2788" t="s">
        <v>2897</v>
      </c>
      <c r="O20" s="2789" t="s">
        <v>2898</v>
      </c>
      <c r="P20" s="2790" t="s">
        <v>2899</v>
      </c>
      <c r="R20" s="1361"/>
      <c r="S20" s="1361"/>
      <c r="T20" s="1356"/>
      <c r="U20" s="1356"/>
      <c r="V20" s="1356"/>
      <c r="W20" s="1355"/>
      <c r="X20" s="1355"/>
      <c r="Y20" s="1355"/>
      <c r="Z20" s="1362"/>
      <c r="AA20" s="1363"/>
      <c r="AB20" s="1363"/>
      <c r="AC20" s="1363"/>
      <c r="AD20" s="1363"/>
      <c r="AE20" s="1363"/>
      <c r="AF20" s="1363"/>
    </row>
    <row r="21" spans="1:37" s="2718" customFormat="1" ht="15">
      <c r="A21" s="2791" t="s">
        <v>811</v>
      </c>
      <c r="B21" s="2792" t="s">
        <v>2900</v>
      </c>
      <c r="C21" s="930">
        <f>IF(B21="容积率修正",IF(G3&lt;=10,D22,J22),C23)</f>
        <v>0</v>
      </c>
      <c r="D21" s="2793"/>
      <c r="E21" s="2793"/>
      <c r="F21" s="2793"/>
      <c r="G21" s="2793"/>
      <c r="H21" s="2793"/>
      <c r="I21" s="2793"/>
      <c r="J21" s="2794"/>
      <c r="K21" s="1362"/>
      <c r="N21" s="2795" t="s">
        <v>2901</v>
      </c>
      <c r="O21" s="1547"/>
      <c r="P21" s="1548">
        <f>SUMPRODUCT((地价!A3:A20=YEAR(G19)&amp;"-"&amp;ROUNDUP(MONTH(G19)/3,0))*(地价!AD2:AH2=N21)*(地价!AD3:AH20))</f>
        <v>1.6400000000000001E-2</v>
      </c>
      <c r="R21" s="1361"/>
      <c r="S21" s="1361"/>
      <c r="T21" s="1356"/>
      <c r="U21" s="1356"/>
      <c r="V21" s="1356"/>
      <c r="W21" s="1355"/>
      <c r="X21" s="1355"/>
      <c r="Y21" s="1355"/>
      <c r="Z21" s="1362"/>
      <c r="AA21" s="1363"/>
      <c r="AB21" s="1363"/>
      <c r="AC21" s="1363"/>
      <c r="AD21" s="1363"/>
      <c r="AE21" s="1363"/>
      <c r="AF21" s="1363"/>
    </row>
    <row r="22" spans="1:37" s="2718" customFormat="1" ht="14.25">
      <c r="A22" s="2644" t="s">
        <v>2902</v>
      </c>
      <c r="B22" s="2796" t="s">
        <v>2903</v>
      </c>
      <c r="C22" s="1796" t="s">
        <v>2904</v>
      </c>
      <c r="D22" s="1796" t="str">
        <f>IF(E22=G22,F22,IF(G3&lt;=10,ROUND(F22+(H22-F22)*(G3-E22)/(G22-E22),4),"——"))</f>
        <v>——</v>
      </c>
      <c r="E22" s="906">
        <f>ROUNDDOWN(G3,1)</f>
        <v>12</v>
      </c>
      <c r="F22" s="179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6">
        <f>ROUNDUP(G3,1)</f>
        <v>12.1</v>
      </c>
      <c r="H22" s="179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96" t="s">
        <v>155</v>
      </c>
      <c r="J22" s="931">
        <f>IF(G3&gt;10,D113,"——")</f>
        <v>0</v>
      </c>
      <c r="K22" s="1362"/>
      <c r="N22" s="2795" t="s">
        <v>2905</v>
      </c>
      <c r="O22" s="1547"/>
      <c r="P22" s="1548">
        <f>SUMPRODUCT((地价!A3:A20=YEAR(G19)&amp;"-"&amp;ROUNDUP(MONTH(G19)/3,0))*(地价!AD2:AH2=N22)*(地价!AD3:AH20))</f>
        <v>1.6400000000000001E-2</v>
      </c>
      <c r="R22" s="1361"/>
      <c r="S22" s="1361"/>
      <c r="T22" s="1356"/>
      <c r="U22" s="1356"/>
      <c r="V22" s="1356"/>
      <c r="W22" s="1355"/>
      <c r="X22" s="1355"/>
      <c r="Y22" s="1355"/>
      <c r="Z22" s="1362"/>
      <c r="AA22" s="1363"/>
      <c r="AB22" s="1363"/>
      <c r="AC22" s="1363"/>
      <c r="AD22" s="1363"/>
      <c r="AE22" s="1363"/>
      <c r="AF22" s="1363"/>
    </row>
    <row r="23" spans="1:37" ht="27.75" thickBot="1">
      <c r="A23" s="2644" t="s">
        <v>2906</v>
      </c>
      <c r="B23" s="2797" t="s">
        <v>2907</v>
      </c>
      <c r="C23" s="1006">
        <f>ROUND(IF(G3&gt;1,IF(I3&lt;7,SUMPRODUCT((B93:B98=I3)*(C92:N92=G2)*(C93:N98)),SUMIF(C92:N92,G2,C100:N100)),IF(I3&lt;7,SUMPRODUCT((B102:B107=I3)*(C92:N92=G2)*(C102:N107)),SUMIF(C92:N92,G2,C109:N109))),4)</f>
        <v>0</v>
      </c>
      <c r="D23" s="2753"/>
      <c r="E23" s="2753"/>
      <c r="F23" s="2798"/>
      <c r="G23" s="2799"/>
      <c r="H23" s="2800"/>
      <c r="I23" s="2801"/>
      <c r="J23" s="2802"/>
      <c r="K23" s="1355"/>
      <c r="N23" s="2795" t="s">
        <v>2908</v>
      </c>
      <c r="O23" s="1547"/>
      <c r="P23" s="1548">
        <f>SUMPRODUCT((地价!A3:A20=YEAR(G19)&amp;"-"&amp;ROUNDUP(MONTH(G19)/3,0))*(地价!AD2:AH2=N23)*(地价!AD3:AH20))</f>
        <v>2.7799999999999998E-2</v>
      </c>
      <c r="R23" s="1361"/>
      <c r="S23" s="1361"/>
      <c r="T23" s="1356"/>
      <c r="U23" s="1356"/>
      <c r="V23" s="1356"/>
      <c r="W23" s="1355"/>
      <c r="X23" s="1355"/>
      <c r="Y23" s="1355"/>
      <c r="Z23" s="1362"/>
      <c r="AA23" s="1363"/>
      <c r="AB23" s="1363"/>
      <c r="AC23" s="1363"/>
      <c r="AD23" s="1363"/>
      <c r="AK23" s="2776"/>
    </row>
    <row r="24" spans="1:37" s="2718" customFormat="1" ht="15.75" thickBot="1">
      <c r="A24" s="2784" t="s">
        <v>812</v>
      </c>
      <c r="B24" s="2770" t="s">
        <v>2909</v>
      </c>
      <c r="C24" s="917">
        <f>SUMIF(A45:A88,E2,B45:B88)</f>
        <v>0</v>
      </c>
      <c r="D24" s="2773"/>
      <c r="E24" s="2803"/>
      <c r="F24" s="2803"/>
      <c r="G24" s="2803"/>
      <c r="H24" s="2803"/>
      <c r="I24" s="2803"/>
      <c r="J24" s="2804"/>
      <c r="K24" s="1362"/>
      <c r="N24" s="2805" t="s">
        <v>2910</v>
      </c>
      <c r="O24" s="1549"/>
      <c r="P24" s="1550">
        <f>SUMPRODUCT((地价!A3:A20=YEAR(G19)&amp;"-"&amp;ROUNDUP(MONTH(G19)/3,0))*(地价!AD2:AH2=N24)*(地价!AD3:AH20))</f>
        <v>1.3899999999999999E-2</v>
      </c>
      <c r="R24" s="1361"/>
      <c r="S24" s="1361"/>
      <c r="T24" s="1356"/>
      <c r="U24" s="1356"/>
      <c r="V24" s="1356"/>
      <c r="W24" s="1355"/>
      <c r="X24" s="1355"/>
      <c r="Y24" s="1355"/>
      <c r="Z24" s="1362"/>
      <c r="AA24" s="1363"/>
      <c r="AB24" s="1363"/>
      <c r="AC24" s="1363"/>
      <c r="AD24" s="1363"/>
      <c r="AE24" s="1363"/>
      <c r="AF24" s="1363"/>
    </row>
    <row r="25" spans="1:37" ht="15.75" thickBot="1">
      <c r="A25" s="2784" t="s">
        <v>813</v>
      </c>
      <c r="B25" s="2806" t="s">
        <v>2911</v>
      </c>
      <c r="C25" s="923"/>
      <c r="D25" s="2728"/>
      <c r="E25" s="2728"/>
      <c r="F25" s="2807"/>
      <c r="G25" s="2728"/>
      <c r="H25" s="2728"/>
      <c r="I25" s="2728"/>
      <c r="J25" s="2729"/>
      <c r="K25" s="1355"/>
      <c r="N25" s="2808" t="s">
        <v>2912</v>
      </c>
      <c r="O25" s="1551"/>
      <c r="P25" s="1550">
        <f>SUMPRODUCT((地价!A3:A20=YEAR(G19)&amp;"-"&amp;ROUNDUP(MONTH(G19)/3,0))*(地价!AD2:AH2=N25)*(地价!AD3:AH20))</f>
        <v>2.4899999999999999E-2</v>
      </c>
      <c r="R25" s="1361"/>
      <c r="S25" s="1361"/>
      <c r="T25" s="1356"/>
      <c r="U25" s="1356"/>
      <c r="V25" s="1356"/>
      <c r="W25" s="1355"/>
      <c r="X25" s="1355"/>
      <c r="Y25" s="1355"/>
      <c r="Z25" s="1362"/>
      <c r="AA25" s="1363"/>
      <c r="AB25" s="1363"/>
      <c r="AC25" s="1363"/>
      <c r="AD25" s="1363"/>
    </row>
    <row r="26" spans="1:37" ht="15">
      <c r="A26" s="2809"/>
      <c r="B26" s="2796" t="s">
        <v>2913</v>
      </c>
      <c r="C26" s="204" t="e">
        <f>E29+SUM(E33:E39)</f>
        <v>#DIV/0!</v>
      </c>
      <c r="D26" s="2810"/>
      <c r="E26" s="2753"/>
      <c r="F26" s="2811"/>
      <c r="G26" s="2753"/>
      <c r="H26" s="2753"/>
      <c r="I26" s="2753"/>
      <c r="J26" s="2812"/>
      <c r="K26" s="1355"/>
      <c r="R26" s="1361"/>
      <c r="S26" s="1361"/>
      <c r="T26" s="1356"/>
      <c r="U26" s="1356"/>
      <c r="V26" s="1356"/>
      <c r="W26" s="1355"/>
      <c r="X26" s="1355"/>
      <c r="Y26" s="1355"/>
      <c r="Z26" s="1362"/>
      <c r="AA26" s="1363"/>
      <c r="AB26" s="1363"/>
      <c r="AC26" s="1363"/>
      <c r="AD26" s="1363"/>
    </row>
    <row r="27" spans="1:37" ht="15.75" thickBot="1">
      <c r="A27" s="2809"/>
      <c r="B27" s="2813" t="s">
        <v>2914</v>
      </c>
      <c r="C27" s="924" t="e">
        <f>E30+SUM(I33:I39)</f>
        <v>#DIV/0!</v>
      </c>
      <c r="D27" s="2814"/>
      <c r="E27" s="2815"/>
      <c r="F27" s="2816"/>
      <c r="G27" s="2815"/>
      <c r="H27" s="2815"/>
      <c r="I27" s="2815"/>
      <c r="J27" s="2817"/>
      <c r="K27" s="1355"/>
      <c r="L27" s="1355"/>
      <c r="M27" s="1355"/>
      <c r="N27" s="1355"/>
      <c r="O27" s="1360"/>
      <c r="P27" s="1360"/>
      <c r="Q27" s="1361"/>
      <c r="R27" s="1361"/>
      <c r="S27" s="1361"/>
      <c r="T27" s="1356"/>
      <c r="U27" s="1356"/>
      <c r="V27" s="1356"/>
      <c r="W27" s="1355"/>
      <c r="X27" s="1355"/>
      <c r="Y27" s="1355"/>
      <c r="Z27" s="1362"/>
      <c r="AA27" s="1363"/>
      <c r="AB27" s="1363"/>
      <c r="AC27" s="1363"/>
      <c r="AD27" s="1363"/>
    </row>
    <row r="28" spans="1:37" ht="15">
      <c r="A28" s="2818"/>
      <c r="B28" s="2819" t="s">
        <v>2915</v>
      </c>
      <c r="C28" s="2820" t="s">
        <v>2916</v>
      </c>
      <c r="D28" s="2820" t="s">
        <v>2917</v>
      </c>
      <c r="E28" s="2821" t="s">
        <v>2918</v>
      </c>
      <c r="F28" s="2822"/>
      <c r="G28" s="2741"/>
      <c r="H28" s="2741"/>
      <c r="I28" s="2741"/>
      <c r="J28" s="2742"/>
      <c r="K28" s="1355"/>
      <c r="L28" s="1355"/>
      <c r="M28" s="1355"/>
      <c r="N28" s="1355"/>
      <c r="O28" s="1360"/>
      <c r="P28" s="1360"/>
      <c r="Q28" s="1361"/>
      <c r="R28" s="1361"/>
      <c r="S28" s="1361"/>
      <c r="T28" s="1356"/>
      <c r="U28" s="1356"/>
      <c r="V28" s="1356"/>
      <c r="W28" s="1355"/>
      <c r="X28" s="1355"/>
      <c r="Y28" s="1355"/>
      <c r="Z28" s="1362"/>
      <c r="AA28" s="1363"/>
      <c r="AB28" s="1363"/>
      <c r="AC28" s="1363"/>
      <c r="AD28" s="1363"/>
    </row>
    <row r="29" spans="1:37" ht="22.5" customHeight="1">
      <c r="A29" s="2823"/>
      <c r="B29" s="2824" t="s">
        <v>2919</v>
      </c>
      <c r="C29" s="204" t="e">
        <f>ROUND(C5*C18*C19*C20*C21*C24,0)</f>
        <v>#DIV/0!</v>
      </c>
      <c r="D29" s="2825"/>
      <c r="E29" s="935" t="e">
        <f>ROUND(C29*D29/10000,0)</f>
        <v>#DIV/0!</v>
      </c>
      <c r="F29" s="2826" t="s">
        <v>2920</v>
      </c>
      <c r="G29" s="2827"/>
      <c r="H29" s="2827"/>
      <c r="I29" s="2827"/>
      <c r="J29" s="2828"/>
      <c r="K29" s="1355"/>
      <c r="L29" s="1355"/>
      <c r="M29" s="1355"/>
      <c r="N29" s="1355"/>
      <c r="O29" s="1360"/>
      <c r="P29" s="1360"/>
      <c r="Q29" s="1361"/>
      <c r="R29" s="1361"/>
      <c r="S29" s="1361"/>
      <c r="T29" s="1356"/>
      <c r="U29" s="1356"/>
      <c r="V29" s="1356"/>
      <c r="W29" s="1355"/>
      <c r="X29" s="1355"/>
      <c r="Y29" s="1355"/>
      <c r="Z29" s="1362"/>
      <c r="AA29" s="1363"/>
      <c r="AB29" s="1363"/>
      <c r="AC29" s="1363"/>
      <c r="AD29" s="1363"/>
      <c r="AE29" s="2768"/>
      <c r="AF29" s="2768"/>
      <c r="AG29" s="2700"/>
      <c r="AH29" s="2700"/>
      <c r="AI29" s="2700"/>
      <c r="AJ29" s="2700"/>
    </row>
    <row r="30" spans="1:37" ht="25.5" thickBot="1">
      <c r="A30" s="2829"/>
      <c r="B30" s="2830" t="s">
        <v>2921</v>
      </c>
      <c r="C30" s="227" t="e">
        <f>ROUND(IF(E2="工业",C29*M39,C29*M38),0)</f>
        <v>#DIV/0!</v>
      </c>
      <c r="D30" s="2831"/>
      <c r="E30" s="935" t="e">
        <f>ROUND(C30*D30/10000,0)</f>
        <v>#DIV/0!</v>
      </c>
      <c r="F30" s="2832" t="s">
        <v>2922</v>
      </c>
      <c r="G30" s="2833"/>
      <c r="H30" s="2833"/>
      <c r="I30" s="2833"/>
      <c r="J30" s="2834"/>
      <c r="K30" s="1355"/>
      <c r="L30" s="1355"/>
      <c r="M30" s="1355"/>
      <c r="N30" s="1355"/>
      <c r="O30" s="1360"/>
      <c r="P30" s="1360"/>
      <c r="Q30" s="1361"/>
      <c r="R30" s="1361"/>
      <c r="S30" s="1361"/>
      <c r="T30" s="1356"/>
      <c r="U30" s="1356"/>
      <c r="V30" s="1356"/>
      <c r="W30" s="1355"/>
      <c r="X30" s="1355"/>
      <c r="Y30" s="1355"/>
      <c r="Z30" s="1362"/>
      <c r="AA30" s="1363"/>
      <c r="AB30" s="1363"/>
      <c r="AC30" s="1363"/>
      <c r="AD30" s="1363"/>
      <c r="AE30" s="2768"/>
      <c r="AF30" s="2768"/>
      <c r="AG30" s="2700"/>
      <c r="AH30" s="2700"/>
      <c r="AI30" s="2700"/>
      <c r="AJ30" s="2700"/>
    </row>
    <row r="31" spans="1:37" ht="14.25">
      <c r="A31" s="2835"/>
      <c r="B31" s="2836" t="s">
        <v>2923</v>
      </c>
      <c r="C31" s="2837" t="s">
        <v>2924</v>
      </c>
      <c r="D31" s="2741"/>
      <c r="E31" s="2837"/>
      <c r="F31" s="2837"/>
      <c r="G31" s="2739" t="s">
        <v>2925</v>
      </c>
      <c r="H31" s="2741"/>
      <c r="I31" s="2838"/>
      <c r="J31" s="2742"/>
      <c r="K31" s="1355"/>
      <c r="L31" s="1355"/>
      <c r="M31" s="1355"/>
      <c r="N31" s="1355"/>
      <c r="O31" s="1360"/>
      <c r="P31" s="1360"/>
      <c r="Q31" s="1361"/>
      <c r="R31" s="1361"/>
      <c r="S31" s="1361"/>
      <c r="T31" s="1356"/>
      <c r="U31" s="1356"/>
      <c r="V31" s="1356"/>
      <c r="W31" s="1355"/>
      <c r="X31" s="1355"/>
      <c r="Y31" s="1355"/>
      <c r="Z31" s="1362"/>
      <c r="AA31" s="1363"/>
      <c r="AB31" s="1363"/>
      <c r="AC31" s="1363"/>
      <c r="AD31" s="1363"/>
      <c r="AE31" s="2768"/>
      <c r="AF31" s="2768"/>
      <c r="AG31" s="2700"/>
      <c r="AH31" s="2700"/>
      <c r="AI31" s="2700"/>
      <c r="AJ31" s="2700"/>
    </row>
    <row r="32" spans="1:37" ht="24">
      <c r="A32" s="2823"/>
      <c r="B32" s="2839"/>
      <c r="C32" s="499" t="s">
        <v>2916</v>
      </c>
      <c r="D32" s="496" t="s">
        <v>2917</v>
      </c>
      <c r="E32" s="496" t="s">
        <v>2918</v>
      </c>
      <c r="F32" s="386" t="s">
        <v>2926</v>
      </c>
      <c r="G32" s="2840" t="s">
        <v>2916</v>
      </c>
      <c r="H32" s="2840" t="s">
        <v>2917</v>
      </c>
      <c r="I32" s="2840" t="s">
        <v>2918</v>
      </c>
      <c r="J32" s="285"/>
      <c r="K32" s="1355"/>
      <c r="L32" s="1355"/>
      <c r="M32" s="1355"/>
      <c r="N32" s="1355"/>
      <c r="O32" s="1360"/>
      <c r="P32" s="1360"/>
      <c r="Q32" s="1361"/>
      <c r="R32" s="1361"/>
      <c r="S32" s="1361"/>
      <c r="T32" s="1356"/>
      <c r="U32" s="1356"/>
      <c r="V32" s="1356"/>
      <c r="W32" s="1355"/>
      <c r="X32" s="1355"/>
      <c r="Y32" s="1355"/>
      <c r="Z32" s="1362"/>
      <c r="AA32" s="1363"/>
      <c r="AB32" s="1363"/>
      <c r="AC32" s="1363"/>
      <c r="AD32" s="1363"/>
      <c r="AE32" s="2768"/>
      <c r="AF32" s="2768"/>
      <c r="AG32" s="2700"/>
      <c r="AH32" s="2700"/>
      <c r="AI32" s="2700"/>
      <c r="AJ32" s="2700"/>
    </row>
    <row r="33" spans="1:37" ht="36" customHeight="1">
      <c r="A33" s="3266" t="s">
        <v>2927</v>
      </c>
      <c r="B33" s="2841" t="s">
        <v>2928</v>
      </c>
      <c r="C33" s="204" t="e">
        <f>ROUND(D5*C19*C20*C24*F33,0)</f>
        <v>#DIV/0!</v>
      </c>
      <c r="D33" s="2825"/>
      <c r="E33" s="198" t="e">
        <f>ROUND(C33*D33/10000,0)</f>
        <v>#DIV/0!</v>
      </c>
      <c r="F33" s="198">
        <f>SUMIF(修正!A45:A56,G2,修正!B45:B56)</f>
        <v>0</v>
      </c>
      <c r="G33" s="198" t="e">
        <f t="shared" ref="G33:G39" si="6">ROUND(IF(E2="工业",C33*$M$39,C33*$M$38),0)</f>
        <v>#DIV/0!</v>
      </c>
      <c r="H33" s="198">
        <f>D33</f>
        <v>0</v>
      </c>
      <c r="I33" s="198" t="e">
        <f>ROUND(G33*H33/10000,0)</f>
        <v>#DIV/0!</v>
      </c>
      <c r="J33" s="2842"/>
      <c r="K33" s="1355"/>
      <c r="L33" s="1355"/>
      <c r="M33" s="1355"/>
      <c r="N33" s="1355"/>
      <c r="O33" s="1360"/>
      <c r="P33" s="1360"/>
      <c r="Q33" s="1361"/>
      <c r="R33" s="1361"/>
      <c r="S33" s="1361"/>
      <c r="T33" s="1356"/>
      <c r="U33" s="1356"/>
      <c r="V33" s="1356"/>
      <c r="W33" s="1355"/>
      <c r="X33" s="1355"/>
      <c r="Y33" s="1355"/>
      <c r="Z33" s="1362"/>
      <c r="AA33" s="1363"/>
      <c r="AB33" s="1363"/>
      <c r="AC33" s="1363"/>
      <c r="AD33" s="1363"/>
    </row>
    <row r="34" spans="1:37" ht="14.25">
      <c r="A34" s="3267"/>
      <c r="B34" s="2745" t="s">
        <v>2929</v>
      </c>
      <c r="C34" s="204" t="e">
        <f>ROUND(D5*C19*C20*C24*F34,0)</f>
        <v>#DIV/0!</v>
      </c>
      <c r="D34" s="2825"/>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2"/>
      <c r="K34" s="1355"/>
      <c r="L34" s="1355"/>
      <c r="M34" s="1355"/>
      <c r="N34" s="1355"/>
      <c r="O34" s="1360"/>
      <c r="P34" s="1360"/>
      <c r="Q34" s="1361"/>
      <c r="R34" s="1361"/>
      <c r="S34" s="1361"/>
      <c r="T34" s="1356"/>
      <c r="U34" s="1356"/>
      <c r="V34" s="1356"/>
      <c r="W34" s="1355"/>
      <c r="X34" s="1355"/>
      <c r="Y34" s="1355"/>
      <c r="Z34" s="1362"/>
      <c r="AA34" s="1363"/>
      <c r="AB34" s="1363"/>
      <c r="AC34" s="1363"/>
      <c r="AD34" s="1363"/>
    </row>
    <row r="35" spans="1:37">
      <c r="A35" s="3267"/>
      <c r="B35" s="2745" t="s">
        <v>2930</v>
      </c>
      <c r="C35" s="204" t="e">
        <f>ROUND(D5*C19*C20*C24*F35,0)</f>
        <v>#DIV/0!</v>
      </c>
      <c r="D35" s="2825"/>
      <c r="E35" s="198" t="e">
        <f t="shared" si="7"/>
        <v>#DIV/0!</v>
      </c>
      <c r="F35" s="198">
        <f>SUMIF(修正!A45:A56,G2,修正!D45:D56)</f>
        <v>0</v>
      </c>
      <c r="G35" s="198" t="e">
        <f t="shared" si="6"/>
        <v>#DIV/0!</v>
      </c>
      <c r="H35" s="198">
        <f t="shared" si="8"/>
        <v>0</v>
      </c>
      <c r="I35" s="198" t="e">
        <f t="shared" si="9"/>
        <v>#DIV/0!</v>
      </c>
      <c r="J35" s="2842"/>
      <c r="K35" s="1355"/>
      <c r="L35" s="1355"/>
      <c r="M35" s="1355"/>
      <c r="N35" s="1355"/>
      <c r="O35" s="1355"/>
      <c r="P35" s="1355"/>
      <c r="Q35" s="1355"/>
      <c r="R35" s="1355"/>
      <c r="S35" s="1355"/>
      <c r="T35" s="1355"/>
      <c r="U35" s="1355"/>
      <c r="V35" s="1355"/>
      <c r="W35" s="1355"/>
      <c r="X35" s="1355"/>
      <c r="Y35" s="1355"/>
      <c r="Z35" s="1356"/>
    </row>
    <row r="36" spans="1:37" ht="13.5" thickBot="1">
      <c r="A36" s="3268"/>
      <c r="B36" s="2745" t="s">
        <v>2931</v>
      </c>
      <c r="C36" s="204" t="e">
        <f>ROUND(D5*C19*C20*C24*F36,0)</f>
        <v>#DIV/0!</v>
      </c>
      <c r="D36" s="2825"/>
      <c r="E36" s="198" t="e">
        <f t="shared" si="7"/>
        <v>#DIV/0!</v>
      </c>
      <c r="F36" s="198">
        <f>SUMIF(修正!A45:A56,G2,修正!E45:E56)</f>
        <v>0</v>
      </c>
      <c r="G36" s="198" t="e">
        <f t="shared" si="6"/>
        <v>#DIV/0!</v>
      </c>
      <c r="H36" s="198">
        <f t="shared" si="8"/>
        <v>0</v>
      </c>
      <c r="I36" s="198" t="e">
        <f t="shared" si="9"/>
        <v>#DIV/0!</v>
      </c>
      <c r="J36" s="2842"/>
      <c r="K36" s="1355"/>
      <c r="L36" s="2699"/>
      <c r="M36" s="2699"/>
      <c r="N36" s="1355"/>
      <c r="O36" s="1355"/>
      <c r="P36" s="1355"/>
      <c r="Q36" s="1355"/>
      <c r="R36" s="1355"/>
      <c r="S36" s="1355"/>
      <c r="T36" s="1355"/>
      <c r="U36" s="1355"/>
      <c r="V36" s="1355"/>
      <c r="W36" s="1355"/>
      <c r="X36" s="1355"/>
      <c r="Y36" s="1355"/>
      <c r="Z36" s="1356"/>
    </row>
    <row r="37" spans="1:37">
      <c r="A37" s="2843"/>
      <c r="B37" s="2745" t="s">
        <v>2932</v>
      </c>
      <c r="C37" s="198" t="e">
        <f>ROUND(C5*C19*C20*C24*F37,0)</f>
        <v>#DIV/0!</v>
      </c>
      <c r="D37" s="2825"/>
      <c r="E37" s="198" t="e">
        <f t="shared" si="7"/>
        <v>#DIV/0!</v>
      </c>
      <c r="F37" s="204">
        <f>SUMIF(修正!A45:A56,G2,修正!F45:F56)</f>
        <v>0</v>
      </c>
      <c r="G37" s="198" t="e">
        <f t="shared" si="6"/>
        <v>#DIV/0!</v>
      </c>
      <c r="H37" s="198">
        <f t="shared" si="8"/>
        <v>0</v>
      </c>
      <c r="I37" s="198" t="e">
        <f t="shared" si="9"/>
        <v>#DIV/0!</v>
      </c>
      <c r="J37" s="2842"/>
      <c r="K37" s="1355"/>
      <c r="L37" s="2844" t="s">
        <v>2933</v>
      </c>
      <c r="M37" s="2845"/>
      <c r="N37" s="1355"/>
      <c r="O37" s="1355"/>
      <c r="P37" s="1355"/>
      <c r="Q37" s="1355"/>
      <c r="R37" s="1355"/>
      <c r="S37" s="1355"/>
      <c r="T37" s="1355"/>
      <c r="U37" s="1355"/>
      <c r="V37" s="1355"/>
      <c r="W37" s="1355"/>
      <c r="X37" s="1355"/>
      <c r="Y37" s="1355"/>
      <c r="Z37" s="1356"/>
    </row>
    <row r="38" spans="1:37">
      <c r="A38" s="2843"/>
      <c r="B38" s="2745" t="s">
        <v>2934</v>
      </c>
      <c r="C38" s="198" t="e">
        <f>ROUND(C5*C19*C20*C24*F38,0)</f>
        <v>#DIV/0!</v>
      </c>
      <c r="D38" s="2825"/>
      <c r="E38" s="198" t="e">
        <f t="shared" si="7"/>
        <v>#DIV/0!</v>
      </c>
      <c r="F38" s="204">
        <f>SUMIF(修正!A45:A56,G2,修正!G45:G56)</f>
        <v>0</v>
      </c>
      <c r="G38" s="198" t="e">
        <f t="shared" si="6"/>
        <v>#DIV/0!</v>
      </c>
      <c r="H38" s="198">
        <f t="shared" si="8"/>
        <v>0</v>
      </c>
      <c r="I38" s="198" t="e">
        <f t="shared" si="9"/>
        <v>#DIV/0!</v>
      </c>
      <c r="J38" s="2842"/>
      <c r="K38" s="1355"/>
      <c r="L38" s="1873" t="s">
        <v>2935</v>
      </c>
      <c r="M38" s="2846">
        <v>0.25</v>
      </c>
      <c r="N38" s="1355"/>
      <c r="O38" s="1355"/>
      <c r="P38" s="1355"/>
      <c r="Q38" s="1355"/>
      <c r="R38" s="1355"/>
      <c r="S38" s="1355"/>
      <c r="T38" s="1355"/>
      <c r="U38" s="1355"/>
      <c r="V38" s="1355"/>
      <c r="W38" s="1355"/>
      <c r="X38" s="1355"/>
      <c r="Y38" s="1355"/>
      <c r="Z38" s="1356"/>
    </row>
    <row r="39" spans="1:37" ht="13.5" thickBot="1">
      <c r="A39" s="2829"/>
      <c r="B39" s="2847" t="s">
        <v>2936</v>
      </c>
      <c r="C39" s="227" t="e">
        <f>ROUND(C5*C19*C20*C24*F39,0)</f>
        <v>#DIV/0!</v>
      </c>
      <c r="D39" s="2831"/>
      <c r="E39" s="227" t="e">
        <f t="shared" si="7"/>
        <v>#DIV/0!</v>
      </c>
      <c r="F39" s="925">
        <f>SUMIF(修正!A45:A56,G2,修正!H45:H56)</f>
        <v>0</v>
      </c>
      <c r="G39" s="227" t="e">
        <f t="shared" si="6"/>
        <v>#DIV/0!</v>
      </c>
      <c r="H39" s="227">
        <f t="shared" si="8"/>
        <v>0</v>
      </c>
      <c r="I39" s="227" t="e">
        <f t="shared" si="9"/>
        <v>#DIV/0!</v>
      </c>
      <c r="J39" s="2848"/>
      <c r="K39" s="1355"/>
      <c r="L39" s="2849" t="s">
        <v>2877</v>
      </c>
      <c r="M39" s="2850">
        <v>0.15</v>
      </c>
      <c r="N39" s="1355"/>
      <c r="O39" s="1355"/>
      <c r="P39" s="1355"/>
      <c r="Q39" s="1355"/>
      <c r="R39" s="1355"/>
      <c r="S39" s="1355"/>
      <c r="T39" s="1355"/>
      <c r="U39" s="1355"/>
      <c r="V39" s="1355"/>
      <c r="W39" s="1355"/>
      <c r="X39" s="1355"/>
      <c r="Y39" s="1355"/>
      <c r="Z39" s="1356"/>
    </row>
    <row r="40" spans="1:37" s="1355" customFormat="1">
      <c r="Z40" s="1356"/>
      <c r="AA40" s="1356"/>
      <c r="AB40" s="1356"/>
      <c r="AC40" s="1356"/>
      <c r="AD40" s="1356"/>
      <c r="AE40" s="1356"/>
      <c r="AF40" s="1356"/>
      <c r="AG40" s="1356"/>
      <c r="AH40" s="1356"/>
      <c r="AI40" s="1356"/>
      <c r="AJ40" s="1356"/>
    </row>
    <row r="41" spans="1:37" s="1355" customFormat="1">
      <c r="A41" s="1356"/>
      <c r="B41" s="2851"/>
      <c r="Z41" s="1356"/>
      <c r="AA41" s="1356"/>
      <c r="AB41" s="1356"/>
      <c r="AC41" s="1356"/>
      <c r="AD41" s="1356"/>
      <c r="AE41" s="1356"/>
      <c r="AF41" s="1356"/>
      <c r="AG41" s="1356"/>
      <c r="AH41" s="1356"/>
      <c r="AI41" s="1356"/>
      <c r="AJ41" s="1356"/>
    </row>
    <row r="42" spans="1:37" s="1355" customFormat="1">
      <c r="A42" s="1356"/>
      <c r="B42" s="2851"/>
      <c r="Z42" s="1356"/>
      <c r="AA42" s="1356"/>
      <c r="AB42" s="1356"/>
      <c r="AC42" s="1356"/>
      <c r="AD42" s="1356"/>
      <c r="AE42" s="1356"/>
      <c r="AF42" s="1356"/>
      <c r="AG42" s="1356"/>
      <c r="AH42" s="1356"/>
      <c r="AI42" s="1356"/>
      <c r="AJ42" s="1356"/>
    </row>
    <row r="43" spans="1:37" s="1355" customFormat="1">
      <c r="A43" s="1356"/>
      <c r="B43" s="2851"/>
      <c r="Z43" s="1356"/>
      <c r="AA43" s="1356"/>
      <c r="AB43" s="1356"/>
      <c r="AC43" s="1356"/>
      <c r="AD43" s="1356"/>
      <c r="AE43" s="1356"/>
      <c r="AF43" s="1356"/>
      <c r="AG43" s="1356"/>
      <c r="AH43" s="1356"/>
      <c r="AI43" s="1356"/>
      <c r="AJ43" s="1356"/>
    </row>
    <row r="44" spans="1:37" s="1355" customFormat="1">
      <c r="A44" s="1356"/>
      <c r="B44" s="2851"/>
      <c r="Z44" s="1356"/>
      <c r="AA44" s="1356"/>
      <c r="AB44" s="1356"/>
      <c r="AC44" s="1356"/>
      <c r="AD44" s="1356"/>
      <c r="AE44" s="1356"/>
      <c r="AF44" s="1356"/>
      <c r="AG44" s="1356"/>
      <c r="AH44" s="1356"/>
      <c r="AI44" s="1356"/>
      <c r="AJ44" s="1356"/>
    </row>
    <row r="45" spans="1:37" s="1355" customFormat="1" ht="15.75" thickBot="1">
      <c r="A45" s="2852" t="s">
        <v>2937</v>
      </c>
      <c r="B45" s="2853"/>
      <c r="C45" s="7"/>
      <c r="D45" s="7"/>
      <c r="E45" s="7"/>
      <c r="F45" s="6"/>
      <c r="G45" s="6"/>
      <c r="H45" s="6"/>
      <c r="I45" s="7"/>
      <c r="J45" s="7"/>
      <c r="K45" s="7"/>
      <c r="L45" s="7"/>
      <c r="M45" s="7"/>
      <c r="N45" s="2768"/>
      <c r="Z45" s="1356"/>
      <c r="AA45" s="1356"/>
      <c r="AB45" s="1356"/>
      <c r="AC45" s="1356"/>
      <c r="AD45" s="1356"/>
      <c r="AE45" s="1356"/>
      <c r="AF45" s="1356"/>
      <c r="AG45" s="1356"/>
      <c r="AH45" s="1356"/>
      <c r="AI45" s="1356"/>
      <c r="AJ45" s="1356"/>
    </row>
    <row r="46" spans="1:37" s="1355" customFormat="1" ht="15">
      <c r="A46" s="2854" t="s">
        <v>2938</v>
      </c>
      <c r="B46" s="2855">
        <f>1+E48</f>
        <v>1</v>
      </c>
      <c r="C46" s="2856"/>
      <c r="D46" s="804"/>
      <c r="E46" s="805"/>
      <c r="F46" s="2857"/>
      <c r="G46" s="6"/>
      <c r="H46" s="7"/>
      <c r="I46" s="7"/>
      <c r="J46" s="7"/>
      <c r="K46" s="7"/>
      <c r="L46" s="7"/>
      <c r="M46" s="7"/>
      <c r="N46" s="2768"/>
      <c r="Z46" s="1356"/>
      <c r="AA46" s="1356"/>
      <c r="AB46" s="1356"/>
      <c r="AC46" s="1356"/>
      <c r="AD46" s="1356"/>
      <c r="AE46" s="1356"/>
      <c r="AF46" s="1356"/>
      <c r="AG46" s="1356"/>
      <c r="AH46" s="1356"/>
      <c r="AI46" s="1356"/>
      <c r="AJ46" s="1356"/>
    </row>
    <row r="47" spans="1:37" s="1355" customFormat="1" ht="24.75">
      <c r="A47" s="2858" t="s">
        <v>2939</v>
      </c>
      <c r="B47" s="1795" t="s">
        <v>2940</v>
      </c>
      <c r="C47" s="1795" t="s">
        <v>2941</v>
      </c>
      <c r="D47" s="1795" t="s">
        <v>2942</v>
      </c>
      <c r="E47" s="809" t="s">
        <v>2943</v>
      </c>
      <c r="F47" s="2859" t="s">
        <v>2944</v>
      </c>
      <c r="G47" s="1795" t="s">
        <v>754</v>
      </c>
      <c r="H47" s="2860" t="s">
        <v>2945</v>
      </c>
      <c r="I47" s="1795" t="s">
        <v>2946</v>
      </c>
      <c r="J47" s="601" t="s">
        <v>2592</v>
      </c>
      <c r="K47" s="601" t="s">
        <v>2593</v>
      </c>
      <c r="L47" s="601" t="s">
        <v>2594</v>
      </c>
      <c r="M47" s="601" t="s">
        <v>2595</v>
      </c>
      <c r="N47" s="601" t="s">
        <v>2596</v>
      </c>
      <c r="AA47" s="1356"/>
      <c r="AB47" s="1356"/>
      <c r="AC47" s="1356"/>
      <c r="AD47" s="1356"/>
      <c r="AE47" s="1356"/>
      <c r="AF47" s="1356"/>
      <c r="AG47" s="1356"/>
      <c r="AH47" s="1356"/>
      <c r="AI47" s="1356"/>
      <c r="AJ47" s="1356"/>
      <c r="AK47" s="1356"/>
    </row>
    <row r="48" spans="1:37" s="1355" customFormat="1" ht="38.25">
      <c r="A48" s="2858" t="s">
        <v>2947</v>
      </c>
      <c r="B48" s="2861" t="str">
        <f>估价对象房地状况!C4</f>
        <v>估价对象位于XX商圈，周边商业氛围成熟，人流量大，商业繁华度好</v>
      </c>
      <c r="C48" s="2750"/>
      <c r="D48" s="1271">
        <f t="shared" ref="D48:D56" si="10">SUMIF($J$47:$N$47,C48,J48:N48)</f>
        <v>0</v>
      </c>
      <c r="E48" s="811">
        <f>ROUND(SUM(D48:D56),4)</f>
        <v>0</v>
      </c>
      <c r="F48" s="2484" t="str">
        <f>IF(E2="商业",SUMIF(L1:L12,G2,N1:N12),"——")</f>
        <v>——</v>
      </c>
      <c r="G48" s="1269"/>
      <c r="H48" s="1273" t="str">
        <f t="shared" ref="H48:H56" si="11">IFERROR(ROUNDDOWN($F$48*I48/2,4),"——")</f>
        <v>——</v>
      </c>
      <c r="I48" s="810">
        <v>0.33</v>
      </c>
      <c r="J48" s="1270">
        <f t="shared" ref="J48:J56" si="12">K48+$G48</f>
        <v>0</v>
      </c>
      <c r="K48" s="1270">
        <f t="shared" ref="K48:K56" si="13">$L48+$G48</f>
        <v>0</v>
      </c>
      <c r="L48" s="1270">
        <v>0</v>
      </c>
      <c r="M48" s="1270">
        <f t="shared" ref="M48:N56" si="14">L48-$G48</f>
        <v>0</v>
      </c>
      <c r="N48" s="1270">
        <f t="shared" si="14"/>
        <v>0</v>
      </c>
      <c r="AA48" s="1356"/>
      <c r="AB48" s="1356"/>
      <c r="AC48" s="1356"/>
      <c r="AD48" s="1356"/>
      <c r="AE48" s="1356"/>
      <c r="AF48" s="1356"/>
      <c r="AG48" s="1356"/>
      <c r="AH48" s="1356"/>
      <c r="AI48" s="1356"/>
      <c r="AJ48" s="1356"/>
      <c r="AK48" s="1356"/>
    </row>
    <row r="49" spans="1:37" s="1355" customFormat="1" ht="51">
      <c r="A49" s="2858" t="s">
        <v>2948</v>
      </c>
      <c r="B49" s="2862" t="str">
        <f>估价对象房地状况!C18</f>
        <v>估价对象周边道路状况、公共交通通达情况、停车便捷程度，综合评价交通便捷度较好</v>
      </c>
      <c r="C49" s="2750"/>
      <c r="D49" s="1271">
        <f t="shared" si="10"/>
        <v>0</v>
      </c>
      <c r="E49" s="812"/>
      <c r="F49" s="2484"/>
      <c r="G49" s="1269"/>
      <c r="H49" s="1273" t="str">
        <f t="shared" si="11"/>
        <v>——</v>
      </c>
      <c r="I49" s="810">
        <v>0.25</v>
      </c>
      <c r="J49" s="1270">
        <f t="shared" si="12"/>
        <v>0</v>
      </c>
      <c r="K49" s="1270">
        <f t="shared" si="13"/>
        <v>0</v>
      </c>
      <c r="L49" s="1270">
        <v>0</v>
      </c>
      <c r="M49" s="1270">
        <f t="shared" si="14"/>
        <v>0</v>
      </c>
      <c r="N49" s="1270">
        <f t="shared" si="14"/>
        <v>0</v>
      </c>
      <c r="AA49" s="1356"/>
      <c r="AB49" s="1356"/>
      <c r="AC49" s="1356"/>
      <c r="AD49" s="1356"/>
      <c r="AE49" s="1356"/>
      <c r="AF49" s="1356"/>
      <c r="AG49" s="1356"/>
      <c r="AH49" s="1356"/>
      <c r="AI49" s="1356"/>
      <c r="AJ49" s="1356"/>
      <c r="AK49" s="1356"/>
    </row>
    <row r="50" spans="1:37" s="1355" customFormat="1" ht="24">
      <c r="A50" s="2858" t="s">
        <v>2949</v>
      </c>
      <c r="B50" s="2862">
        <f>估价对象房地状况!C19</f>
        <v>0</v>
      </c>
      <c r="C50" s="2750"/>
      <c r="D50" s="1271">
        <f t="shared" si="10"/>
        <v>0</v>
      </c>
      <c r="E50" s="812"/>
      <c r="F50" s="2484"/>
      <c r="G50" s="1269"/>
      <c r="H50" s="1273" t="str">
        <f t="shared" si="11"/>
        <v>——</v>
      </c>
      <c r="I50" s="810">
        <v>0.05</v>
      </c>
      <c r="J50" s="1270">
        <f t="shared" si="12"/>
        <v>0</v>
      </c>
      <c r="K50" s="1270">
        <f t="shared" si="13"/>
        <v>0</v>
      </c>
      <c r="L50" s="1270">
        <v>0</v>
      </c>
      <c r="M50" s="1270">
        <f t="shared" si="14"/>
        <v>0</v>
      </c>
      <c r="N50" s="1270">
        <f t="shared" si="14"/>
        <v>0</v>
      </c>
      <c r="AA50" s="1356"/>
      <c r="AB50" s="1356"/>
      <c r="AC50" s="1356"/>
      <c r="AD50" s="1356"/>
      <c r="AE50" s="1356"/>
      <c r="AF50" s="1356"/>
      <c r="AG50" s="1356"/>
      <c r="AH50" s="1356"/>
      <c r="AI50" s="1356"/>
      <c r="AJ50" s="1356"/>
      <c r="AK50" s="1356"/>
    </row>
    <row r="51" spans="1:37" s="1355" customFormat="1" ht="36.75">
      <c r="A51" s="2858" t="s">
        <v>2950</v>
      </c>
      <c r="B51" s="2863" t="s">
        <v>2951</v>
      </c>
      <c r="C51" s="2750"/>
      <c r="D51" s="1271">
        <f t="shared" si="10"/>
        <v>0</v>
      </c>
      <c r="E51" s="812"/>
      <c r="F51" s="2484"/>
      <c r="G51" s="1269"/>
      <c r="H51" s="1273" t="str">
        <f t="shared" si="11"/>
        <v>——</v>
      </c>
      <c r="I51" s="810">
        <v>0.05</v>
      </c>
      <c r="J51" s="1270">
        <f t="shared" si="12"/>
        <v>0</v>
      </c>
      <c r="K51" s="1270">
        <f t="shared" si="13"/>
        <v>0</v>
      </c>
      <c r="L51" s="1270">
        <v>0</v>
      </c>
      <c r="M51" s="1270">
        <f t="shared" si="14"/>
        <v>0</v>
      </c>
      <c r="N51" s="1270">
        <f t="shared" si="14"/>
        <v>0</v>
      </c>
      <c r="AA51" s="1356"/>
      <c r="AB51" s="1356"/>
      <c r="AC51" s="1356"/>
      <c r="AD51" s="1356"/>
      <c r="AE51" s="1356"/>
      <c r="AF51" s="1356"/>
      <c r="AG51" s="1356"/>
      <c r="AH51" s="1356"/>
      <c r="AI51" s="1356"/>
      <c r="AJ51" s="1356"/>
      <c r="AK51" s="1356"/>
    </row>
    <row r="52" spans="1:37" s="1355" customFormat="1" ht="24">
      <c r="A52" s="2858" t="s">
        <v>2952</v>
      </c>
      <c r="B52" s="2862">
        <f>估价对象房地状况!C24</f>
        <v>0</v>
      </c>
      <c r="C52" s="2750"/>
      <c r="D52" s="1271">
        <f t="shared" si="10"/>
        <v>0</v>
      </c>
      <c r="E52" s="812"/>
      <c r="F52" s="2484"/>
      <c r="G52" s="1269"/>
      <c r="H52" s="1273" t="str">
        <f t="shared" si="11"/>
        <v>——</v>
      </c>
      <c r="I52" s="810">
        <v>0.08</v>
      </c>
      <c r="J52" s="1270">
        <f t="shared" si="12"/>
        <v>0</v>
      </c>
      <c r="K52" s="1270">
        <f t="shared" si="13"/>
        <v>0</v>
      </c>
      <c r="L52" s="1270">
        <v>0</v>
      </c>
      <c r="M52" s="1270">
        <f t="shared" si="14"/>
        <v>0</v>
      </c>
      <c r="N52" s="1270">
        <f t="shared" si="14"/>
        <v>0</v>
      </c>
      <c r="AA52" s="1356"/>
      <c r="AB52" s="1356"/>
      <c r="AC52" s="1356"/>
      <c r="AD52" s="1356"/>
      <c r="AE52" s="1356"/>
      <c r="AF52" s="1356"/>
      <c r="AG52" s="1356"/>
      <c r="AH52" s="1356"/>
      <c r="AI52" s="1356"/>
      <c r="AJ52" s="1356"/>
      <c r="AK52" s="1356"/>
    </row>
    <row r="53" spans="1:37" s="1355" customFormat="1" ht="24">
      <c r="A53" s="2858" t="s">
        <v>2953</v>
      </c>
      <c r="B53" s="2864" t="s">
        <v>2954</v>
      </c>
      <c r="C53" s="2750"/>
      <c r="D53" s="1271">
        <f t="shared" si="10"/>
        <v>0</v>
      </c>
      <c r="E53" s="812"/>
      <c r="F53" s="2484"/>
      <c r="G53" s="1269"/>
      <c r="H53" s="1273" t="str">
        <f t="shared" si="11"/>
        <v>——</v>
      </c>
      <c r="I53" s="810">
        <v>0.03</v>
      </c>
      <c r="J53" s="1270">
        <f t="shared" si="12"/>
        <v>0</v>
      </c>
      <c r="K53" s="1270">
        <f t="shared" si="13"/>
        <v>0</v>
      </c>
      <c r="L53" s="1270">
        <v>0</v>
      </c>
      <c r="M53" s="1270">
        <f t="shared" si="14"/>
        <v>0</v>
      </c>
      <c r="N53" s="1270">
        <f t="shared" si="14"/>
        <v>0</v>
      </c>
      <c r="AA53" s="1356"/>
      <c r="AB53" s="1356"/>
      <c r="AC53" s="1356"/>
      <c r="AD53" s="1356"/>
      <c r="AE53" s="1356"/>
      <c r="AF53" s="1356"/>
      <c r="AG53" s="1356"/>
      <c r="AH53" s="1356"/>
      <c r="AI53" s="1356"/>
      <c r="AJ53" s="1356"/>
      <c r="AK53" s="1356"/>
    </row>
    <row r="54" spans="1:37" s="1355" customFormat="1" ht="25.5">
      <c r="A54" s="2865" t="s">
        <v>2955</v>
      </c>
      <c r="B54" s="1711" t="str">
        <f>估价对象房地状况!C21</f>
        <v>估价对象所在区域公共配套设施齐备情况</v>
      </c>
      <c r="C54" s="2750"/>
      <c r="D54" s="1271">
        <f t="shared" si="10"/>
        <v>0</v>
      </c>
      <c r="E54" s="812"/>
      <c r="F54" s="2484"/>
      <c r="G54" s="1269"/>
      <c r="H54" s="1273" t="str">
        <f t="shared" si="11"/>
        <v>——</v>
      </c>
      <c r="I54" s="810">
        <v>0.05</v>
      </c>
      <c r="J54" s="1270">
        <f t="shared" si="12"/>
        <v>0</v>
      </c>
      <c r="K54" s="1270">
        <f t="shared" si="13"/>
        <v>0</v>
      </c>
      <c r="L54" s="1270">
        <v>0</v>
      </c>
      <c r="M54" s="1270">
        <f t="shared" si="14"/>
        <v>0</v>
      </c>
      <c r="N54" s="1270">
        <f t="shared" si="14"/>
        <v>0</v>
      </c>
      <c r="AA54" s="1356"/>
      <c r="AB54" s="1356"/>
      <c r="AC54" s="1356"/>
      <c r="AD54" s="1356"/>
      <c r="AE54" s="1356"/>
      <c r="AF54" s="1356"/>
      <c r="AG54" s="1356"/>
      <c r="AH54" s="1356"/>
      <c r="AI54" s="1356"/>
      <c r="AJ54" s="1356"/>
      <c r="AK54" s="1356"/>
    </row>
    <row r="55" spans="1:37" s="1355" customFormat="1" ht="25.5">
      <c r="A55" s="2865" t="s">
        <v>2956</v>
      </c>
      <c r="B55" s="2862" t="str">
        <f>估价对象房地状况!C22</f>
        <v>估价对象所在区域基础设施水平</v>
      </c>
      <c r="C55" s="2750"/>
      <c r="D55" s="1271">
        <f t="shared" si="10"/>
        <v>0</v>
      </c>
      <c r="E55" s="812"/>
      <c r="F55" s="2484"/>
      <c r="G55" s="1269"/>
      <c r="H55" s="1273" t="str">
        <f t="shared" si="11"/>
        <v>——</v>
      </c>
      <c r="I55" s="810">
        <v>0.1</v>
      </c>
      <c r="J55" s="1270">
        <f t="shared" si="12"/>
        <v>0</v>
      </c>
      <c r="K55" s="1270">
        <f t="shared" si="13"/>
        <v>0</v>
      </c>
      <c r="L55" s="1270">
        <v>0</v>
      </c>
      <c r="M55" s="1270">
        <f t="shared" si="14"/>
        <v>0</v>
      </c>
      <c r="N55" s="1270">
        <f t="shared" si="14"/>
        <v>0</v>
      </c>
      <c r="AA55" s="1356"/>
      <c r="AB55" s="1356"/>
      <c r="AC55" s="1356"/>
      <c r="AD55" s="1356"/>
      <c r="AE55" s="1356"/>
      <c r="AF55" s="1356"/>
      <c r="AG55" s="1356"/>
      <c r="AH55" s="1356"/>
      <c r="AI55" s="1356"/>
      <c r="AJ55" s="1356"/>
      <c r="AK55" s="1356"/>
    </row>
    <row r="56" spans="1:37" s="1355" customFormat="1" ht="39" thickBot="1">
      <c r="A56" s="2866" t="s">
        <v>2957</v>
      </c>
      <c r="B56" s="2867" t="str">
        <f>估价对象房地状况!C20</f>
        <v>区域自然环境：；人文环境；综合评价环境状况一般</v>
      </c>
      <c r="C56" s="2750"/>
      <c r="D56" s="1271">
        <f t="shared" si="10"/>
        <v>0</v>
      </c>
      <c r="E56" s="815"/>
      <c r="F56" s="2484"/>
      <c r="G56" s="1269"/>
      <c r="H56" s="1273" t="str">
        <f t="shared" si="11"/>
        <v>——</v>
      </c>
      <c r="I56" s="814">
        <v>0.06</v>
      </c>
      <c r="J56" s="1270">
        <f t="shared" si="12"/>
        <v>0</v>
      </c>
      <c r="K56" s="1270">
        <f t="shared" si="13"/>
        <v>0</v>
      </c>
      <c r="L56" s="1270">
        <v>0</v>
      </c>
      <c r="M56" s="1270">
        <f t="shared" si="14"/>
        <v>0</v>
      </c>
      <c r="N56" s="1270">
        <f t="shared" si="14"/>
        <v>0</v>
      </c>
      <c r="AA56" s="1356"/>
      <c r="AB56" s="1356"/>
      <c r="AC56" s="1356"/>
      <c r="AD56" s="1356"/>
      <c r="AE56" s="1356"/>
      <c r="AF56" s="1356"/>
      <c r="AG56" s="1356"/>
      <c r="AH56" s="1356"/>
      <c r="AI56" s="1356"/>
      <c r="AJ56" s="1356"/>
      <c r="AK56" s="1356"/>
    </row>
    <row r="57" spans="1:37" s="1355" customFormat="1" ht="15">
      <c r="A57" s="2854" t="s">
        <v>2958</v>
      </c>
      <c r="B57" s="2855">
        <f>1+E59</f>
        <v>1</v>
      </c>
      <c r="C57" s="804"/>
      <c r="D57" s="804"/>
      <c r="E57" s="805"/>
      <c r="F57" s="2857"/>
      <c r="G57" s="6"/>
      <c r="H57" s="6"/>
      <c r="I57" s="6"/>
      <c r="J57" s="7"/>
      <c r="K57" s="7"/>
      <c r="L57" s="7"/>
      <c r="M57" s="7"/>
      <c r="N57" s="7"/>
      <c r="AA57" s="1356"/>
      <c r="AB57" s="1356"/>
      <c r="AC57" s="1356"/>
      <c r="AD57" s="1356"/>
      <c r="AE57" s="1356"/>
      <c r="AF57" s="1356"/>
      <c r="AG57" s="1356"/>
      <c r="AH57" s="1356"/>
      <c r="AI57" s="1356"/>
      <c r="AJ57" s="1356"/>
      <c r="AK57" s="1356"/>
    </row>
    <row r="58" spans="1:37" s="1355" customFormat="1" ht="24.75">
      <c r="A58" s="2858" t="s">
        <v>2939</v>
      </c>
      <c r="B58" s="1795"/>
      <c r="C58" s="1795" t="s">
        <v>2941</v>
      </c>
      <c r="D58" s="1795" t="s">
        <v>2942</v>
      </c>
      <c r="E58" s="809" t="s">
        <v>2943</v>
      </c>
      <c r="F58" s="2859" t="s">
        <v>2959</v>
      </c>
      <c r="G58" s="1795" t="s">
        <v>754</v>
      </c>
      <c r="H58" s="2860" t="s">
        <v>2945</v>
      </c>
      <c r="I58" s="1795" t="s">
        <v>2946</v>
      </c>
      <c r="J58" s="601" t="s">
        <v>2592</v>
      </c>
      <c r="K58" s="601" t="s">
        <v>2593</v>
      </c>
      <c r="L58" s="601" t="s">
        <v>2594</v>
      </c>
      <c r="M58" s="601" t="s">
        <v>2595</v>
      </c>
      <c r="N58" s="601" t="s">
        <v>2596</v>
      </c>
      <c r="AA58" s="1356"/>
      <c r="AB58" s="1356"/>
      <c r="AC58" s="1356"/>
      <c r="AD58" s="1356"/>
      <c r="AE58" s="1356"/>
      <c r="AF58" s="1356"/>
      <c r="AG58" s="1356"/>
      <c r="AH58" s="1356"/>
      <c r="AI58" s="1356"/>
      <c r="AJ58" s="1356"/>
      <c r="AK58" s="1356"/>
    </row>
    <row r="59" spans="1:37" s="1355" customFormat="1" ht="38.25">
      <c r="A59" s="2858" t="s">
        <v>2960</v>
      </c>
      <c r="B59" s="2861" t="str">
        <f>估价对象房地状况!C17</f>
        <v>估价对象位于XX商圈，周边办公楼项目较多，入驻率高，办公集聚程度较好</v>
      </c>
      <c r="C59" s="2750"/>
      <c r="D59" s="1271">
        <f t="shared" ref="D59:D67" si="15">SUMIF($J$58:$N$58,C59,J59:N59)</f>
        <v>0</v>
      </c>
      <c r="E59" s="811">
        <f>ROUND(SUM(D59:D67),4)</f>
        <v>0</v>
      </c>
      <c r="F59" s="2484" t="str">
        <f>IF(E2="办公",SUMIF(L1:L12,G2,N1:N12),"——")</f>
        <v>——</v>
      </c>
      <c r="G59" s="1269"/>
      <c r="H59" s="1273" t="str">
        <f t="shared" ref="H59:H67" si="16">IFERROR(ROUNDDOWN($F$59*I59/2,4),"——")</f>
        <v>——</v>
      </c>
      <c r="I59" s="810">
        <v>0.24</v>
      </c>
      <c r="J59" s="1270">
        <f t="shared" ref="J59:J67" si="17">K59+$G59</f>
        <v>0</v>
      </c>
      <c r="K59" s="1270">
        <f t="shared" ref="K59:K67" si="18">$L59+$G59</f>
        <v>0</v>
      </c>
      <c r="L59" s="1270">
        <v>0</v>
      </c>
      <c r="M59" s="1270">
        <f t="shared" ref="M59:N67" si="19">L59-$G59</f>
        <v>0</v>
      </c>
      <c r="N59" s="1270">
        <f t="shared" si="19"/>
        <v>0</v>
      </c>
      <c r="AA59" s="1356"/>
      <c r="AB59" s="1356"/>
      <c r="AC59" s="1356"/>
      <c r="AD59" s="1356"/>
      <c r="AE59" s="1356"/>
      <c r="AF59" s="1356"/>
      <c r="AG59" s="1356"/>
      <c r="AH59" s="1356"/>
      <c r="AI59" s="1356"/>
      <c r="AJ59" s="1356"/>
      <c r="AK59" s="1356"/>
    </row>
    <row r="60" spans="1:37" s="1355" customFormat="1" ht="51">
      <c r="A60" s="2858" t="s">
        <v>2948</v>
      </c>
      <c r="B60" s="2862" t="str">
        <f>估价对象房地状况!C18</f>
        <v>估价对象周边道路状况、公共交通通达情况、停车便捷程度，综合评价交通便捷度较好</v>
      </c>
      <c r="C60" s="2750"/>
      <c r="D60" s="1271">
        <f t="shared" si="15"/>
        <v>0</v>
      </c>
      <c r="E60" s="812"/>
      <c r="F60" s="2484"/>
      <c r="G60" s="1269"/>
      <c r="H60" s="1273" t="str">
        <f t="shared" si="16"/>
        <v>——</v>
      </c>
      <c r="I60" s="810">
        <v>0.3</v>
      </c>
      <c r="J60" s="1270">
        <f t="shared" si="17"/>
        <v>0</v>
      </c>
      <c r="K60" s="1270">
        <f t="shared" si="18"/>
        <v>0</v>
      </c>
      <c r="L60" s="1270">
        <v>0</v>
      </c>
      <c r="M60" s="1270">
        <f t="shared" si="19"/>
        <v>0</v>
      </c>
      <c r="N60" s="1270">
        <f t="shared" si="19"/>
        <v>0</v>
      </c>
      <c r="AA60" s="1356"/>
      <c r="AB60" s="1356"/>
      <c r="AC60" s="1356"/>
      <c r="AD60" s="1356"/>
      <c r="AE60" s="1356"/>
      <c r="AF60" s="1356"/>
      <c r="AG60" s="1356"/>
      <c r="AH60" s="1356"/>
      <c r="AI60" s="1356"/>
      <c r="AJ60" s="1356"/>
      <c r="AK60" s="1356"/>
    </row>
    <row r="61" spans="1:37" s="1355" customFormat="1" ht="24">
      <c r="A61" s="2858" t="s">
        <v>2949</v>
      </c>
      <c r="B61" s="2862">
        <f>估价对象房地状况!C19</f>
        <v>0</v>
      </c>
      <c r="C61" s="2750"/>
      <c r="D61" s="1271">
        <f t="shared" si="15"/>
        <v>0</v>
      </c>
      <c r="E61" s="812"/>
      <c r="F61" s="2484"/>
      <c r="G61" s="1269"/>
      <c r="H61" s="1273" t="str">
        <f t="shared" si="16"/>
        <v>——</v>
      </c>
      <c r="I61" s="810">
        <v>0.08</v>
      </c>
      <c r="J61" s="1270">
        <f t="shared" si="17"/>
        <v>0</v>
      </c>
      <c r="K61" s="1270">
        <f t="shared" si="18"/>
        <v>0</v>
      </c>
      <c r="L61" s="1270">
        <v>0</v>
      </c>
      <c r="M61" s="1270">
        <f t="shared" si="19"/>
        <v>0</v>
      </c>
      <c r="N61" s="1270">
        <f t="shared" si="19"/>
        <v>0</v>
      </c>
      <c r="AA61" s="1356"/>
      <c r="AB61" s="1356"/>
      <c r="AC61" s="1356"/>
      <c r="AD61" s="1356"/>
      <c r="AE61" s="1356"/>
      <c r="AF61" s="1356"/>
      <c r="AG61" s="1356"/>
      <c r="AH61" s="1356"/>
      <c r="AI61" s="1356"/>
      <c r="AJ61" s="1356"/>
      <c r="AK61" s="1356"/>
    </row>
    <row r="62" spans="1:37" s="1355" customFormat="1" ht="36.75">
      <c r="A62" s="2858" t="s">
        <v>2950</v>
      </c>
      <c r="B62" s="2863" t="s">
        <v>2951</v>
      </c>
      <c r="C62" s="2750"/>
      <c r="D62" s="1271">
        <f t="shared" si="15"/>
        <v>0</v>
      </c>
      <c r="E62" s="812"/>
      <c r="F62" s="2484"/>
      <c r="G62" s="1269"/>
      <c r="H62" s="1273" t="str">
        <f t="shared" si="16"/>
        <v>——</v>
      </c>
      <c r="I62" s="810">
        <v>0.04</v>
      </c>
      <c r="J62" s="1270">
        <f t="shared" si="17"/>
        <v>0</v>
      </c>
      <c r="K62" s="1270">
        <f t="shared" si="18"/>
        <v>0</v>
      </c>
      <c r="L62" s="1270">
        <v>0</v>
      </c>
      <c r="M62" s="1270">
        <f t="shared" si="19"/>
        <v>0</v>
      </c>
      <c r="N62" s="1270">
        <f t="shared" si="19"/>
        <v>0</v>
      </c>
      <c r="AA62" s="1356"/>
      <c r="AB62" s="1356"/>
      <c r="AC62" s="1356"/>
      <c r="AD62" s="1356"/>
      <c r="AE62" s="1356"/>
      <c r="AF62" s="1356"/>
      <c r="AG62" s="1356"/>
      <c r="AH62" s="1356"/>
      <c r="AI62" s="1356"/>
      <c r="AJ62" s="1356"/>
      <c r="AK62" s="1356"/>
    </row>
    <row r="63" spans="1:37" s="1355" customFormat="1" ht="24">
      <c r="A63" s="2858" t="s">
        <v>2952</v>
      </c>
      <c r="B63" s="2862">
        <f>估价对象房地状况!C24</f>
        <v>0</v>
      </c>
      <c r="C63" s="2750"/>
      <c r="D63" s="1271">
        <f t="shared" si="15"/>
        <v>0</v>
      </c>
      <c r="E63" s="812"/>
      <c r="F63" s="2484"/>
      <c r="G63" s="1269"/>
      <c r="H63" s="1273" t="str">
        <f t="shared" si="16"/>
        <v>——</v>
      </c>
      <c r="I63" s="810">
        <v>0.05</v>
      </c>
      <c r="J63" s="1270">
        <f t="shared" si="17"/>
        <v>0</v>
      </c>
      <c r="K63" s="1270">
        <f t="shared" si="18"/>
        <v>0</v>
      </c>
      <c r="L63" s="1270">
        <v>0</v>
      </c>
      <c r="M63" s="1270">
        <f t="shared" si="19"/>
        <v>0</v>
      </c>
      <c r="N63" s="1270">
        <f t="shared" si="19"/>
        <v>0</v>
      </c>
      <c r="AA63" s="1356"/>
      <c r="AB63" s="1356"/>
      <c r="AC63" s="1356"/>
      <c r="AD63" s="1356"/>
      <c r="AE63" s="1356"/>
      <c r="AF63" s="1356"/>
      <c r="AG63" s="1356"/>
      <c r="AH63" s="1356"/>
      <c r="AI63" s="1356"/>
      <c r="AJ63" s="1356"/>
      <c r="AK63" s="1356"/>
    </row>
    <row r="64" spans="1:37" s="1355" customFormat="1" ht="24">
      <c r="A64" s="2858" t="s">
        <v>2953</v>
      </c>
      <c r="B64" s="2864" t="s">
        <v>2954</v>
      </c>
      <c r="C64" s="2750"/>
      <c r="D64" s="1271">
        <f t="shared" si="15"/>
        <v>0</v>
      </c>
      <c r="E64" s="812"/>
      <c r="F64" s="2484"/>
      <c r="G64" s="1269"/>
      <c r="H64" s="1273" t="str">
        <f t="shared" si="16"/>
        <v>——</v>
      </c>
      <c r="I64" s="810">
        <v>0.05</v>
      </c>
      <c r="J64" s="1270">
        <f t="shared" si="17"/>
        <v>0</v>
      </c>
      <c r="K64" s="1270">
        <f t="shared" si="18"/>
        <v>0</v>
      </c>
      <c r="L64" s="1270">
        <v>0</v>
      </c>
      <c r="M64" s="1270">
        <f t="shared" si="19"/>
        <v>0</v>
      </c>
      <c r="N64" s="1270">
        <f t="shared" si="19"/>
        <v>0</v>
      </c>
      <c r="AA64" s="1356"/>
      <c r="AB64" s="1356"/>
      <c r="AC64" s="1356"/>
      <c r="AD64" s="1356"/>
      <c r="AE64" s="1356"/>
      <c r="AF64" s="1356"/>
      <c r="AG64" s="1356"/>
      <c r="AH64" s="1356"/>
      <c r="AI64" s="1356"/>
      <c r="AJ64" s="1356"/>
      <c r="AK64" s="1356"/>
    </row>
    <row r="65" spans="1:37" s="1355" customFormat="1" ht="25.5">
      <c r="A65" s="2858" t="s">
        <v>2955</v>
      </c>
      <c r="B65" s="1711" t="str">
        <f>估价对象房地状况!C21</f>
        <v>估价对象所在区域公共配套设施齐备情况</v>
      </c>
      <c r="C65" s="2750"/>
      <c r="D65" s="1271">
        <f t="shared" si="15"/>
        <v>0</v>
      </c>
      <c r="E65" s="812"/>
      <c r="F65" s="2484"/>
      <c r="G65" s="1269"/>
      <c r="H65" s="1273" t="str">
        <f t="shared" si="16"/>
        <v>——</v>
      </c>
      <c r="I65" s="810">
        <v>0.06</v>
      </c>
      <c r="J65" s="1270">
        <f t="shared" si="17"/>
        <v>0</v>
      </c>
      <c r="K65" s="1270">
        <f t="shared" si="18"/>
        <v>0</v>
      </c>
      <c r="L65" s="1270">
        <v>0</v>
      </c>
      <c r="M65" s="1270">
        <f t="shared" si="19"/>
        <v>0</v>
      </c>
      <c r="N65" s="1270">
        <f t="shared" si="19"/>
        <v>0</v>
      </c>
      <c r="AA65" s="1356"/>
      <c r="AB65" s="1356"/>
      <c r="AC65" s="1356"/>
      <c r="AD65" s="1356"/>
      <c r="AE65" s="1356"/>
      <c r="AF65" s="1356"/>
      <c r="AG65" s="1356"/>
      <c r="AH65" s="1356"/>
      <c r="AI65" s="1356"/>
      <c r="AJ65" s="1356"/>
      <c r="AK65" s="1356"/>
    </row>
    <row r="66" spans="1:37" s="1355" customFormat="1" ht="25.5">
      <c r="A66" s="2858" t="s">
        <v>2956</v>
      </c>
      <c r="B66" s="1711" t="str">
        <f>估价对象房地状况!C22</f>
        <v>估价对象所在区域基础设施水平</v>
      </c>
      <c r="C66" s="2750"/>
      <c r="D66" s="1271">
        <f t="shared" si="15"/>
        <v>0</v>
      </c>
      <c r="E66" s="812"/>
      <c r="F66" s="2484"/>
      <c r="G66" s="1269"/>
      <c r="H66" s="1273" t="str">
        <f t="shared" si="16"/>
        <v>——</v>
      </c>
      <c r="I66" s="810">
        <v>0.12</v>
      </c>
      <c r="J66" s="1270">
        <f t="shared" si="17"/>
        <v>0</v>
      </c>
      <c r="K66" s="1270">
        <f t="shared" si="18"/>
        <v>0</v>
      </c>
      <c r="L66" s="1270">
        <v>0</v>
      </c>
      <c r="M66" s="1270">
        <f t="shared" si="19"/>
        <v>0</v>
      </c>
      <c r="N66" s="1270">
        <f t="shared" si="19"/>
        <v>0</v>
      </c>
      <c r="AA66" s="1356"/>
      <c r="AB66" s="1356"/>
      <c r="AC66" s="1356"/>
      <c r="AD66" s="1356"/>
      <c r="AE66" s="1356"/>
      <c r="AF66" s="1356"/>
      <c r="AG66" s="1356"/>
      <c r="AH66" s="1356"/>
      <c r="AI66" s="1356"/>
      <c r="AJ66" s="1356"/>
      <c r="AK66" s="1356"/>
    </row>
    <row r="67" spans="1:37" s="1355" customFormat="1" ht="39" thickBot="1">
      <c r="A67" s="2866" t="s">
        <v>2957</v>
      </c>
      <c r="B67" s="2868" t="str">
        <f>估价对象房地状况!C20</f>
        <v>区域自然环境：；人文环境；综合评价环境状况一般</v>
      </c>
      <c r="C67" s="2750"/>
      <c r="D67" s="1271">
        <f t="shared" si="15"/>
        <v>0</v>
      </c>
      <c r="E67" s="815"/>
      <c r="F67" s="2484"/>
      <c r="G67" s="1269"/>
      <c r="H67" s="1273" t="str">
        <f t="shared" si="16"/>
        <v>——</v>
      </c>
      <c r="I67" s="814">
        <v>0.06</v>
      </c>
      <c r="J67" s="1270">
        <f t="shared" si="17"/>
        <v>0</v>
      </c>
      <c r="K67" s="1270">
        <f t="shared" si="18"/>
        <v>0</v>
      </c>
      <c r="L67" s="1270">
        <v>0</v>
      </c>
      <c r="M67" s="1270">
        <f t="shared" si="19"/>
        <v>0</v>
      </c>
      <c r="N67" s="1270">
        <f t="shared" si="19"/>
        <v>0</v>
      </c>
      <c r="AA67" s="1356"/>
      <c r="AB67" s="1356"/>
      <c r="AC67" s="1356"/>
      <c r="AD67" s="1356"/>
      <c r="AE67" s="1356"/>
      <c r="AF67" s="1356"/>
      <c r="AG67" s="1356"/>
      <c r="AH67" s="1356"/>
      <c r="AI67" s="1356"/>
      <c r="AJ67" s="1356"/>
      <c r="AK67" s="1356"/>
    </row>
    <row r="68" spans="1:37" s="1355" customFormat="1" ht="15">
      <c r="A68" s="2854" t="s">
        <v>2961</v>
      </c>
      <c r="B68" s="2855">
        <f>1+E70</f>
        <v>1</v>
      </c>
      <c r="C68" s="804"/>
      <c r="D68" s="804"/>
      <c r="E68" s="805"/>
      <c r="F68" s="2857"/>
      <c r="G68" s="6"/>
      <c r="H68" s="6"/>
      <c r="I68" s="6"/>
      <c r="J68" s="7"/>
      <c r="K68" s="7"/>
      <c r="L68" s="7"/>
      <c r="M68" s="7"/>
      <c r="N68" s="7"/>
      <c r="AA68" s="1356"/>
      <c r="AB68" s="1356"/>
      <c r="AC68" s="1356"/>
      <c r="AD68" s="1356"/>
      <c r="AE68" s="1356"/>
      <c r="AF68" s="1356"/>
      <c r="AG68" s="1356"/>
      <c r="AH68" s="1356"/>
      <c r="AI68" s="1356"/>
      <c r="AJ68" s="1356"/>
      <c r="AK68" s="1356"/>
    </row>
    <row r="69" spans="1:37" s="1355" customFormat="1" ht="24.75">
      <c r="A69" s="2858" t="s">
        <v>2939</v>
      </c>
      <c r="B69" s="1795"/>
      <c r="C69" s="1795" t="s">
        <v>2941</v>
      </c>
      <c r="D69" s="1795" t="s">
        <v>2942</v>
      </c>
      <c r="E69" s="809" t="s">
        <v>2943</v>
      </c>
      <c r="F69" s="2859" t="s">
        <v>2959</v>
      </c>
      <c r="G69" s="1795" t="s">
        <v>754</v>
      </c>
      <c r="H69" s="2860" t="s">
        <v>2945</v>
      </c>
      <c r="I69" s="1795" t="s">
        <v>2946</v>
      </c>
      <c r="J69" s="601" t="s">
        <v>2592</v>
      </c>
      <c r="K69" s="601" t="s">
        <v>2593</v>
      </c>
      <c r="L69" s="601" t="s">
        <v>2594</v>
      </c>
      <c r="M69" s="601" t="s">
        <v>2595</v>
      </c>
      <c r="N69" s="601" t="s">
        <v>2596</v>
      </c>
      <c r="AA69" s="1356"/>
      <c r="AB69" s="1356"/>
      <c r="AC69" s="1356"/>
      <c r="AD69" s="1356"/>
      <c r="AE69" s="1356"/>
      <c r="AF69" s="1356"/>
      <c r="AG69" s="1356"/>
      <c r="AH69" s="1356"/>
      <c r="AI69" s="1356"/>
      <c r="AJ69" s="1356"/>
      <c r="AK69" s="1356"/>
    </row>
    <row r="70" spans="1:37" s="1355" customFormat="1" ht="51">
      <c r="A70" s="2858" t="s">
        <v>2962</v>
      </c>
      <c r="B70" s="2861" t="str">
        <f>估价对象房地状况!C15</f>
        <v>估价对象周边居住用地比例、居住小区规模和社区发展完善程度，综合评价居住社区成熟度一般</v>
      </c>
      <c r="C70" s="2750"/>
      <c r="D70" s="1271">
        <f t="shared" ref="D70:D78" si="20">SUMIF($J$69:$N$69,C70,J70:N70)</f>
        <v>0</v>
      </c>
      <c r="E70" s="811">
        <f>ROUND(SUM(D70:D78),4)</f>
        <v>0</v>
      </c>
      <c r="F70" s="2484" t="str">
        <f>IF(E2="住宅",SUMIF(L1:L12,G2,N1:N12),"——")</f>
        <v>——</v>
      </c>
      <c r="G70" s="1269"/>
      <c r="H70" s="1273" t="str">
        <f t="shared" ref="H70:H78" si="21">IFERROR(ROUNDDOWN($F$70*I70/2,4),"——")</f>
        <v>——</v>
      </c>
      <c r="I70" s="810">
        <v>0.14000000000000001</v>
      </c>
      <c r="J70" s="1270">
        <f t="shared" ref="J70:J78" si="22">K70+$G70</f>
        <v>0</v>
      </c>
      <c r="K70" s="1270">
        <f t="shared" ref="K70:K78" si="23">$L70+$G70</f>
        <v>0</v>
      </c>
      <c r="L70" s="1270">
        <v>0</v>
      </c>
      <c r="M70" s="1270">
        <f t="shared" ref="M70:N78" si="24">L70-$G70</f>
        <v>0</v>
      </c>
      <c r="N70" s="1270">
        <f t="shared" si="24"/>
        <v>0</v>
      </c>
      <c r="AA70" s="1356"/>
      <c r="AB70" s="1356"/>
      <c r="AC70" s="1356"/>
      <c r="AD70" s="1356"/>
      <c r="AE70" s="1356"/>
      <c r="AF70" s="1356"/>
      <c r="AG70" s="1356"/>
      <c r="AH70" s="1356"/>
      <c r="AI70" s="1356"/>
      <c r="AJ70" s="1356"/>
      <c r="AK70" s="1356"/>
    </row>
    <row r="71" spans="1:37" s="1355" customFormat="1" ht="51">
      <c r="A71" s="2858" t="s">
        <v>2948</v>
      </c>
      <c r="B71" s="2862" t="str">
        <f>估价对象房地状况!C18</f>
        <v>估价对象周边道路状况、公共交通通达情况、停车便捷程度，综合评价交通便捷度较好</v>
      </c>
      <c r="C71" s="2750"/>
      <c r="D71" s="1271">
        <f t="shared" si="20"/>
        <v>0</v>
      </c>
      <c r="E71" s="816"/>
      <c r="F71" s="2484"/>
      <c r="G71" s="1269"/>
      <c r="H71" s="1273" t="str">
        <f t="shared" si="21"/>
        <v>——</v>
      </c>
      <c r="I71" s="810">
        <v>0.3</v>
      </c>
      <c r="J71" s="1270">
        <f t="shared" si="22"/>
        <v>0</v>
      </c>
      <c r="K71" s="1270">
        <f t="shared" si="23"/>
        <v>0</v>
      </c>
      <c r="L71" s="1270">
        <v>0</v>
      </c>
      <c r="M71" s="1270">
        <f t="shared" si="24"/>
        <v>0</v>
      </c>
      <c r="N71" s="1270">
        <f t="shared" si="24"/>
        <v>0</v>
      </c>
      <c r="AA71" s="1356"/>
      <c r="AB71" s="1356"/>
      <c r="AC71" s="1356"/>
      <c r="AD71" s="1356"/>
      <c r="AE71" s="1356"/>
      <c r="AF71" s="1356"/>
      <c r="AG71" s="1356"/>
      <c r="AH71" s="1356"/>
      <c r="AI71" s="1356"/>
      <c r="AJ71" s="1356"/>
      <c r="AK71" s="1356"/>
    </row>
    <row r="72" spans="1:37" s="1355" customFormat="1" ht="24">
      <c r="A72" s="2858" t="s">
        <v>2949</v>
      </c>
      <c r="B72" s="2862">
        <f>估价对象房地状况!C19</f>
        <v>0</v>
      </c>
      <c r="C72" s="2750"/>
      <c r="D72" s="1271">
        <f t="shared" si="20"/>
        <v>0</v>
      </c>
      <c r="E72" s="816"/>
      <c r="F72" s="2484"/>
      <c r="G72" s="1269"/>
      <c r="H72" s="1273" t="str">
        <f t="shared" si="21"/>
        <v>——</v>
      </c>
      <c r="I72" s="810">
        <v>0.08</v>
      </c>
      <c r="J72" s="1270">
        <f t="shared" si="22"/>
        <v>0</v>
      </c>
      <c r="K72" s="1270">
        <f t="shared" si="23"/>
        <v>0</v>
      </c>
      <c r="L72" s="1270">
        <v>0</v>
      </c>
      <c r="M72" s="1270">
        <f t="shared" si="24"/>
        <v>0</v>
      </c>
      <c r="N72" s="1270">
        <f t="shared" si="24"/>
        <v>0</v>
      </c>
      <c r="AA72" s="1356"/>
      <c r="AB72" s="1356"/>
      <c r="AC72" s="1356"/>
      <c r="AD72" s="1356"/>
      <c r="AE72" s="1356"/>
      <c r="AF72" s="1356"/>
      <c r="AG72" s="1356"/>
      <c r="AH72" s="1356"/>
      <c r="AI72" s="1356"/>
      <c r="AJ72" s="1356"/>
      <c r="AK72" s="1356"/>
    </row>
    <row r="73" spans="1:37" s="1355" customFormat="1" ht="14.25">
      <c r="A73" s="2858" t="s">
        <v>2963</v>
      </c>
      <c r="B73" s="2862">
        <f>估价对象房地状况!C24</f>
        <v>0</v>
      </c>
      <c r="C73" s="2750"/>
      <c r="D73" s="1271">
        <f t="shared" si="20"/>
        <v>0</v>
      </c>
      <c r="E73" s="816"/>
      <c r="F73" s="2484"/>
      <c r="G73" s="1269"/>
      <c r="H73" s="1273" t="str">
        <f t="shared" si="21"/>
        <v>——</v>
      </c>
      <c r="I73" s="810">
        <v>0.04</v>
      </c>
      <c r="J73" s="1270">
        <f t="shared" si="22"/>
        <v>0</v>
      </c>
      <c r="K73" s="1270">
        <f t="shared" si="23"/>
        <v>0</v>
      </c>
      <c r="L73" s="1270">
        <v>0</v>
      </c>
      <c r="M73" s="1270">
        <f t="shared" si="24"/>
        <v>0</v>
      </c>
      <c r="N73" s="1270">
        <f t="shared" si="24"/>
        <v>0</v>
      </c>
      <c r="AA73" s="1356"/>
      <c r="AB73" s="1356"/>
      <c r="AC73" s="1356"/>
      <c r="AD73" s="1356"/>
      <c r="AE73" s="1356"/>
      <c r="AF73" s="1356"/>
      <c r="AG73" s="1356"/>
      <c r="AH73" s="1356"/>
      <c r="AI73" s="1356"/>
      <c r="AJ73" s="1356"/>
      <c r="AK73" s="1356"/>
    </row>
    <row r="74" spans="1:37" s="1355" customFormat="1" ht="25.5">
      <c r="A74" s="2858" t="s">
        <v>2955</v>
      </c>
      <c r="B74" s="1711" t="str">
        <f>估价对象房地状况!C21</f>
        <v>估价对象所在区域公共配套设施齐备情况</v>
      </c>
      <c r="C74" s="2750"/>
      <c r="D74" s="1271">
        <f t="shared" si="20"/>
        <v>0</v>
      </c>
      <c r="E74" s="816"/>
      <c r="F74" s="2484"/>
      <c r="G74" s="1269"/>
      <c r="H74" s="1273" t="str">
        <f t="shared" si="21"/>
        <v>——</v>
      </c>
      <c r="I74" s="810">
        <v>0.08</v>
      </c>
      <c r="J74" s="1270">
        <f t="shared" si="22"/>
        <v>0</v>
      </c>
      <c r="K74" s="1270">
        <f t="shared" si="23"/>
        <v>0</v>
      </c>
      <c r="L74" s="1270">
        <v>0</v>
      </c>
      <c r="M74" s="1270">
        <f t="shared" si="24"/>
        <v>0</v>
      </c>
      <c r="N74" s="1270">
        <f t="shared" si="24"/>
        <v>0</v>
      </c>
      <c r="AA74" s="1356"/>
      <c r="AB74" s="1356"/>
      <c r="AC74" s="1356"/>
      <c r="AD74" s="1356"/>
      <c r="AE74" s="1356"/>
      <c r="AF74" s="1356"/>
      <c r="AG74" s="1356"/>
      <c r="AH74" s="1356"/>
      <c r="AI74" s="1356"/>
      <c r="AJ74" s="1356"/>
      <c r="AK74" s="1356"/>
    </row>
    <row r="75" spans="1:37" s="1355" customFormat="1" ht="25.5">
      <c r="A75" s="2858" t="s">
        <v>2956</v>
      </c>
      <c r="B75" s="1711" t="str">
        <f>估价对象房地状况!C22</f>
        <v>估价对象所在区域基础设施水平</v>
      </c>
      <c r="C75" s="2750"/>
      <c r="D75" s="1271">
        <f t="shared" si="20"/>
        <v>0</v>
      </c>
      <c r="E75" s="816"/>
      <c r="F75" s="2484"/>
      <c r="G75" s="1269"/>
      <c r="H75" s="1273" t="str">
        <f t="shared" si="21"/>
        <v>——</v>
      </c>
      <c r="I75" s="810">
        <v>0.12</v>
      </c>
      <c r="J75" s="1270">
        <f t="shared" si="22"/>
        <v>0</v>
      </c>
      <c r="K75" s="1270">
        <f t="shared" si="23"/>
        <v>0</v>
      </c>
      <c r="L75" s="1270">
        <v>0</v>
      </c>
      <c r="M75" s="1270">
        <f t="shared" si="24"/>
        <v>0</v>
      </c>
      <c r="N75" s="1270">
        <f t="shared" si="24"/>
        <v>0</v>
      </c>
      <c r="AA75" s="1356"/>
      <c r="AB75" s="1356"/>
      <c r="AC75" s="1356"/>
      <c r="AD75" s="1356"/>
      <c r="AE75" s="1356"/>
      <c r="AF75" s="1356"/>
      <c r="AG75" s="1356"/>
      <c r="AH75" s="1356"/>
      <c r="AI75" s="1356"/>
      <c r="AJ75" s="1356"/>
      <c r="AK75" s="1356"/>
    </row>
    <row r="76" spans="1:37" s="2699" customFormat="1" ht="24">
      <c r="A76" s="2858" t="s">
        <v>2953</v>
      </c>
      <c r="B76" s="2864" t="s">
        <v>2954</v>
      </c>
      <c r="C76" s="2750"/>
      <c r="D76" s="1271">
        <f t="shared" si="20"/>
        <v>0</v>
      </c>
      <c r="E76" s="816"/>
      <c r="F76" s="2484"/>
      <c r="G76" s="1269"/>
      <c r="H76" s="1273" t="str">
        <f t="shared" si="21"/>
        <v>——</v>
      </c>
      <c r="I76" s="810">
        <v>0.05</v>
      </c>
      <c r="J76" s="1270">
        <f t="shared" si="22"/>
        <v>0</v>
      </c>
      <c r="K76" s="1270">
        <f t="shared" si="23"/>
        <v>0</v>
      </c>
      <c r="L76" s="1270">
        <v>0</v>
      </c>
      <c r="M76" s="1270">
        <f t="shared" si="24"/>
        <v>0</v>
      </c>
      <c r="N76" s="1270">
        <f t="shared" si="24"/>
        <v>0</v>
      </c>
      <c r="AA76" s="2869"/>
      <c r="AB76" s="1356"/>
      <c r="AC76" s="1356"/>
      <c r="AD76" s="1356"/>
      <c r="AE76" s="1356"/>
      <c r="AF76" s="1356"/>
      <c r="AG76" s="1356"/>
      <c r="AH76" s="2869"/>
      <c r="AI76" s="2869"/>
      <c r="AJ76" s="2869"/>
      <c r="AK76" s="2869"/>
    </row>
    <row r="77" spans="1:37" ht="38.25">
      <c r="A77" s="2858" t="s">
        <v>2957</v>
      </c>
      <c r="B77" s="2861" t="str">
        <f>估价对象房地状况!C20</f>
        <v>区域自然环境：；人文环境；综合评价环境状况一般</v>
      </c>
      <c r="C77" s="2750"/>
      <c r="D77" s="1271">
        <f t="shared" si="20"/>
        <v>0</v>
      </c>
      <c r="E77" s="816"/>
      <c r="F77" s="2484"/>
      <c r="G77" s="1269"/>
      <c r="H77" s="1273" t="str">
        <f t="shared" si="21"/>
        <v>——</v>
      </c>
      <c r="I77" s="810">
        <v>0.15</v>
      </c>
      <c r="J77" s="1270">
        <f t="shared" si="22"/>
        <v>0</v>
      </c>
      <c r="K77" s="1270">
        <f t="shared" si="23"/>
        <v>0</v>
      </c>
      <c r="L77" s="1270">
        <v>0</v>
      </c>
      <c r="M77" s="1270">
        <f t="shared" si="24"/>
        <v>0</v>
      </c>
      <c r="N77" s="1270">
        <f t="shared" si="24"/>
        <v>0</v>
      </c>
      <c r="Z77" s="2700"/>
      <c r="AA77" s="2776"/>
      <c r="AG77" s="1357"/>
      <c r="AK77" s="2776"/>
    </row>
    <row r="78" spans="1:37" ht="24.75" thickBot="1">
      <c r="A78" s="2866" t="s">
        <v>2964</v>
      </c>
      <c r="B78" s="2870"/>
      <c r="C78" s="2750"/>
      <c r="D78" s="1271">
        <f t="shared" si="20"/>
        <v>0</v>
      </c>
      <c r="E78" s="817"/>
      <c r="F78" s="2484"/>
      <c r="G78" s="1269"/>
      <c r="H78" s="1273" t="str">
        <f t="shared" si="21"/>
        <v>——</v>
      </c>
      <c r="I78" s="814">
        <v>0.04</v>
      </c>
      <c r="J78" s="1270">
        <f t="shared" si="22"/>
        <v>0</v>
      </c>
      <c r="K78" s="1270">
        <f t="shared" si="23"/>
        <v>0</v>
      </c>
      <c r="L78" s="1270">
        <v>0</v>
      </c>
      <c r="M78" s="1270">
        <f t="shared" si="24"/>
        <v>0</v>
      </c>
      <c r="N78" s="1270">
        <f t="shared" si="24"/>
        <v>0</v>
      </c>
      <c r="Z78" s="2700"/>
      <c r="AA78" s="2776"/>
      <c r="AG78" s="1357"/>
      <c r="AK78" s="2776"/>
    </row>
    <row r="79" spans="1:37" ht="15">
      <c r="A79" s="2854" t="s">
        <v>2965</v>
      </c>
      <c r="B79" s="2855">
        <f>1+E81</f>
        <v>1</v>
      </c>
      <c r="C79" s="804"/>
      <c r="D79" s="804"/>
      <c r="E79" s="805"/>
      <c r="F79" s="2857"/>
      <c r="G79" s="6"/>
      <c r="H79" s="6"/>
      <c r="I79" s="6"/>
      <c r="J79" s="7"/>
      <c r="K79" s="7"/>
      <c r="L79" s="7"/>
      <c r="M79" s="7"/>
      <c r="N79" s="7"/>
      <c r="Z79" s="2700"/>
      <c r="AA79" s="2776"/>
      <c r="AG79" s="1357"/>
      <c r="AK79" s="2776"/>
    </row>
    <row r="80" spans="1:37" ht="24.75">
      <c r="A80" s="2858" t="s">
        <v>2939</v>
      </c>
      <c r="B80" s="1795"/>
      <c r="C80" s="1795" t="s">
        <v>2941</v>
      </c>
      <c r="D80" s="1795" t="s">
        <v>2942</v>
      </c>
      <c r="E80" s="809" t="s">
        <v>2943</v>
      </c>
      <c r="F80" s="2859" t="s">
        <v>2959</v>
      </c>
      <c r="G80" s="1795" t="s">
        <v>754</v>
      </c>
      <c r="H80" s="2860" t="s">
        <v>2945</v>
      </c>
      <c r="I80" s="1795" t="s">
        <v>2946</v>
      </c>
      <c r="J80" s="601" t="s">
        <v>2592</v>
      </c>
      <c r="K80" s="601" t="s">
        <v>2593</v>
      </c>
      <c r="L80" s="601" t="s">
        <v>2594</v>
      </c>
      <c r="M80" s="601" t="s">
        <v>2595</v>
      </c>
      <c r="N80" s="601" t="s">
        <v>2596</v>
      </c>
      <c r="Z80" s="2700"/>
      <c r="AA80" s="2776"/>
      <c r="AG80" s="1357"/>
      <c r="AK80" s="2776"/>
    </row>
    <row r="81" spans="1:37" ht="38.25">
      <c r="A81" s="2858" t="s">
        <v>2966</v>
      </c>
      <c r="B81" s="2862" t="str">
        <f>估价对象房地状况!G15</f>
        <v>估价对象位于XX开发区，园区建设成熟度XX，产业集聚程度XX</v>
      </c>
      <c r="C81" s="2750"/>
      <c r="D81" s="1271">
        <f t="shared" ref="D81:D88" si="25">SUMIF($J$80:$N$80,C81,J81:N81)</f>
        <v>0</v>
      </c>
      <c r="E81" s="811">
        <f>ROUND(SUM(D81:D88),4)</f>
        <v>0</v>
      </c>
      <c r="F81" s="2484" t="str">
        <f>IF(E2="工业",SUMIF(L1:L12,G2,N1:N12),"——")</f>
        <v>——</v>
      </c>
      <c r="G81" s="1269"/>
      <c r="H81" s="1273" t="str">
        <f t="shared" ref="H81:H88" si="26">IFERROR(ROUNDDOWN($F$81*I81/2,4),"——")</f>
        <v>——</v>
      </c>
      <c r="I81" s="810">
        <v>0.26</v>
      </c>
      <c r="J81" s="1270">
        <f t="shared" ref="J81:J88" si="27">K81+$G81</f>
        <v>0</v>
      </c>
      <c r="K81" s="1270">
        <f t="shared" ref="K81:K88" si="28">$L81+$G81</f>
        <v>0</v>
      </c>
      <c r="L81" s="1270">
        <v>0</v>
      </c>
      <c r="M81" s="1270">
        <f t="shared" ref="M81:N88" si="29">L81-$G81</f>
        <v>0</v>
      </c>
      <c r="N81" s="1270">
        <f t="shared" si="29"/>
        <v>0</v>
      </c>
      <c r="Z81" s="2700"/>
      <c r="AA81" s="2776"/>
      <c r="AG81" s="1357"/>
      <c r="AK81" s="2776"/>
    </row>
    <row r="82" spans="1:37" ht="51">
      <c r="A82" s="2858" t="s">
        <v>2948</v>
      </c>
      <c r="B82" s="2862" t="str">
        <f>估价对象房地状况!G16</f>
        <v>估价对象周边道路状况、公共交通通达情况、停车便捷程度，综合评价交通便捷度较好</v>
      </c>
      <c r="C82" s="2750"/>
      <c r="D82" s="1271">
        <f t="shared" si="25"/>
        <v>0</v>
      </c>
      <c r="E82" s="816"/>
      <c r="F82" s="2484"/>
      <c r="G82" s="1269"/>
      <c r="H82" s="1273" t="str">
        <f t="shared" si="26"/>
        <v>——</v>
      </c>
      <c r="I82" s="810">
        <v>0.33</v>
      </c>
      <c r="J82" s="1270">
        <f t="shared" si="27"/>
        <v>0</v>
      </c>
      <c r="K82" s="1270">
        <f t="shared" si="28"/>
        <v>0</v>
      </c>
      <c r="L82" s="1270">
        <v>0</v>
      </c>
      <c r="M82" s="1270">
        <f t="shared" si="29"/>
        <v>0</v>
      </c>
      <c r="N82" s="1270">
        <f t="shared" si="29"/>
        <v>0</v>
      </c>
      <c r="Z82" s="2700"/>
      <c r="AA82" s="2776"/>
      <c r="AG82" s="1357"/>
      <c r="AK82" s="2776"/>
    </row>
    <row r="83" spans="1:37" ht="24">
      <c r="A83" s="2858" t="s">
        <v>2949</v>
      </c>
      <c r="B83" s="2862">
        <f>估价对象房地状况!G17</f>
        <v>0</v>
      </c>
      <c r="C83" s="2750"/>
      <c r="D83" s="1271">
        <f t="shared" si="25"/>
        <v>0</v>
      </c>
      <c r="E83" s="816"/>
      <c r="F83" s="2484"/>
      <c r="G83" s="1269"/>
      <c r="H83" s="1273" t="str">
        <f t="shared" si="26"/>
        <v>——</v>
      </c>
      <c r="I83" s="810">
        <v>0.05</v>
      </c>
      <c r="J83" s="1270">
        <f t="shared" si="27"/>
        <v>0</v>
      </c>
      <c r="K83" s="1270">
        <f t="shared" si="28"/>
        <v>0</v>
      </c>
      <c r="L83" s="1270">
        <v>0</v>
      </c>
      <c r="M83" s="1270">
        <f t="shared" si="29"/>
        <v>0</v>
      </c>
      <c r="N83" s="1270">
        <f t="shared" si="29"/>
        <v>0</v>
      </c>
      <c r="Z83" s="2700"/>
      <c r="AA83" s="2776"/>
      <c r="AG83" s="1357"/>
      <c r="AK83" s="2776"/>
    </row>
    <row r="84" spans="1:37" ht="14.25">
      <c r="A84" s="2858" t="s">
        <v>2963</v>
      </c>
      <c r="B84" s="2862">
        <f>估价对象房地状况!G22</f>
        <v>0</v>
      </c>
      <c r="C84" s="2750"/>
      <c r="D84" s="1271">
        <f t="shared" si="25"/>
        <v>0</v>
      </c>
      <c r="E84" s="816"/>
      <c r="F84" s="2484"/>
      <c r="G84" s="1269"/>
      <c r="H84" s="1273" t="str">
        <f t="shared" si="26"/>
        <v>——</v>
      </c>
      <c r="I84" s="810">
        <v>0.04</v>
      </c>
      <c r="J84" s="1270">
        <f t="shared" si="27"/>
        <v>0</v>
      </c>
      <c r="K84" s="1270">
        <f t="shared" si="28"/>
        <v>0</v>
      </c>
      <c r="L84" s="1270">
        <v>0</v>
      </c>
      <c r="M84" s="1270">
        <f t="shared" si="29"/>
        <v>0</v>
      </c>
      <c r="N84" s="1270">
        <f t="shared" si="29"/>
        <v>0</v>
      </c>
      <c r="Z84" s="2700"/>
      <c r="AA84" s="2776"/>
      <c r="AG84" s="1357"/>
      <c r="AK84" s="2776"/>
    </row>
    <row r="85" spans="1:37" ht="25.5">
      <c r="A85" s="2858" t="s">
        <v>2955</v>
      </c>
      <c r="B85" s="1711" t="str">
        <f>估价对象房地状况!G19</f>
        <v>估价对象所在区域公共配套设施齐备情况</v>
      </c>
      <c r="C85" s="2750"/>
      <c r="D85" s="1271">
        <f t="shared" si="25"/>
        <v>0</v>
      </c>
      <c r="E85" s="816"/>
      <c r="F85" s="2484"/>
      <c r="G85" s="1269"/>
      <c r="H85" s="1273" t="str">
        <f t="shared" si="26"/>
        <v>——</v>
      </c>
      <c r="I85" s="810">
        <v>0.06</v>
      </c>
      <c r="J85" s="1270">
        <f t="shared" si="27"/>
        <v>0</v>
      </c>
      <c r="K85" s="1270">
        <f t="shared" si="28"/>
        <v>0</v>
      </c>
      <c r="L85" s="1270">
        <v>0</v>
      </c>
      <c r="M85" s="1270">
        <f t="shared" si="29"/>
        <v>0</v>
      </c>
      <c r="N85" s="1270">
        <f t="shared" si="29"/>
        <v>0</v>
      </c>
      <c r="Z85" s="2700"/>
      <c r="AA85" s="2776"/>
      <c r="AG85" s="1357"/>
      <c r="AK85" s="2776"/>
    </row>
    <row r="86" spans="1:37" ht="25.5">
      <c r="A86" s="2858" t="s">
        <v>2956</v>
      </c>
      <c r="B86" s="1711" t="str">
        <f>估价对象房地状况!G20</f>
        <v>估价对象所在区域基础设施水平</v>
      </c>
      <c r="C86" s="2750"/>
      <c r="D86" s="1271">
        <f t="shared" si="25"/>
        <v>0</v>
      </c>
      <c r="E86" s="816"/>
      <c r="F86" s="2484"/>
      <c r="G86" s="1269"/>
      <c r="H86" s="1273" t="str">
        <f t="shared" si="26"/>
        <v>——</v>
      </c>
      <c r="I86" s="810">
        <v>0.15</v>
      </c>
      <c r="J86" s="1270">
        <f t="shared" si="27"/>
        <v>0</v>
      </c>
      <c r="K86" s="1270">
        <f t="shared" si="28"/>
        <v>0</v>
      </c>
      <c r="L86" s="1270">
        <v>0</v>
      </c>
      <c r="M86" s="1270">
        <f t="shared" si="29"/>
        <v>0</v>
      </c>
      <c r="N86" s="1270">
        <f t="shared" si="29"/>
        <v>0</v>
      </c>
      <c r="Z86" s="2700"/>
      <c r="AA86" s="2776"/>
      <c r="AG86" s="1357"/>
      <c r="AK86" s="2776"/>
    </row>
    <row r="87" spans="1:37" ht="24">
      <c r="A87" s="2858" t="s">
        <v>2953</v>
      </c>
      <c r="B87" s="2864" t="s">
        <v>2967</v>
      </c>
      <c r="C87" s="2750"/>
      <c r="D87" s="1271">
        <f t="shared" si="25"/>
        <v>0</v>
      </c>
      <c r="E87" s="816"/>
      <c r="F87" s="2484"/>
      <c r="G87" s="1269"/>
      <c r="H87" s="1273" t="str">
        <f t="shared" si="26"/>
        <v>——</v>
      </c>
      <c r="I87" s="810">
        <v>0.05</v>
      </c>
      <c r="J87" s="1270">
        <f t="shared" si="27"/>
        <v>0</v>
      </c>
      <c r="K87" s="1270">
        <f t="shared" si="28"/>
        <v>0</v>
      </c>
      <c r="L87" s="1270">
        <v>0</v>
      </c>
      <c r="M87" s="1270">
        <f t="shared" si="29"/>
        <v>0</v>
      </c>
      <c r="N87" s="1270">
        <f t="shared" si="29"/>
        <v>0</v>
      </c>
      <c r="Z87" s="2700"/>
      <c r="AA87" s="2776"/>
      <c r="AG87" s="1357"/>
      <c r="AK87" s="2776"/>
    </row>
    <row r="88" spans="1:37" ht="39" thickBot="1">
      <c r="A88" s="2866" t="s">
        <v>2968</v>
      </c>
      <c r="B88" s="2871" t="str">
        <f>估价对象房地状况!G18</f>
        <v>该园区内是否有污染型企业，绿化情况，卫生条件，整体环境状况判断</v>
      </c>
      <c r="C88" s="2750"/>
      <c r="D88" s="1271">
        <f t="shared" si="25"/>
        <v>0</v>
      </c>
      <c r="E88" s="817"/>
      <c r="F88" s="2484"/>
      <c r="G88" s="1269"/>
      <c r="H88" s="1273" t="str">
        <f t="shared" si="26"/>
        <v>——</v>
      </c>
      <c r="I88" s="814">
        <v>0.06</v>
      </c>
      <c r="J88" s="1270">
        <f t="shared" si="27"/>
        <v>0</v>
      </c>
      <c r="K88" s="1270">
        <f t="shared" si="28"/>
        <v>0</v>
      </c>
      <c r="L88" s="1270">
        <v>0</v>
      </c>
      <c r="M88" s="1270">
        <f t="shared" si="29"/>
        <v>0</v>
      </c>
      <c r="N88" s="1270">
        <f t="shared" si="29"/>
        <v>0</v>
      </c>
      <c r="Z88" s="2700"/>
      <c r="AA88" s="2776"/>
      <c r="AG88" s="1357"/>
      <c r="AK88" s="2776"/>
    </row>
    <row r="90" spans="1:37">
      <c r="A90" s="3260" t="s">
        <v>2969</v>
      </c>
      <c r="B90" s="3260"/>
      <c r="C90" s="3260"/>
      <c r="D90" s="3260"/>
      <c r="E90" s="3260"/>
      <c r="F90" s="3260"/>
      <c r="G90" s="3260"/>
      <c r="H90" s="3260"/>
      <c r="I90" s="3260"/>
      <c r="J90" s="3260"/>
      <c r="K90" s="2872"/>
      <c r="L90" s="2872"/>
      <c r="M90" s="2872"/>
      <c r="N90" s="2872"/>
    </row>
    <row r="91" spans="1:37">
      <c r="A91" s="3262" t="s">
        <v>2970</v>
      </c>
      <c r="B91" s="3262" t="s">
        <v>2971</v>
      </c>
      <c r="C91" s="2826" t="s">
        <v>2972</v>
      </c>
      <c r="D91" s="2827"/>
      <c r="E91" s="2827"/>
      <c r="F91" s="2827"/>
      <c r="G91" s="2827"/>
      <c r="H91" s="2827"/>
      <c r="I91" s="2827"/>
      <c r="J91" s="2873"/>
      <c r="K91" s="2874"/>
      <c r="L91" s="2874"/>
      <c r="M91" s="2874"/>
      <c r="N91" s="2874"/>
    </row>
    <row r="92" spans="1:37">
      <c r="A92" s="3262"/>
      <c r="B92" s="3262"/>
      <c r="C92" s="935" t="s">
        <v>2836</v>
      </c>
      <c r="D92" s="935" t="s">
        <v>2837</v>
      </c>
      <c r="E92" s="935" t="s">
        <v>2838</v>
      </c>
      <c r="F92" s="935" t="s">
        <v>2839</v>
      </c>
      <c r="G92" s="935" t="s">
        <v>2840</v>
      </c>
      <c r="H92" s="935" t="s">
        <v>2841</v>
      </c>
      <c r="I92" s="935" t="s">
        <v>2842</v>
      </c>
      <c r="J92" s="935" t="s">
        <v>2843</v>
      </c>
      <c r="K92" s="935" t="s">
        <v>2844</v>
      </c>
      <c r="L92" s="935" t="s">
        <v>2845</v>
      </c>
      <c r="M92" s="935" t="s">
        <v>2846</v>
      </c>
      <c r="N92" s="935" t="s">
        <v>2847</v>
      </c>
    </row>
    <row r="93" spans="1:37">
      <c r="A93" s="3263" t="s">
        <v>2973</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64"/>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64"/>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64"/>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64"/>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64"/>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64"/>
      <c r="B99" s="2875" t="s">
        <v>2852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65"/>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63" t="s">
        <v>2974</v>
      </c>
      <c r="B101" s="2879" t="s">
        <v>2975</v>
      </c>
      <c r="C101" s="2880">
        <f>$G$3</f>
        <v>12.07</v>
      </c>
      <c r="D101" s="2880">
        <f t="shared" ref="D101:N101" si="31">$G$3</f>
        <v>12.07</v>
      </c>
      <c r="E101" s="2880">
        <f t="shared" si="31"/>
        <v>12.07</v>
      </c>
      <c r="F101" s="2880">
        <f t="shared" si="31"/>
        <v>12.07</v>
      </c>
      <c r="G101" s="2880">
        <f t="shared" si="31"/>
        <v>12.07</v>
      </c>
      <c r="H101" s="2880">
        <f t="shared" si="31"/>
        <v>12.07</v>
      </c>
      <c r="I101" s="2880">
        <f t="shared" si="31"/>
        <v>12.07</v>
      </c>
      <c r="J101" s="2880">
        <f t="shared" si="31"/>
        <v>12.07</v>
      </c>
      <c r="K101" s="2880">
        <f t="shared" si="31"/>
        <v>12.07</v>
      </c>
      <c r="L101" s="2880">
        <f t="shared" si="31"/>
        <v>12.07</v>
      </c>
      <c r="M101" s="2880">
        <f t="shared" si="31"/>
        <v>12.07</v>
      </c>
      <c r="N101" s="2880">
        <f t="shared" si="31"/>
        <v>12.07</v>
      </c>
    </row>
    <row r="102" spans="1:14">
      <c r="A102" s="3264"/>
      <c r="B102" s="2875">
        <v>1</v>
      </c>
      <c r="C102" s="2876">
        <f>1.9362/C101</f>
        <v>0.1604142502071251</v>
      </c>
      <c r="D102" s="2876">
        <f>1.9362/D101</f>
        <v>0.1604142502071251</v>
      </c>
      <c r="E102" s="2876">
        <f>1.8629/E101</f>
        <v>0.15434134217067108</v>
      </c>
      <c r="F102" s="2876">
        <f>1.8629/F101</f>
        <v>0.15434134217067108</v>
      </c>
      <c r="G102" s="2876">
        <f>1.8629/G101</f>
        <v>0.15434134217067108</v>
      </c>
      <c r="H102" s="2876">
        <f>1.8629/H101</f>
        <v>0.15434134217067108</v>
      </c>
      <c r="I102" s="2876">
        <f>1.8629/I101</f>
        <v>0.15434134217067108</v>
      </c>
      <c r="J102" s="2876">
        <f>1.942/J101</f>
        <v>0.16089478044739022</v>
      </c>
      <c r="K102" s="2876">
        <f>1.942/K101</f>
        <v>0.16089478044739022</v>
      </c>
      <c r="L102" s="2876">
        <f>1.942/L101</f>
        <v>0.16089478044739022</v>
      </c>
      <c r="M102" s="2876">
        <f>1.942/M101</f>
        <v>0.16089478044739022</v>
      </c>
      <c r="N102" s="2876">
        <f>1.942/N101</f>
        <v>0.16089478044739022</v>
      </c>
    </row>
    <row r="103" spans="1:14">
      <c r="A103" s="3264"/>
      <c r="B103" s="2875">
        <v>2</v>
      </c>
      <c r="C103" s="2876">
        <f>1.4198/C101</f>
        <v>0.11763048881524441</v>
      </c>
      <c r="D103" s="2876">
        <f>1.4198/D101</f>
        <v>0.11763048881524441</v>
      </c>
      <c r="E103" s="2876">
        <f>1.3372/E101</f>
        <v>0.11078707539353769</v>
      </c>
      <c r="F103" s="2876">
        <f>1.3372/F101</f>
        <v>0.11078707539353769</v>
      </c>
      <c r="G103" s="2876">
        <f>1.3372/G101</f>
        <v>0.11078707539353769</v>
      </c>
      <c r="H103" s="2876">
        <f>1.3372/H101</f>
        <v>0.11078707539353769</v>
      </c>
      <c r="I103" s="2876">
        <f>1.3372/I101</f>
        <v>0.11078707539353769</v>
      </c>
      <c r="J103" s="2876">
        <f>1.2799/J101</f>
        <v>0.106039768019884</v>
      </c>
      <c r="K103" s="2876">
        <f>1.2799/K101</f>
        <v>0.106039768019884</v>
      </c>
      <c r="L103" s="2876">
        <f>1.2799/L101</f>
        <v>0.106039768019884</v>
      </c>
      <c r="M103" s="2876">
        <f>1.2799/M101</f>
        <v>0.106039768019884</v>
      </c>
      <c r="N103" s="2876">
        <f>1.2799/N101</f>
        <v>0.106039768019884</v>
      </c>
    </row>
    <row r="104" spans="1:14">
      <c r="A104" s="3264"/>
      <c r="B104" s="2875">
        <v>3</v>
      </c>
      <c r="C104" s="2876">
        <f>1.1594/C101</f>
        <v>9.6056338028169014E-2</v>
      </c>
      <c r="D104" s="2876">
        <f>1.1594/D101</f>
        <v>9.6056338028169014E-2</v>
      </c>
      <c r="E104" s="2876">
        <f>1.0788/E101</f>
        <v>8.9378624689312347E-2</v>
      </c>
      <c r="F104" s="2876">
        <f>1.0788/F101</f>
        <v>8.9378624689312347E-2</v>
      </c>
      <c r="G104" s="2876">
        <f>1.0788/G101</f>
        <v>8.9378624689312347E-2</v>
      </c>
      <c r="H104" s="2876">
        <f>1.0788/H101</f>
        <v>8.9378624689312347E-2</v>
      </c>
      <c r="I104" s="2876">
        <f>1.0788/I101</f>
        <v>8.9378624689312347E-2</v>
      </c>
      <c r="J104" s="2876">
        <f>1.0072/J101</f>
        <v>8.3446561723280868E-2</v>
      </c>
      <c r="K104" s="2876">
        <f>1.0072/K101</f>
        <v>8.3446561723280868E-2</v>
      </c>
      <c r="L104" s="2876">
        <f>1.0072/L101</f>
        <v>8.3446561723280868E-2</v>
      </c>
      <c r="M104" s="2876">
        <f>1.0072/M101</f>
        <v>8.3446561723280868E-2</v>
      </c>
      <c r="N104" s="2876">
        <f>1.0072/N101</f>
        <v>8.3446561723280868E-2</v>
      </c>
    </row>
    <row r="105" spans="1:14">
      <c r="A105" s="3264"/>
      <c r="B105" s="2875">
        <v>4</v>
      </c>
      <c r="C105" s="2876">
        <f>0.9622/C101</f>
        <v>7.9718309859154929E-2</v>
      </c>
      <c r="D105" s="2876">
        <f>0.9622/D101</f>
        <v>7.9718309859154929E-2</v>
      </c>
      <c r="E105" s="2876">
        <f>0.8656/E101</f>
        <v>7.1714995857497923E-2</v>
      </c>
      <c r="F105" s="2876">
        <f>0.8656/F101</f>
        <v>7.1714995857497923E-2</v>
      </c>
      <c r="G105" s="2876">
        <f>0.8656/G101</f>
        <v>7.1714995857497923E-2</v>
      </c>
      <c r="H105" s="2876">
        <f>0.8656/H101</f>
        <v>7.1714995857497923E-2</v>
      </c>
      <c r="I105" s="2876">
        <f>0.8656/I101</f>
        <v>7.1714995857497923E-2</v>
      </c>
      <c r="J105" s="2876">
        <f>0.7525/J101</f>
        <v>6.2344656172328081E-2</v>
      </c>
      <c r="K105" s="2876">
        <f>0.7525/K101</f>
        <v>6.2344656172328081E-2</v>
      </c>
      <c r="L105" s="2876">
        <f>0.7525/L101</f>
        <v>6.2344656172328081E-2</v>
      </c>
      <c r="M105" s="2876">
        <f>0.7525/M101</f>
        <v>6.2344656172328081E-2</v>
      </c>
      <c r="N105" s="2876">
        <f>0.7525/N101</f>
        <v>6.2344656172328081E-2</v>
      </c>
    </row>
    <row r="106" spans="1:14">
      <c r="A106" s="3264"/>
      <c r="B106" s="2875">
        <v>5</v>
      </c>
      <c r="C106" s="2876">
        <f>0.8417/C101</f>
        <v>6.9734879867439939E-2</v>
      </c>
      <c r="D106" s="2876">
        <f>0.8417/D101</f>
        <v>6.9734879867439939E-2</v>
      </c>
      <c r="E106" s="2876">
        <f>0.7371/E101</f>
        <v>6.1068765534382764E-2</v>
      </c>
      <c r="F106" s="2876">
        <f>0.7371/F101</f>
        <v>6.1068765534382764E-2</v>
      </c>
      <c r="G106" s="2876">
        <f>0.7371/G101</f>
        <v>6.1068765534382764E-2</v>
      </c>
      <c r="H106" s="2876">
        <f>0.7371/H101</f>
        <v>6.1068765534382764E-2</v>
      </c>
      <c r="I106" s="2876">
        <f>0.7371/I101</f>
        <v>6.1068765534382764E-2</v>
      </c>
      <c r="J106" s="2876">
        <f>0.5659/J101</f>
        <v>4.6884838442419217E-2</v>
      </c>
      <c r="K106" s="2876">
        <f>0.5659/K101</f>
        <v>4.6884838442419217E-2</v>
      </c>
      <c r="L106" s="2876">
        <f>0.5659/L101</f>
        <v>4.6884838442419217E-2</v>
      </c>
      <c r="M106" s="2876">
        <f>0.5659/M101</f>
        <v>4.6884838442419217E-2</v>
      </c>
      <c r="N106" s="2876">
        <f>0.5659/N101</f>
        <v>4.6884838442419217E-2</v>
      </c>
    </row>
    <row r="107" spans="1:14">
      <c r="A107" s="3264"/>
      <c r="B107" s="2875">
        <v>6</v>
      </c>
      <c r="C107" s="2876">
        <f>0.7608/C101</f>
        <v>6.3032311516155765E-2</v>
      </c>
      <c r="D107" s="2876">
        <f>0.7608/D101</f>
        <v>6.3032311516155765E-2</v>
      </c>
      <c r="E107" s="2876">
        <f>0.6482/E101</f>
        <v>5.3703396851698428E-2</v>
      </c>
      <c r="F107" s="2876">
        <f>0.6482/F101</f>
        <v>5.3703396851698428E-2</v>
      </c>
      <c r="G107" s="2876">
        <f>0.6482/G101</f>
        <v>5.3703396851698428E-2</v>
      </c>
      <c r="H107" s="2876">
        <f>0.6482/H101</f>
        <v>5.3703396851698428E-2</v>
      </c>
      <c r="I107" s="2876">
        <f>0.6482/I101</f>
        <v>5.3703396851698428E-2</v>
      </c>
      <c r="J107" s="2876">
        <f>0.4525/J101</f>
        <v>3.7489643744821874E-2</v>
      </c>
      <c r="K107" s="2876">
        <f>0.4525/K101</f>
        <v>3.7489643744821874E-2</v>
      </c>
      <c r="L107" s="2876">
        <f>0.4525/L101</f>
        <v>3.7489643744821874E-2</v>
      </c>
      <c r="M107" s="2876">
        <f>0.4525/M101</f>
        <v>3.7489643744821874E-2</v>
      </c>
      <c r="N107" s="2876">
        <f>0.4525/N101</f>
        <v>3.7489643744821874E-2</v>
      </c>
    </row>
    <row r="108" spans="1:14">
      <c r="A108" s="3264"/>
      <c r="B108" s="3083" t="s">
        <v>2976</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65"/>
      <c r="B109" s="3084"/>
      <c r="C109" s="2878">
        <f>(-0.163*(C108^2)-0.59*C108+7617)*(10^(-4))/C101</f>
        <v>6.3106876553438274E-2</v>
      </c>
      <c r="D109" s="2878">
        <f>(-0.163*(D108^2)-0.59*D108+7617)*(10^(-4))/D101</f>
        <v>6.3106876553438274E-2</v>
      </c>
      <c r="E109" s="2878">
        <f>(-0.161*(E108^2)-7.509*E108+6533)*(10^(-4))/E101</f>
        <v>5.412593206296603E-2</v>
      </c>
      <c r="F109" s="2878">
        <f>(-0.161*(F108^2)-7.509*F108+6533)*(10^(-4))/F101</f>
        <v>5.412593206296603E-2</v>
      </c>
      <c r="G109" s="2878">
        <f>(-0.161*(G108^2)-7.509*G108+6533)*(10^(-4))/G101</f>
        <v>5.412593206296603E-2</v>
      </c>
      <c r="H109" s="2878">
        <f>(-0.161*(H108^2)-7.509*H108+6533)*(10^(-4))/H101</f>
        <v>5.412593206296603E-2</v>
      </c>
      <c r="I109" s="2878">
        <f>(-0.161*(I108^2)-7.509*I108+6533)*(10^(-4))/I101</f>
        <v>5.412593206296603E-2</v>
      </c>
      <c r="J109" s="2878">
        <f>(-0.214*(J108^2)-21.991*J108+4665)*(10^(-4))/J101</f>
        <v>3.8649544324772162E-2</v>
      </c>
      <c r="K109" s="2878">
        <f>(-0.214*(K108^2)-21.991*K108+4665)*(10^(-4))/K101</f>
        <v>3.8649544324772162E-2</v>
      </c>
      <c r="L109" s="2878">
        <f>(-0.214*(L108^2)-21.991*L108+4665)*(10^(-4))/L101</f>
        <v>3.8649544324772162E-2</v>
      </c>
      <c r="M109" s="2878">
        <f>(-0.214*(M108^2)-21.991*M108+4665)*(10^(-4))/M101</f>
        <v>3.8649544324772162E-2</v>
      </c>
      <c r="N109" s="2878">
        <f>(-0.214*(N108^2)-21.991*N108+4665)*(10^(-4))/N101</f>
        <v>3.8649544324772162E-2</v>
      </c>
    </row>
    <row r="110" spans="1:14">
      <c r="A110" s="3261" t="s">
        <v>2977</v>
      </c>
      <c r="B110" s="3261"/>
      <c r="C110" s="3261"/>
      <c r="D110" s="3261"/>
      <c r="E110" s="3261"/>
      <c r="F110" s="3261"/>
      <c r="G110" s="3261"/>
      <c r="H110" s="3261"/>
      <c r="I110" s="3261"/>
      <c r="J110" s="3261"/>
      <c r="K110" s="2881"/>
      <c r="L110" s="2881"/>
      <c r="M110" s="2881"/>
      <c r="N110" s="2881"/>
    </row>
    <row r="112" spans="1:14" ht="13.5" thickBot="1"/>
    <row r="113" spans="1:13" ht="25.5" thickBot="1">
      <c r="A113" s="893" t="s">
        <v>2978</v>
      </c>
      <c r="B113" s="1272">
        <f>G3</f>
        <v>12.07</v>
      </c>
      <c r="C113" s="894" t="s">
        <v>2979</v>
      </c>
      <c r="D113" s="895">
        <f>SUMPRODUCT((A115:A118=F113)*(B114:M114=H113)*B115:M118)</f>
        <v>0</v>
      </c>
      <c r="E113" s="2704" t="s">
        <v>2809</v>
      </c>
      <c r="F113" s="2883">
        <f>E2</f>
        <v>0</v>
      </c>
      <c r="G113" s="2704" t="s">
        <v>2810</v>
      </c>
      <c r="H113" s="2883">
        <f>G2</f>
        <v>0</v>
      </c>
      <c r="I113" s="2704"/>
      <c r="J113" s="2884"/>
      <c r="K113" s="2884"/>
      <c r="L113" s="2884"/>
      <c r="M113" s="2884"/>
    </row>
    <row r="114" spans="1:13">
      <c r="A114" s="898"/>
      <c r="B114" s="2885" t="s">
        <v>2980</v>
      </c>
      <c r="C114" s="2885" t="s">
        <v>2981</v>
      </c>
      <c r="D114" s="2885" t="s">
        <v>2982</v>
      </c>
      <c r="E114" s="2886" t="s">
        <v>2983</v>
      </c>
      <c r="F114" s="2886" t="s">
        <v>2984</v>
      </c>
      <c r="G114" s="2886" t="s">
        <v>2985</v>
      </c>
      <c r="H114" s="2887" t="s">
        <v>2986</v>
      </c>
      <c r="I114" s="2887" t="s">
        <v>2987</v>
      </c>
      <c r="J114" s="2888" t="s">
        <v>2988</v>
      </c>
      <c r="K114" s="2888" t="s">
        <v>2989</v>
      </c>
      <c r="L114" s="2888" t="s">
        <v>2990</v>
      </c>
      <c r="M114" s="2889" t="s">
        <v>2991</v>
      </c>
    </row>
    <row r="115" spans="1:13">
      <c r="A115" s="899" t="s">
        <v>2874</v>
      </c>
      <c r="B115" s="900">
        <f>ROUND(0.9335-0.0094*B113,4)</f>
        <v>0.82</v>
      </c>
      <c r="C115" s="900">
        <f>B115</f>
        <v>0.82</v>
      </c>
      <c r="D115" s="900">
        <f>ROUND(0.8331-0.0109*B113,4)</f>
        <v>0.70150000000000001</v>
      </c>
      <c r="E115" s="900">
        <f>D115</f>
        <v>0.70150000000000001</v>
      </c>
      <c r="F115" s="900">
        <f>E115</f>
        <v>0.70150000000000001</v>
      </c>
      <c r="G115" s="900">
        <f>F115</f>
        <v>0.70150000000000001</v>
      </c>
      <c r="H115" s="900">
        <f>G115</f>
        <v>0.70150000000000001</v>
      </c>
      <c r="I115" s="900">
        <f>ROUND(0.689-0.0155*B113,4)</f>
        <v>0.50190000000000001</v>
      </c>
      <c r="J115" s="900">
        <f t="shared" ref="J115:M118" si="33">I115</f>
        <v>0.50190000000000001</v>
      </c>
      <c r="K115" s="900">
        <f t="shared" si="33"/>
        <v>0.50190000000000001</v>
      </c>
      <c r="L115" s="900">
        <f t="shared" si="33"/>
        <v>0.50190000000000001</v>
      </c>
      <c r="M115" s="901">
        <f t="shared" si="33"/>
        <v>0.50190000000000001</v>
      </c>
    </row>
    <row r="116" spans="1:13">
      <c r="A116" s="899" t="s">
        <v>2875</v>
      </c>
      <c r="B116" s="900">
        <f>ROUND(0.949-0.012*B113,4)</f>
        <v>0.80420000000000003</v>
      </c>
      <c r="C116" s="900">
        <f>B116</f>
        <v>0.80420000000000003</v>
      </c>
      <c r="D116" s="900">
        <f>ROUND(0.8567-0.013*B113,4)</f>
        <v>0.69979999999999998</v>
      </c>
      <c r="E116" s="900">
        <f t="shared" ref="E116:H117" si="34">D116</f>
        <v>0.69979999999999998</v>
      </c>
      <c r="F116" s="900">
        <f t="shared" si="34"/>
        <v>0.69979999999999998</v>
      </c>
      <c r="G116" s="900">
        <f t="shared" si="34"/>
        <v>0.69979999999999998</v>
      </c>
      <c r="H116" s="900">
        <f t="shared" si="34"/>
        <v>0.69979999999999998</v>
      </c>
      <c r="I116" s="900">
        <f>ROUND(0.7694-0.014*B113,4)</f>
        <v>0.60040000000000004</v>
      </c>
      <c r="J116" s="900">
        <f t="shared" si="33"/>
        <v>0.60040000000000004</v>
      </c>
      <c r="K116" s="900">
        <f t="shared" si="33"/>
        <v>0.60040000000000004</v>
      </c>
      <c r="L116" s="900">
        <f t="shared" si="33"/>
        <v>0.60040000000000004</v>
      </c>
      <c r="M116" s="901">
        <f t="shared" si="33"/>
        <v>0.60040000000000004</v>
      </c>
    </row>
    <row r="117" spans="1:13">
      <c r="A117" s="899" t="s">
        <v>2876</v>
      </c>
      <c r="B117" s="900">
        <f>ROUND(0.8808-0.006*B113,4)</f>
        <v>0.80840000000000001</v>
      </c>
      <c r="C117" s="900">
        <f>B117</f>
        <v>0.80840000000000001</v>
      </c>
      <c r="D117" s="900">
        <f>ROUND(0.8748-0.008*B113,4)</f>
        <v>0.7782</v>
      </c>
      <c r="E117" s="900">
        <f t="shared" si="34"/>
        <v>0.7782</v>
      </c>
      <c r="F117" s="900">
        <f t="shared" si="34"/>
        <v>0.7782</v>
      </c>
      <c r="G117" s="900">
        <f t="shared" si="34"/>
        <v>0.7782</v>
      </c>
      <c r="H117" s="900">
        <f t="shared" si="34"/>
        <v>0.7782</v>
      </c>
      <c r="I117" s="900">
        <f>ROUND(0.7412-0.0095*B113,4)</f>
        <v>0.62649999999999995</v>
      </c>
      <c r="J117" s="900">
        <f t="shared" si="33"/>
        <v>0.62649999999999995</v>
      </c>
      <c r="K117" s="900">
        <f t="shared" si="33"/>
        <v>0.62649999999999995</v>
      </c>
      <c r="L117" s="900">
        <f t="shared" si="33"/>
        <v>0.62649999999999995</v>
      </c>
      <c r="M117" s="901">
        <f t="shared" si="33"/>
        <v>0.62649999999999995</v>
      </c>
    </row>
    <row r="118" spans="1:13" ht="13.5" thickBot="1">
      <c r="A118" s="711" t="s">
        <v>2877</v>
      </c>
      <c r="B118" s="902">
        <f>ROUND(0.7275-0.01*B113,4)</f>
        <v>0.60680000000000001</v>
      </c>
      <c r="C118" s="902">
        <f>B118</f>
        <v>0.60680000000000001</v>
      </c>
      <c r="D118" s="902">
        <f>ROUND(0.7043-0.012*B113,4)</f>
        <v>0.5595</v>
      </c>
      <c r="E118" s="902">
        <f>D118</f>
        <v>0.5595</v>
      </c>
      <c r="F118" s="902">
        <f>E118</f>
        <v>0.5595</v>
      </c>
      <c r="G118" s="902">
        <f>ROUND(0.6299-0.0122*B113,4)</f>
        <v>0.48259999999999997</v>
      </c>
      <c r="H118" s="902">
        <f>G118</f>
        <v>0.48259999999999997</v>
      </c>
      <c r="I118" s="902">
        <f>ROUND(0.5667-0.0136*B113,4)</f>
        <v>0.40250000000000002</v>
      </c>
      <c r="J118" s="902">
        <f t="shared" si="33"/>
        <v>0.40250000000000002</v>
      </c>
      <c r="K118" s="902">
        <f t="shared" si="33"/>
        <v>0.40250000000000002</v>
      </c>
      <c r="L118" s="902">
        <f t="shared" si="33"/>
        <v>0.40250000000000002</v>
      </c>
      <c r="M118" s="903">
        <f t="shared" si="33"/>
        <v>0.40250000000000002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278" t="s">
        <v>183</v>
      </c>
      <c r="B18" s="872" t="s">
        <v>560</v>
      </c>
      <c r="C18" s="873" t="s">
        <v>561</v>
      </c>
      <c r="D18" s="874"/>
      <c r="E18" s="872">
        <v>1</v>
      </c>
      <c r="F18" s="875" t="s">
        <v>562</v>
      </c>
      <c r="G18" s="876"/>
      <c r="H18" s="868"/>
      <c r="I18" s="868"/>
    </row>
    <row r="19" spans="1:9" s="877" customFormat="1" ht="19.5" customHeight="1">
      <c r="A19" s="3278"/>
      <c r="B19" s="3278" t="s">
        <v>563</v>
      </c>
      <c r="C19" s="873" t="s">
        <v>564</v>
      </c>
      <c r="D19" s="874"/>
      <c r="E19" s="872">
        <v>0.9</v>
      </c>
      <c r="F19" s="875" t="s">
        <v>565</v>
      </c>
      <c r="G19" s="876"/>
      <c r="H19" s="868"/>
      <c r="I19" s="868"/>
    </row>
    <row r="20" spans="1:9" s="877" customFormat="1" ht="19.5" customHeight="1">
      <c r="A20" s="3278"/>
      <c r="B20" s="3278"/>
      <c r="C20" s="873" t="s">
        <v>566</v>
      </c>
      <c r="D20" s="874"/>
      <c r="E20" s="872">
        <v>1.1000000000000001</v>
      </c>
      <c r="F20" s="875" t="s">
        <v>567</v>
      </c>
      <c r="G20" s="876"/>
      <c r="H20" s="868"/>
      <c r="I20" s="868"/>
    </row>
    <row r="21" spans="1:9" s="877" customFormat="1" ht="19.5" customHeight="1">
      <c r="A21" s="3278"/>
      <c r="B21" s="3278"/>
      <c r="C21" s="873" t="s">
        <v>568</v>
      </c>
      <c r="D21" s="874"/>
      <c r="E21" s="872">
        <v>0.8</v>
      </c>
      <c r="F21" s="875" t="s">
        <v>569</v>
      </c>
      <c r="G21" s="876"/>
      <c r="H21" s="868"/>
      <c r="I21" s="868"/>
    </row>
    <row r="22" spans="1:9" s="877" customFormat="1" ht="19.5" customHeight="1">
      <c r="A22" s="3278"/>
      <c r="B22" s="3278"/>
      <c r="C22" s="873" t="s">
        <v>570</v>
      </c>
      <c r="D22" s="874"/>
      <c r="E22" s="872">
        <v>0.5</v>
      </c>
      <c r="F22" s="875"/>
      <c r="G22" s="876"/>
      <c r="H22" s="868"/>
      <c r="I22" s="868"/>
    </row>
    <row r="23" spans="1:9" s="877" customFormat="1" ht="19.5" customHeight="1">
      <c r="A23" s="3278" t="s">
        <v>184</v>
      </c>
      <c r="B23" s="872" t="s">
        <v>560</v>
      </c>
      <c r="C23" s="873" t="s">
        <v>571</v>
      </c>
      <c r="D23" s="874"/>
      <c r="E23" s="872">
        <v>1</v>
      </c>
      <c r="F23" s="875" t="s">
        <v>572</v>
      </c>
      <c r="G23" s="876"/>
      <c r="H23" s="868"/>
      <c r="I23" s="868"/>
    </row>
    <row r="24" spans="1:9" s="877" customFormat="1" ht="19.5" customHeight="1">
      <c r="A24" s="3278"/>
      <c r="B24" s="3278" t="s">
        <v>563</v>
      </c>
      <c r="C24" s="873" t="s">
        <v>573</v>
      </c>
      <c r="D24" s="874"/>
      <c r="E24" s="872">
        <v>0.5</v>
      </c>
      <c r="F24" s="875"/>
      <c r="G24" s="876"/>
      <c r="H24" s="868"/>
      <c r="I24" s="868"/>
    </row>
    <row r="25" spans="1:9" s="877" customFormat="1" ht="19.5" customHeight="1">
      <c r="A25" s="3278"/>
      <c r="B25" s="3278"/>
      <c r="C25" s="873" t="s">
        <v>574</v>
      </c>
      <c r="D25" s="874"/>
      <c r="E25" s="872">
        <v>1.1000000000000001</v>
      </c>
      <c r="F25" s="875"/>
      <c r="G25" s="876"/>
      <c r="H25" s="868"/>
      <c r="I25" s="868"/>
    </row>
    <row r="26" spans="1:9" s="877" customFormat="1" ht="19.5" customHeight="1">
      <c r="A26" s="3278"/>
      <c r="B26" s="3278"/>
      <c r="C26" s="873" t="s">
        <v>575</v>
      </c>
      <c r="D26" s="874"/>
      <c r="E26" s="872">
        <v>1.1000000000000001</v>
      </c>
      <c r="F26" s="875"/>
      <c r="G26" s="876"/>
      <c r="H26" s="868"/>
      <c r="I26" s="868"/>
    </row>
    <row r="27" spans="1:9" s="877" customFormat="1" ht="19.5" customHeight="1">
      <c r="A27" s="3278"/>
      <c r="B27" s="3278"/>
      <c r="C27" s="873" t="s">
        <v>576</v>
      </c>
      <c r="D27" s="874"/>
      <c r="E27" s="872">
        <v>0.9</v>
      </c>
      <c r="F27" s="875" t="s">
        <v>577</v>
      </c>
      <c r="G27" s="876"/>
      <c r="H27" s="868"/>
      <c r="I27" s="868"/>
    </row>
    <row r="28" spans="1:9" s="877" customFormat="1" ht="19.5" customHeight="1">
      <c r="A28" s="3278"/>
      <c r="B28" s="3278"/>
      <c r="C28" s="873" t="s">
        <v>578</v>
      </c>
      <c r="D28" s="874"/>
      <c r="E28" s="872">
        <v>0.9</v>
      </c>
      <c r="F28" s="875" t="s">
        <v>579</v>
      </c>
      <c r="G28" s="876"/>
      <c r="H28" s="868"/>
      <c r="I28" s="868"/>
    </row>
    <row r="29" spans="1:9" s="877" customFormat="1" ht="19.5" customHeight="1">
      <c r="A29" s="3278"/>
      <c r="B29" s="3278"/>
      <c r="C29" s="873" t="s">
        <v>580</v>
      </c>
      <c r="D29" s="874"/>
      <c r="E29" s="872">
        <v>0.9</v>
      </c>
      <c r="F29" s="875" t="s">
        <v>581</v>
      </c>
      <c r="G29" s="876"/>
      <c r="H29" s="868"/>
      <c r="I29" s="868"/>
    </row>
    <row r="30" spans="1:9" s="877" customFormat="1" ht="19.5" customHeight="1">
      <c r="A30" s="3278"/>
      <c r="B30" s="3278"/>
      <c r="C30" s="873" t="s">
        <v>582</v>
      </c>
      <c r="D30" s="874"/>
      <c r="E30" s="872">
        <v>0.9</v>
      </c>
      <c r="F30" s="875" t="s">
        <v>583</v>
      </c>
      <c r="G30" s="876"/>
      <c r="H30" s="868"/>
      <c r="I30" s="868"/>
    </row>
    <row r="31" spans="1:9" s="877" customFormat="1" ht="19.5" customHeight="1">
      <c r="A31" s="3278"/>
      <c r="B31" s="3278"/>
      <c r="C31" s="873" t="s">
        <v>584</v>
      </c>
      <c r="D31" s="874"/>
      <c r="E31" s="872">
        <v>0.8</v>
      </c>
      <c r="F31" s="875" t="s">
        <v>585</v>
      </c>
      <c r="G31" s="876"/>
      <c r="H31" s="868"/>
      <c r="I31" s="868"/>
    </row>
    <row r="32" spans="1:9" s="877" customFormat="1" ht="19.5" customHeight="1">
      <c r="A32" s="3278"/>
      <c r="B32" s="3278"/>
      <c r="C32" s="873" t="s">
        <v>586</v>
      </c>
      <c r="D32" s="874"/>
      <c r="E32" s="872">
        <v>0.8</v>
      </c>
      <c r="F32" s="875" t="s">
        <v>587</v>
      </c>
      <c r="G32" s="876"/>
      <c r="H32" s="868"/>
      <c r="I32" s="868"/>
    </row>
    <row r="33" spans="1:9" s="877" customFormat="1" ht="19.5" customHeight="1">
      <c r="A33" s="3278" t="s">
        <v>185</v>
      </c>
      <c r="B33" s="872" t="s">
        <v>560</v>
      </c>
      <c r="C33" s="873" t="s">
        <v>588</v>
      </c>
      <c r="D33" s="874"/>
      <c r="E33" s="872">
        <v>1</v>
      </c>
      <c r="F33" s="875" t="s">
        <v>589</v>
      </c>
      <c r="G33" s="876"/>
      <c r="H33" s="868"/>
      <c r="I33" s="868"/>
    </row>
    <row r="34" spans="1:9" s="877" customFormat="1" ht="19.5" customHeight="1">
      <c r="A34" s="3278"/>
      <c r="B34" s="872" t="s">
        <v>563</v>
      </c>
      <c r="C34" s="873" t="s">
        <v>590</v>
      </c>
      <c r="D34" s="874"/>
      <c r="E34" s="872">
        <v>1.5</v>
      </c>
      <c r="F34" s="875" t="s">
        <v>591</v>
      </c>
      <c r="G34" s="876"/>
      <c r="H34" s="868"/>
      <c r="I34" s="868"/>
    </row>
    <row r="35" spans="1:9" s="877" customFormat="1" ht="19.5" customHeight="1">
      <c r="A35" s="3278" t="s">
        <v>186</v>
      </c>
      <c r="B35" s="872" t="s">
        <v>560</v>
      </c>
      <c r="C35" s="873" t="s">
        <v>592</v>
      </c>
      <c r="D35" s="874"/>
      <c r="E35" s="872">
        <v>1</v>
      </c>
      <c r="F35" s="875" t="s">
        <v>593</v>
      </c>
      <c r="G35" s="876"/>
      <c r="H35" s="868"/>
      <c r="I35" s="868"/>
    </row>
    <row r="36" spans="1:9" s="877" customFormat="1" ht="19.5" customHeight="1">
      <c r="A36" s="3278"/>
      <c r="B36" s="3278" t="s">
        <v>563</v>
      </c>
      <c r="C36" s="873" t="s">
        <v>594</v>
      </c>
      <c r="D36" s="874"/>
      <c r="E36" s="872">
        <v>1</v>
      </c>
      <c r="F36" s="875" t="s">
        <v>595</v>
      </c>
      <c r="G36" s="876"/>
      <c r="H36" s="868"/>
      <c r="I36" s="868"/>
    </row>
    <row r="37" spans="1:9" s="877" customFormat="1" ht="19.5" customHeight="1">
      <c r="A37" s="3278"/>
      <c r="B37" s="3278"/>
      <c r="C37" s="873" t="s">
        <v>596</v>
      </c>
      <c r="D37" s="874"/>
      <c r="E37" s="872">
        <v>1.5</v>
      </c>
      <c r="F37" s="875" t="s">
        <v>597</v>
      </c>
      <c r="G37" s="876"/>
      <c r="H37" s="868"/>
      <c r="I37" s="868"/>
    </row>
    <row r="38" spans="1:9" s="877" customFormat="1" ht="19.5" customHeight="1">
      <c r="A38" s="3278"/>
      <c r="B38" s="3278"/>
      <c r="C38" s="873" t="s">
        <v>598</v>
      </c>
      <c r="D38" s="874"/>
      <c r="E38" s="872">
        <v>1</v>
      </c>
      <c r="F38" s="875" t="s">
        <v>599</v>
      </c>
      <c r="G38" s="876"/>
      <c r="H38" s="868"/>
      <c r="I38" s="868"/>
    </row>
    <row r="39" spans="1:9" s="877" customFormat="1" ht="19.5" customHeight="1">
      <c r="A39" s="3278"/>
      <c r="B39" s="327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278" t="s">
        <v>614</v>
      </c>
      <c r="C61" s="808" t="s">
        <v>615</v>
      </c>
      <c r="D61" s="808" t="s">
        <v>616</v>
      </c>
      <c r="E61" s="885">
        <v>0.5</v>
      </c>
      <c r="F61" s="872">
        <v>80</v>
      </c>
    </row>
    <row r="62" spans="1:8" s="868" customFormat="1" ht="24">
      <c r="A62" s="872">
        <v>2</v>
      </c>
      <c r="B62" s="3278"/>
      <c r="C62" s="808" t="s">
        <v>617</v>
      </c>
      <c r="D62" s="808" t="s">
        <v>618</v>
      </c>
      <c r="E62" s="885">
        <v>0.5</v>
      </c>
      <c r="F62" s="872">
        <v>80</v>
      </c>
    </row>
    <row r="63" spans="1:8" s="868" customFormat="1" ht="36">
      <c r="A63" s="872">
        <v>3</v>
      </c>
      <c r="B63" s="3278"/>
      <c r="C63" s="808" t="s">
        <v>619</v>
      </c>
      <c r="D63" s="808" t="s">
        <v>620</v>
      </c>
      <c r="E63" s="885">
        <v>0.5</v>
      </c>
      <c r="F63" s="872">
        <v>80</v>
      </c>
    </row>
    <row r="64" spans="1:8" s="868" customFormat="1" ht="36">
      <c r="A64" s="872">
        <v>4</v>
      </c>
      <c r="B64" s="3278"/>
      <c r="C64" s="808" t="s">
        <v>621</v>
      </c>
      <c r="D64" s="808" t="s">
        <v>622</v>
      </c>
      <c r="E64" s="885">
        <v>0.4</v>
      </c>
      <c r="F64" s="872">
        <v>60</v>
      </c>
    </row>
    <row r="65" spans="1:6" s="868" customFormat="1" ht="36">
      <c r="A65" s="872">
        <v>5</v>
      </c>
      <c r="B65" s="3278"/>
      <c r="C65" s="808" t="s">
        <v>623</v>
      </c>
      <c r="D65" s="808" t="s">
        <v>624</v>
      </c>
      <c r="E65" s="885">
        <v>0.2</v>
      </c>
      <c r="F65" s="872">
        <v>30</v>
      </c>
    </row>
    <row r="66" spans="1:6" s="868" customFormat="1" ht="36">
      <c r="A66" s="872">
        <v>6</v>
      </c>
      <c r="B66" s="3278"/>
      <c r="C66" s="808" t="s">
        <v>625</v>
      </c>
      <c r="D66" s="808" t="s">
        <v>626</v>
      </c>
      <c r="E66" s="885">
        <v>0.3</v>
      </c>
      <c r="F66" s="872">
        <v>50</v>
      </c>
    </row>
    <row r="67" spans="1:6" s="868" customFormat="1" ht="36">
      <c r="A67" s="872">
        <v>7</v>
      </c>
      <c r="B67" s="3278"/>
      <c r="C67" s="808" t="s">
        <v>627</v>
      </c>
      <c r="D67" s="808" t="s">
        <v>628</v>
      </c>
      <c r="E67" s="885">
        <v>0.2</v>
      </c>
      <c r="F67" s="872">
        <v>30</v>
      </c>
    </row>
    <row r="68" spans="1:6" s="868" customFormat="1" ht="36">
      <c r="A68" s="872">
        <v>8</v>
      </c>
      <c r="B68" s="3278"/>
      <c r="C68" s="808" t="s">
        <v>629</v>
      </c>
      <c r="D68" s="808" t="s">
        <v>630</v>
      </c>
      <c r="E68" s="885">
        <v>0.2</v>
      </c>
      <c r="F68" s="872">
        <v>30</v>
      </c>
    </row>
    <row r="69" spans="1:6" s="868" customFormat="1" ht="36">
      <c r="A69" s="872">
        <v>9</v>
      </c>
      <c r="B69" s="3278"/>
      <c r="C69" s="808" t="s">
        <v>631</v>
      </c>
      <c r="D69" s="808" t="s">
        <v>632</v>
      </c>
      <c r="E69" s="885">
        <v>0.2</v>
      </c>
      <c r="F69" s="872">
        <v>30</v>
      </c>
    </row>
    <row r="70" spans="1:6" s="868" customFormat="1" ht="48">
      <c r="A70" s="872">
        <v>10</v>
      </c>
      <c r="B70" s="3278"/>
      <c r="C70" s="808" t="s">
        <v>633</v>
      </c>
      <c r="D70" s="808" t="s">
        <v>634</v>
      </c>
      <c r="E70" s="885">
        <v>0.2</v>
      </c>
      <c r="F70" s="872">
        <v>30</v>
      </c>
    </row>
    <row r="71" spans="1:6" s="868" customFormat="1" ht="48">
      <c r="A71" s="872">
        <v>11</v>
      </c>
      <c r="B71" s="3278"/>
      <c r="C71" s="808" t="s">
        <v>635</v>
      </c>
      <c r="D71" s="808" t="s">
        <v>636</v>
      </c>
      <c r="E71" s="885">
        <v>0.2</v>
      </c>
      <c r="F71" s="872">
        <v>30</v>
      </c>
    </row>
    <row r="72" spans="1:6" s="868" customFormat="1" ht="36">
      <c r="A72" s="872">
        <v>12</v>
      </c>
      <c r="B72" s="3278"/>
      <c r="C72" s="808" t="s">
        <v>637</v>
      </c>
      <c r="D72" s="808" t="s">
        <v>638</v>
      </c>
      <c r="E72" s="885">
        <v>0.5</v>
      </c>
      <c r="F72" s="872">
        <v>80</v>
      </c>
    </row>
    <row r="73" spans="1:6" s="868" customFormat="1" ht="24">
      <c r="A73" s="872">
        <v>13</v>
      </c>
      <c r="B73" s="3278"/>
      <c r="C73" s="808" t="s">
        <v>639</v>
      </c>
      <c r="D73" s="808" t="s">
        <v>640</v>
      </c>
      <c r="E73" s="885">
        <v>0.4</v>
      </c>
      <c r="F73" s="872">
        <v>60</v>
      </c>
    </row>
    <row r="74" spans="1:6" s="868" customFormat="1" ht="24">
      <c r="A74" s="872">
        <v>14</v>
      </c>
      <c r="B74" s="3278"/>
      <c r="C74" s="808" t="s">
        <v>641</v>
      </c>
      <c r="D74" s="808" t="s">
        <v>642</v>
      </c>
      <c r="E74" s="885">
        <v>0.2</v>
      </c>
      <c r="F74" s="872">
        <v>30</v>
      </c>
    </row>
    <row r="75" spans="1:6" s="868" customFormat="1" ht="24">
      <c r="A75" s="872">
        <v>15</v>
      </c>
      <c r="B75" s="3278"/>
      <c r="C75" s="808" t="s">
        <v>643</v>
      </c>
      <c r="D75" s="808" t="s">
        <v>644</v>
      </c>
      <c r="E75" s="885">
        <v>0.2</v>
      </c>
      <c r="F75" s="872">
        <v>30</v>
      </c>
    </row>
    <row r="76" spans="1:6" s="868" customFormat="1" ht="24">
      <c r="A76" s="872">
        <v>16</v>
      </c>
      <c r="B76" s="3278" t="s">
        <v>645</v>
      </c>
      <c r="C76" s="808" t="s">
        <v>646</v>
      </c>
      <c r="D76" s="808" t="s">
        <v>647</v>
      </c>
      <c r="E76" s="885">
        <v>0.5</v>
      </c>
      <c r="F76" s="872">
        <v>80</v>
      </c>
    </row>
    <row r="77" spans="1:6" s="868" customFormat="1" ht="24">
      <c r="A77" s="872">
        <v>17</v>
      </c>
      <c r="B77" s="3278"/>
      <c r="C77" s="808" t="s">
        <v>648</v>
      </c>
      <c r="D77" s="808" t="s">
        <v>649</v>
      </c>
      <c r="E77" s="885">
        <v>0.5</v>
      </c>
      <c r="F77" s="872">
        <v>80</v>
      </c>
    </row>
    <row r="78" spans="1:6" s="868" customFormat="1" ht="24">
      <c r="A78" s="872">
        <v>18</v>
      </c>
      <c r="B78" s="3278"/>
      <c r="C78" s="808" t="s">
        <v>650</v>
      </c>
      <c r="D78" s="808" t="s">
        <v>651</v>
      </c>
      <c r="E78" s="885">
        <v>0.2</v>
      </c>
      <c r="F78" s="872">
        <v>30</v>
      </c>
    </row>
    <row r="79" spans="1:6" s="868" customFormat="1" ht="24">
      <c r="A79" s="872">
        <v>19</v>
      </c>
      <c r="B79" s="3278"/>
      <c r="C79" s="808" t="s">
        <v>652</v>
      </c>
      <c r="D79" s="808" t="s">
        <v>653</v>
      </c>
      <c r="E79" s="885">
        <v>0.5</v>
      </c>
      <c r="F79" s="872">
        <v>80</v>
      </c>
    </row>
    <row r="80" spans="1:6" s="868" customFormat="1" ht="36">
      <c r="A80" s="872">
        <v>20</v>
      </c>
      <c r="B80" s="3278"/>
      <c r="C80" s="808" t="s">
        <v>654</v>
      </c>
      <c r="D80" s="808" t="s">
        <v>655</v>
      </c>
      <c r="E80" s="885">
        <v>0.2</v>
      </c>
      <c r="F80" s="872">
        <v>30</v>
      </c>
    </row>
    <row r="81" spans="1:6" s="868" customFormat="1" ht="36">
      <c r="A81" s="872">
        <v>21</v>
      </c>
      <c r="B81" s="3278"/>
      <c r="C81" s="808" t="s">
        <v>656</v>
      </c>
      <c r="D81" s="808" t="s">
        <v>657</v>
      </c>
      <c r="E81" s="885">
        <v>0.2</v>
      </c>
      <c r="F81" s="872">
        <v>30</v>
      </c>
    </row>
    <row r="82" spans="1:6" s="868" customFormat="1" ht="48">
      <c r="A82" s="872">
        <v>22</v>
      </c>
      <c r="B82" s="3278"/>
      <c r="C82" s="808" t="s">
        <v>658</v>
      </c>
      <c r="D82" s="808" t="s">
        <v>659</v>
      </c>
      <c r="E82" s="885">
        <v>0.2</v>
      </c>
      <c r="F82" s="872">
        <v>30</v>
      </c>
    </row>
    <row r="83" spans="1:6" s="868" customFormat="1" ht="48">
      <c r="A83" s="872">
        <v>23</v>
      </c>
      <c r="B83" s="3278"/>
      <c r="C83" s="808" t="s">
        <v>660</v>
      </c>
      <c r="D83" s="808" t="s">
        <v>661</v>
      </c>
      <c r="E83" s="885">
        <v>0.2</v>
      </c>
      <c r="F83" s="872">
        <v>30</v>
      </c>
    </row>
    <row r="84" spans="1:6" s="868" customFormat="1" ht="36">
      <c r="A84" s="872">
        <v>24</v>
      </c>
      <c r="B84" s="3278"/>
      <c r="C84" s="808" t="s">
        <v>662</v>
      </c>
      <c r="D84" s="808" t="s">
        <v>663</v>
      </c>
      <c r="E84" s="885">
        <v>0.2</v>
      </c>
      <c r="F84" s="872">
        <v>30</v>
      </c>
    </row>
    <row r="85" spans="1:6" s="868" customFormat="1" ht="36">
      <c r="A85" s="872">
        <v>25</v>
      </c>
      <c r="B85" s="3278"/>
      <c r="C85" s="808" t="s">
        <v>664</v>
      </c>
      <c r="D85" s="808" t="s">
        <v>665</v>
      </c>
      <c r="E85" s="885">
        <v>0.5</v>
      </c>
      <c r="F85" s="872">
        <v>80</v>
      </c>
    </row>
    <row r="86" spans="1:6" s="868" customFormat="1" ht="36">
      <c r="A86" s="872">
        <v>26</v>
      </c>
      <c r="B86" s="3278"/>
      <c r="C86" s="808" t="s">
        <v>666</v>
      </c>
      <c r="D86" s="808" t="s">
        <v>667</v>
      </c>
      <c r="E86" s="885">
        <v>0.2</v>
      </c>
      <c r="F86" s="872">
        <v>30</v>
      </c>
    </row>
    <row r="87" spans="1:6" s="868" customFormat="1" ht="36">
      <c r="A87" s="872">
        <v>27</v>
      </c>
      <c r="B87" s="3278"/>
      <c r="C87" s="808" t="s">
        <v>668</v>
      </c>
      <c r="D87" s="808" t="s">
        <v>669</v>
      </c>
      <c r="E87" s="885">
        <v>0.2</v>
      </c>
      <c r="F87" s="872">
        <v>30</v>
      </c>
    </row>
    <row r="88" spans="1:6" s="868" customFormat="1" ht="36">
      <c r="A88" s="872">
        <v>28</v>
      </c>
      <c r="B88" s="3278"/>
      <c r="C88" s="808" t="s">
        <v>670</v>
      </c>
      <c r="D88" s="808" t="s">
        <v>671</v>
      </c>
      <c r="E88" s="885">
        <v>0.2</v>
      </c>
      <c r="F88" s="872">
        <v>30</v>
      </c>
    </row>
    <row r="89" spans="1:6" s="868" customFormat="1" ht="24">
      <c r="A89" s="872">
        <v>29</v>
      </c>
      <c r="B89" s="3278"/>
      <c r="C89" s="808" t="s">
        <v>672</v>
      </c>
      <c r="D89" s="808" t="s">
        <v>673</v>
      </c>
      <c r="E89" s="885">
        <v>0.2</v>
      </c>
      <c r="F89" s="872">
        <v>30</v>
      </c>
    </row>
    <row r="90" spans="1:6" s="868" customFormat="1" ht="24">
      <c r="A90" s="872">
        <v>30</v>
      </c>
      <c r="B90" s="3278"/>
      <c r="C90" s="808" t="s">
        <v>674</v>
      </c>
      <c r="D90" s="808" t="s">
        <v>675</v>
      </c>
      <c r="E90" s="885">
        <v>0.2</v>
      </c>
      <c r="F90" s="872">
        <v>30</v>
      </c>
    </row>
    <row r="91" spans="1:6" s="868" customFormat="1" ht="36">
      <c r="A91" s="872">
        <v>31</v>
      </c>
      <c r="B91" s="3278"/>
      <c r="C91" s="808" t="s">
        <v>676</v>
      </c>
      <c r="D91" s="808" t="s">
        <v>677</v>
      </c>
      <c r="E91" s="885">
        <v>0.2</v>
      </c>
      <c r="F91" s="872">
        <v>30</v>
      </c>
    </row>
    <row r="92" spans="1:6" s="868" customFormat="1" ht="24">
      <c r="A92" s="872">
        <v>32</v>
      </c>
      <c r="B92" s="3278" t="s">
        <v>678</v>
      </c>
      <c r="C92" s="872" t="s">
        <v>679</v>
      </c>
      <c r="D92" s="808" t="s">
        <v>680</v>
      </c>
      <c r="E92" s="885">
        <v>0.2</v>
      </c>
      <c r="F92" s="872">
        <v>30</v>
      </c>
    </row>
    <row r="93" spans="1:6" s="868" customFormat="1" ht="36">
      <c r="A93" s="872">
        <v>33</v>
      </c>
      <c r="B93" s="3278"/>
      <c r="C93" s="872" t="s">
        <v>681</v>
      </c>
      <c r="D93" s="808" t="s">
        <v>682</v>
      </c>
      <c r="E93" s="885">
        <v>0.2</v>
      </c>
      <c r="F93" s="872">
        <v>30</v>
      </c>
    </row>
    <row r="94" spans="1:6" s="868" customFormat="1" ht="48">
      <c r="A94" s="872">
        <v>34</v>
      </c>
      <c r="B94" s="3278"/>
      <c r="C94" s="872" t="s">
        <v>683</v>
      </c>
      <c r="D94" s="808" t="s">
        <v>684</v>
      </c>
      <c r="E94" s="885">
        <v>0.2</v>
      </c>
      <c r="F94" s="872">
        <v>30</v>
      </c>
    </row>
    <row r="95" spans="1:6" s="868" customFormat="1" ht="36">
      <c r="A95" s="872">
        <v>35</v>
      </c>
      <c r="B95" s="3278"/>
      <c r="C95" s="872" t="s">
        <v>685</v>
      </c>
      <c r="D95" s="808" t="s">
        <v>686</v>
      </c>
      <c r="E95" s="885">
        <v>0.2</v>
      </c>
      <c r="F95" s="872">
        <v>30</v>
      </c>
    </row>
    <row r="96" spans="1:6" s="868" customFormat="1" ht="48">
      <c r="A96" s="872">
        <v>36</v>
      </c>
      <c r="B96" s="3278"/>
      <c r="C96" s="808" t="s">
        <v>687</v>
      </c>
      <c r="D96" s="808" t="s">
        <v>688</v>
      </c>
      <c r="E96" s="885">
        <v>0.2</v>
      </c>
      <c r="F96" s="872">
        <v>30</v>
      </c>
    </row>
    <row r="97" spans="1:6" s="868" customFormat="1" ht="36">
      <c r="A97" s="872">
        <v>37</v>
      </c>
      <c r="B97" s="3278"/>
      <c r="C97" s="872" t="s">
        <v>689</v>
      </c>
      <c r="D97" s="808" t="s">
        <v>690</v>
      </c>
      <c r="E97" s="885">
        <v>0.2</v>
      </c>
      <c r="F97" s="872">
        <v>30</v>
      </c>
    </row>
    <row r="98" spans="1:6" s="868" customFormat="1" ht="36">
      <c r="A98" s="872">
        <v>38</v>
      </c>
      <c r="B98" s="3278"/>
      <c r="C98" s="872" t="s">
        <v>691</v>
      </c>
      <c r="D98" s="808" t="s">
        <v>692</v>
      </c>
      <c r="E98" s="885">
        <v>0.2</v>
      </c>
      <c r="F98" s="872">
        <v>30</v>
      </c>
    </row>
    <row r="99" spans="1:6" s="868" customFormat="1" ht="36">
      <c r="A99" s="872">
        <v>39</v>
      </c>
      <c r="B99" s="3278" t="s">
        <v>693</v>
      </c>
      <c r="C99" s="872" t="s">
        <v>694</v>
      </c>
      <c r="D99" s="808" t="s">
        <v>695</v>
      </c>
      <c r="E99" s="885">
        <v>0.3</v>
      </c>
      <c r="F99" s="872">
        <v>50</v>
      </c>
    </row>
    <row r="100" spans="1:6" s="868" customFormat="1" ht="24">
      <c r="A100" s="872">
        <v>40</v>
      </c>
      <c r="B100" s="3278"/>
      <c r="C100" s="872" t="s">
        <v>696</v>
      </c>
      <c r="D100" s="808" t="s">
        <v>697</v>
      </c>
      <c r="E100" s="885">
        <v>0.2</v>
      </c>
      <c r="F100" s="872">
        <v>30</v>
      </c>
    </row>
    <row r="101" spans="1:6" s="868" customFormat="1" ht="36">
      <c r="A101" s="872">
        <v>41</v>
      </c>
      <c r="B101" s="327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278" t="s">
        <v>708</v>
      </c>
      <c r="C105" s="872" t="s">
        <v>709</v>
      </c>
      <c r="D105" s="808" t="s">
        <v>710</v>
      </c>
      <c r="E105" s="885">
        <v>0.2</v>
      </c>
      <c r="F105" s="872">
        <v>30</v>
      </c>
    </row>
    <row r="106" spans="1:6" s="868" customFormat="1" ht="36">
      <c r="A106" s="872">
        <v>46</v>
      </c>
      <c r="B106" s="3278"/>
      <c r="C106" s="872" t="s">
        <v>711</v>
      </c>
      <c r="D106" s="808" t="s">
        <v>712</v>
      </c>
      <c r="E106" s="885">
        <v>0.2</v>
      </c>
      <c r="F106" s="872">
        <v>30</v>
      </c>
    </row>
    <row r="107" spans="1:6" s="868" customFormat="1" ht="36">
      <c r="A107" s="872">
        <v>47</v>
      </c>
      <c r="B107" s="3278" t="s">
        <v>713</v>
      </c>
      <c r="C107" s="872" t="s">
        <v>714</v>
      </c>
      <c r="D107" s="808" t="s">
        <v>715</v>
      </c>
      <c r="E107" s="885">
        <v>0.3</v>
      </c>
      <c r="F107" s="872">
        <v>50</v>
      </c>
    </row>
    <row r="108" spans="1:6" s="868" customFormat="1" ht="36">
      <c r="A108" s="872">
        <v>48</v>
      </c>
      <c r="B108" s="327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278" t="s">
        <v>724</v>
      </c>
      <c r="C111" s="872" t="s">
        <v>725</v>
      </c>
      <c r="D111" s="808" t="s">
        <v>726</v>
      </c>
      <c r="E111" s="885">
        <v>0.2</v>
      </c>
      <c r="F111" s="872">
        <v>30</v>
      </c>
    </row>
    <row r="112" spans="1:6" s="868" customFormat="1" ht="24">
      <c r="A112" s="872">
        <v>52</v>
      </c>
      <c r="B112" s="3278"/>
      <c r="C112" s="872" t="s">
        <v>727</v>
      </c>
      <c r="D112" s="808" t="s">
        <v>728</v>
      </c>
      <c r="E112" s="885">
        <v>0.2</v>
      </c>
      <c r="F112" s="872">
        <v>30</v>
      </c>
    </row>
    <row r="113" spans="1:6" s="868" customFormat="1" ht="24">
      <c r="A113" s="872">
        <v>53</v>
      </c>
      <c r="B113" s="327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278" t="s">
        <v>737</v>
      </c>
      <c r="C116" s="872" t="s">
        <v>738</v>
      </c>
      <c r="D116" s="808" t="s">
        <v>739</v>
      </c>
      <c r="E116" s="885">
        <v>0.2</v>
      </c>
      <c r="F116" s="872">
        <v>30</v>
      </c>
    </row>
    <row r="117" spans="1:6" ht="36">
      <c r="A117" s="872">
        <v>57</v>
      </c>
      <c r="B117" s="327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1623</v>
      </c>
      <c r="B1" s="1945"/>
      <c r="C1" s="1945"/>
      <c r="D1" s="1945"/>
      <c r="E1" s="1945"/>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47"/>
      <c r="B4" s="2967" t="s">
        <v>1632</v>
      </c>
      <c r="C4" s="2967"/>
      <c r="D4" s="2967"/>
      <c r="E4" s="1947"/>
    </row>
    <row r="5" spans="1:5" ht="16.5" thickTop="1">
      <c r="A5" s="1945"/>
      <c r="B5" s="2965" t="s">
        <v>1624</v>
      </c>
      <c r="C5" s="1948" t="s">
        <v>1625</v>
      </c>
      <c r="D5" s="1033">
        <f ca="1">'结果表-公寓'!H101</f>
        <v>134</v>
      </c>
      <c r="E5" s="1945"/>
    </row>
    <row r="6" spans="1:5" ht="15.75">
      <c r="A6" s="1945"/>
      <c r="B6" s="2965"/>
      <c r="C6" s="1948" t="s">
        <v>1626</v>
      </c>
      <c r="D6" s="1033" t="str">
        <f ca="1">NUMBERSTRING(INT(D5*10000),2)&amp;"元整"</f>
        <v>壹佰叁拾肆万元整</v>
      </c>
      <c r="E6" s="1945"/>
    </row>
    <row r="7" spans="1:5" ht="15.75">
      <c r="A7" s="1945"/>
      <c r="B7" s="2970"/>
      <c r="C7" s="1949" t="s">
        <v>1627</v>
      </c>
      <c r="D7" s="1034">
        <f ca="1">'结果表-公寓'!H102</f>
        <v>22491</v>
      </c>
      <c r="E7" s="1945"/>
    </row>
    <row r="8" spans="1:5" ht="15.75">
      <c r="A8" s="1945"/>
      <c r="B8" s="2971" t="str">
        <f>'结果表-公寓'!E103</f>
        <v>2.估价师知悉的法定优先受偿款</v>
      </c>
      <c r="C8" s="1950" t="s">
        <v>1628</v>
      </c>
      <c r="D8" s="1034">
        <f>'结果表-公寓'!H103</f>
        <v>0</v>
      </c>
      <c r="E8" s="1945"/>
    </row>
    <row r="9" spans="1:5" ht="15.75">
      <c r="A9" s="1945"/>
      <c r="B9" s="2973"/>
      <c r="C9" s="1948" t="s">
        <v>1626</v>
      </c>
      <c r="D9" s="1033" t="str">
        <f>NUMBERSTRING(INT(D8*10000),2)&amp;"元整"</f>
        <v>零元整</v>
      </c>
      <c r="E9" s="1945"/>
    </row>
    <row r="10" spans="1:5" ht="15">
      <c r="A10" s="1945"/>
      <c r="B10" s="1951" t="s">
        <v>1631</v>
      </c>
      <c r="C10" s="1952" t="s">
        <v>1629</v>
      </c>
      <c r="D10" s="1035">
        <f>'结果表-公寓'!H104</f>
        <v>0</v>
      </c>
      <c r="E10" s="1945"/>
    </row>
    <row r="11" spans="1:5" ht="15">
      <c r="A11" s="1945"/>
      <c r="B11" s="1951" t="s">
        <v>1633</v>
      </c>
      <c r="C11" s="1952" t="s">
        <v>1634</v>
      </c>
      <c r="D11" s="1035">
        <f>'结果表-公寓'!H105</f>
        <v>0</v>
      </c>
      <c r="E11" s="1945"/>
    </row>
    <row r="12" spans="1:5" ht="15">
      <c r="A12" s="1945"/>
      <c r="B12" s="1951" t="s">
        <v>1635</v>
      </c>
      <c r="C12" s="1952" t="s">
        <v>1634</v>
      </c>
      <c r="D12" s="1035">
        <f>'结果表-公寓'!H106</f>
        <v>0</v>
      </c>
      <c r="E12" s="1945"/>
    </row>
    <row r="13" spans="1:5" ht="15.75">
      <c r="A13" s="1945"/>
      <c r="B13" s="2964" t="str">
        <f>'结果表-公寓'!E107</f>
        <v>3.房地产抵押价值</v>
      </c>
      <c r="C13" s="1953" t="s">
        <v>1625</v>
      </c>
      <c r="D13" s="1036">
        <f ca="1">'结果表-公寓'!H107</f>
        <v>134</v>
      </c>
      <c r="E13" s="1945"/>
    </row>
    <row r="14" spans="1:5" ht="15.75">
      <c r="A14" s="1945"/>
      <c r="B14" s="2965"/>
      <c r="C14" s="1948" t="s">
        <v>1626</v>
      </c>
      <c r="D14" s="1033" t="str">
        <f ca="1">NUMBERSTRING(INT(D13*10000),2)&amp;"元整"</f>
        <v>壹佰叁拾肆万元整</v>
      </c>
      <c r="E14" s="1945"/>
    </row>
    <row r="15" spans="1:5" ht="15">
      <c r="A15" s="1945"/>
      <c r="B15" s="2970"/>
      <c r="C15" s="1949" t="s">
        <v>1636</v>
      </c>
      <c r="D15" s="1045">
        <f ca="1">'结果表-公寓'!H108</f>
        <v>47</v>
      </c>
      <c r="E15" s="1945"/>
    </row>
    <row r="16" spans="1:5" ht="15">
      <c r="A16" s="1945"/>
      <c r="B16" s="2971" t="str">
        <f>'结果表-公寓'!E109</f>
        <v>——</v>
      </c>
      <c r="C16" s="1953" t="s">
        <v>1637</v>
      </c>
      <c r="D16" s="1954" t="str">
        <f>'结果表-公寓'!H109</f>
        <v>——</v>
      </c>
      <c r="E16" s="1945"/>
    </row>
    <row r="17" spans="1:5" ht="15.75">
      <c r="A17" s="1945"/>
      <c r="B17" s="2972"/>
      <c r="C17" s="1948" t="s">
        <v>1638</v>
      </c>
      <c r="D17" s="1033" t="e">
        <f>NUMBERSTRING(INT(D16*10000),2)&amp;"元整"</f>
        <v>#VALUE!</v>
      </c>
      <c r="E17" s="1945"/>
    </row>
    <row r="18" spans="1:5" ht="15">
      <c r="A18" s="1945"/>
      <c r="B18" s="2973"/>
      <c r="C18" s="1949" t="s">
        <v>1627</v>
      </c>
      <c r="D18" s="1045" t="str">
        <f>'结果表-公寓'!H110</f>
        <v>——</v>
      </c>
      <c r="E18" s="1945"/>
    </row>
    <row r="19" spans="1:5" ht="15.75">
      <c r="A19" s="1945"/>
      <c r="B19" s="2964" t="str">
        <f>'结果表-公寓'!E111</f>
        <v>——</v>
      </c>
      <c r="C19" s="1953" t="s">
        <v>1625</v>
      </c>
      <c r="D19" s="1034" t="str">
        <f>'结果表-公寓'!H111</f>
        <v>——</v>
      </c>
      <c r="E19" s="1945"/>
    </row>
    <row r="20" spans="1:5" ht="15.75">
      <c r="A20" s="1945"/>
      <c r="B20" s="2965"/>
      <c r="C20" s="1948" t="s">
        <v>1638</v>
      </c>
      <c r="D20" s="1033" t="e">
        <f>NUMBERSTRING(INT(D19*10000),2)&amp;"元整"</f>
        <v>#VALUE!</v>
      </c>
      <c r="E20" s="1945"/>
    </row>
    <row r="21" spans="1:5" ht="15.75" thickBot="1">
      <c r="A21" s="1945"/>
      <c r="B21" s="2966"/>
      <c r="C21" s="1955" t="s">
        <v>1636</v>
      </c>
      <c r="D21" s="1046" t="str">
        <f>'结果表-公寓'!H112</f>
        <v>——</v>
      </c>
      <c r="E21" s="1945"/>
    </row>
    <row r="22" spans="1:5" ht="15" thickTop="1">
      <c r="A22" s="1945"/>
      <c r="B22" s="1956" t="s">
        <v>1639</v>
      </c>
      <c r="C22" s="1945"/>
      <c r="D22" s="1945"/>
      <c r="E22" s="1945"/>
    </row>
    <row r="23" spans="1:5">
      <c r="A23" s="1945"/>
      <c r="B23" s="1945"/>
      <c r="C23" s="1945"/>
      <c r="D23" s="1945"/>
      <c r="E23" s="1945"/>
    </row>
    <row r="24" spans="1:5" ht="18.75">
      <c r="A24" s="1957"/>
      <c r="B24" s="1958" t="s">
        <v>1630</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4" t="s">
        <v>3000</v>
      </c>
    </row>
    <row r="2" spans="1:5" ht="15.75">
      <c r="A2" s="2890" t="s">
        <v>2992</v>
      </c>
      <c r="B2" s="2891" t="e">
        <f ca="1">SUMIF(B6:B13,"&lt;&gt;#ref!",B6:B13)</f>
        <v>#DIV/0!</v>
      </c>
      <c r="C2" s="2890" t="s">
        <v>2993</v>
      </c>
      <c r="D2" s="2890" t="s">
        <v>2994</v>
      </c>
      <c r="E2" s="2891" t="e">
        <f ca="1">SUM(E6:E13)</f>
        <v>#REF!</v>
      </c>
    </row>
    <row r="3" spans="1:5" ht="15.75">
      <c r="A3" s="2890" t="s">
        <v>2995</v>
      </c>
      <c r="B3" s="2891" t="e">
        <f ca="1">ROUND(B2*10000/E2,0)</f>
        <v>#DIV/0!</v>
      </c>
      <c r="C3" s="2890" t="s">
        <v>3001</v>
      </c>
      <c r="D3" s="2892"/>
      <c r="E3" s="2892"/>
    </row>
    <row r="4" spans="1:5" ht="15.75">
      <c r="A4" s="2893"/>
      <c r="B4" s="2892"/>
      <c r="C4" s="2892"/>
      <c r="D4" s="2892"/>
      <c r="E4" s="2892"/>
    </row>
    <row r="5" spans="1:5" ht="28.5">
      <c r="A5" s="2894" t="s">
        <v>2996</v>
      </c>
      <c r="B5" s="2890" t="s">
        <v>2997</v>
      </c>
      <c r="C5" s="2891"/>
      <c r="D5" s="2892"/>
      <c r="E5" s="2890" t="s">
        <v>2998</v>
      </c>
    </row>
    <row r="6" spans="1:5" ht="15.75">
      <c r="A6" s="2895" t="s">
        <v>2999</v>
      </c>
      <c r="B6" s="2891" t="e">
        <f ca="1">SUMIF(INDIRECT("'"&amp;A6&amp;"'"&amp;"!A:A"),"总价",INDIRECT("'"&amp;A6&amp;"'"&amp;"!B:B"))</f>
        <v>#DIV/0!</v>
      </c>
      <c r="C6" s="2890" t="s">
        <v>2993</v>
      </c>
      <c r="D6" s="2892"/>
      <c r="E6" s="2558">
        <f ca="1">SUMIF(INDIRECT("'"&amp;A6&amp;"'"&amp;"!C:C"),"建筑面积",INDIRECT("'"&amp;A6&amp;"'"&amp;"!D:D"))</f>
        <v>0</v>
      </c>
    </row>
    <row r="7" spans="1:5" ht="15.75">
      <c r="A7" s="2895"/>
      <c r="B7" s="2891" t="e">
        <f ca="1">SUMIF(INDIRECT("'"&amp;A7&amp;"'"&amp;"!A:A"),"总价",INDIRECT("'"&amp;A7&amp;"'"&amp;"!B:B"))</f>
        <v>#REF!</v>
      </c>
      <c r="C7" s="2890" t="s">
        <v>2993</v>
      </c>
      <c r="D7" s="2892"/>
      <c r="E7" s="2558" t="e">
        <f t="shared" ref="E7:E13" ca="1" si="0">SUMIF(INDIRECT("'"&amp;A7&amp;"'"&amp;"!C:C"),"建筑面积",INDIRECT("'"&amp;A7&amp;"'"&amp;"!D:D"))</f>
        <v>#REF!</v>
      </c>
    </row>
    <row r="8" spans="1:5" ht="15.75">
      <c r="A8" s="2895"/>
      <c r="B8" s="2891" t="e">
        <f t="shared" ref="B8:B13" ca="1" si="1">SUMIF(INDIRECT("'"&amp;A8&amp;"'"&amp;"!A:A"),"总价",INDIRECT("'"&amp;A8&amp;"'"&amp;"!B:B"))</f>
        <v>#REF!</v>
      </c>
      <c r="C8" s="2890" t="s">
        <v>2993</v>
      </c>
      <c r="D8" s="2892"/>
      <c r="E8" s="2558" t="e">
        <f t="shared" ca="1" si="0"/>
        <v>#REF!</v>
      </c>
    </row>
    <row r="9" spans="1:5" ht="15.75">
      <c r="A9" s="2895"/>
      <c r="B9" s="2891" t="e">
        <f t="shared" ca="1" si="1"/>
        <v>#REF!</v>
      </c>
      <c r="C9" s="2890" t="s">
        <v>2993</v>
      </c>
      <c r="D9" s="2892"/>
      <c r="E9" s="2558" t="e">
        <f t="shared" ca="1" si="0"/>
        <v>#REF!</v>
      </c>
    </row>
    <row r="10" spans="1:5" ht="15.75">
      <c r="A10" s="2895"/>
      <c r="B10" s="2891" t="e">
        <f t="shared" ca="1" si="1"/>
        <v>#REF!</v>
      </c>
      <c r="C10" s="2890" t="s">
        <v>2993</v>
      </c>
      <c r="D10" s="2892"/>
      <c r="E10" s="2558" t="e">
        <f t="shared" ca="1" si="0"/>
        <v>#REF!</v>
      </c>
    </row>
    <row r="11" spans="1:5" ht="15.75">
      <c r="A11" s="2895"/>
      <c r="B11" s="2891" t="e">
        <f t="shared" ca="1" si="1"/>
        <v>#REF!</v>
      </c>
      <c r="C11" s="2890" t="s">
        <v>2993</v>
      </c>
      <c r="D11" s="2892"/>
      <c r="E11" s="2558" t="e">
        <f t="shared" ca="1" si="0"/>
        <v>#REF!</v>
      </c>
    </row>
    <row r="12" spans="1:5" ht="15.75">
      <c r="A12" s="2895"/>
      <c r="B12" s="2891" t="e">
        <f t="shared" ca="1" si="1"/>
        <v>#REF!</v>
      </c>
      <c r="C12" s="2890" t="s">
        <v>2993</v>
      </c>
      <c r="D12" s="2892"/>
      <c r="E12" s="2558" t="e">
        <f t="shared" ca="1" si="0"/>
        <v>#REF!</v>
      </c>
    </row>
    <row r="13" spans="1:5" ht="15.75">
      <c r="A13" s="2895"/>
      <c r="B13" s="2891" t="e">
        <f t="shared" ca="1" si="1"/>
        <v>#REF!</v>
      </c>
      <c r="C13" s="2890" t="s">
        <v>2993</v>
      </c>
      <c r="D13" s="2892"/>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57"/>
    <col min="2" max="6" width="9" style="1457" customWidth="1"/>
    <col min="7" max="7" width="9" style="1472"/>
    <col min="8" max="8" width="9" style="1457"/>
    <col min="9" max="12" width="9" style="1457" customWidth="1"/>
    <col min="13" max="13" width="2.25" style="1457" customWidth="1"/>
    <col min="14" max="14" width="9" style="1472" customWidth="1"/>
    <col min="15" max="17" width="9" style="1457" customWidth="1"/>
    <col min="18" max="18" width="2.375" style="1457" customWidth="1"/>
    <col min="19" max="19" width="7.125" style="1472" customWidth="1"/>
    <col min="20" max="22" width="7.125" style="1457" customWidth="1"/>
    <col min="23" max="23" width="24.25" style="1457" customWidth="1"/>
    <col min="24" max="25" width="9" style="1457"/>
    <col min="26" max="27" width="11.625" style="1457" customWidth="1"/>
    <col min="28" max="28" width="9" style="1457"/>
    <col min="29" max="29" width="2" style="1457" customWidth="1"/>
    <col min="30" max="16384" width="9" style="1457"/>
  </cols>
  <sheetData>
    <row r="1" spans="1:34" s="1430" customFormat="1">
      <c r="B1" s="3284" t="s">
        <v>1150</v>
      </c>
      <c r="C1" s="3284"/>
      <c r="D1" s="3284"/>
      <c r="E1" s="3284"/>
      <c r="F1" s="3284"/>
      <c r="G1" s="3280" t="s">
        <v>1151</v>
      </c>
      <c r="H1" s="3280"/>
      <c r="I1" s="3280"/>
      <c r="J1" s="3280"/>
      <c r="K1" s="3280"/>
      <c r="L1" s="3280"/>
      <c r="N1" s="3280" t="s">
        <v>1152</v>
      </c>
      <c r="O1" s="3280"/>
      <c r="P1" s="3280"/>
      <c r="Q1" s="3280"/>
      <c r="R1" s="1431"/>
      <c r="S1" s="3280" t="s">
        <v>1153</v>
      </c>
      <c r="T1" s="3280"/>
      <c r="U1" s="3280"/>
      <c r="V1" s="3280"/>
      <c r="X1" s="3279" t="s">
        <v>1154</v>
      </c>
      <c r="Y1" s="3280"/>
      <c r="Z1" s="3280"/>
      <c r="AA1" s="3280"/>
      <c r="AB1" s="3280"/>
      <c r="AD1" s="3279" t="s">
        <v>1155</v>
      </c>
      <c r="AE1" s="3280"/>
      <c r="AF1" s="3280"/>
      <c r="AG1" s="3280"/>
      <c r="AH1" s="3280"/>
    </row>
    <row r="2" spans="1:34" s="1432" customFormat="1" ht="14.25" thickBot="1">
      <c r="B2" s="1433" t="s">
        <v>1156</v>
      </c>
      <c r="C2" s="1433" t="s">
        <v>1157</v>
      </c>
      <c r="D2" s="1434" t="s">
        <v>1158</v>
      </c>
      <c r="E2" s="1434" t="s">
        <v>1159</v>
      </c>
      <c r="F2" s="1433" t="s">
        <v>1160</v>
      </c>
      <c r="G2" s="1435"/>
      <c r="H2" s="1436"/>
      <c r="I2" s="1433" t="s">
        <v>1156</v>
      </c>
      <c r="J2" s="1434" t="s">
        <v>1386</v>
      </c>
      <c r="K2" s="1434" t="s">
        <v>751</v>
      </c>
      <c r="L2" s="1433" t="s">
        <v>1160</v>
      </c>
      <c r="N2" s="1433" t="s">
        <v>1156</v>
      </c>
      <c r="O2" s="1434" t="s">
        <v>1386</v>
      </c>
      <c r="P2" s="1434" t="s">
        <v>751</v>
      </c>
      <c r="Q2" s="1433" t="s">
        <v>1160</v>
      </c>
      <c r="R2" s="1437"/>
      <c r="S2" s="1433" t="s">
        <v>1156</v>
      </c>
      <c r="T2" s="1434" t="s">
        <v>1386</v>
      </c>
      <c r="U2" s="1434" t="s">
        <v>751</v>
      </c>
      <c r="V2" s="1433" t="s">
        <v>1160</v>
      </c>
      <c r="X2" s="1433" t="s">
        <v>1156</v>
      </c>
      <c r="Y2" s="1433" t="s">
        <v>1157</v>
      </c>
      <c r="Z2" s="1434" t="s">
        <v>1158</v>
      </c>
      <c r="AA2" s="1434" t="s">
        <v>1159</v>
      </c>
      <c r="AB2" s="1433" t="s">
        <v>1160</v>
      </c>
      <c r="AD2" s="1433" t="s">
        <v>1156</v>
      </c>
      <c r="AE2" s="1433" t="s">
        <v>1157</v>
      </c>
      <c r="AF2" s="1434" t="s">
        <v>1158</v>
      </c>
      <c r="AG2" s="1434" t="s">
        <v>1159</v>
      </c>
      <c r="AH2" s="1433" t="s">
        <v>1160</v>
      </c>
    </row>
    <row r="3" spans="1:34" s="1438" customFormat="1" ht="14.25">
      <c r="B3" s="1439"/>
      <c r="C3" s="1439"/>
      <c r="D3" s="1440"/>
      <c r="E3" s="1440"/>
      <c r="F3" s="1439"/>
      <c r="G3" s="1441"/>
      <c r="H3" s="1442"/>
      <c r="I3" s="2904"/>
      <c r="J3" s="2904"/>
      <c r="K3" s="2904"/>
      <c r="L3" s="2904"/>
      <c r="N3" s="1441"/>
      <c r="O3" s="1443"/>
      <c r="P3" s="1443"/>
      <c r="Q3" s="1443"/>
      <c r="R3" s="1443"/>
      <c r="S3" s="1441"/>
      <c r="T3" s="1443"/>
      <c r="U3" s="1443"/>
      <c r="V3" s="1443"/>
      <c r="X3" s="1444">
        <f>ROUND(SUMPRODUCT(PRODUCT(1+N3:N$19)),4)</f>
        <v>1.4742</v>
      </c>
      <c r="Y3" s="1444">
        <f>ROUND(SUMPRODUCT(PRODUCT(1+O3:O$19)),4)</f>
        <v>1.2875000000000001</v>
      </c>
      <c r="Z3" s="1444">
        <f t="shared" ref="Z3:Z17" si="0">Y3</f>
        <v>1.2875000000000001</v>
      </c>
      <c r="AA3" s="1444">
        <f>ROUND(SUMPRODUCT(PRODUCT(1+P3:P$19)),4)</f>
        <v>1.5399</v>
      </c>
      <c r="AB3" s="1444">
        <f>ROUND(SUMPRODUCT(PRODUCT(1+Q3:Q$19)),4)</f>
        <v>1.2475000000000001</v>
      </c>
      <c r="AD3" s="1445">
        <f>ROUND(AVERAGE(I3:I$20)/100,4)</f>
        <v>2.4899999999999999E-2</v>
      </c>
      <c r="AE3" s="1445">
        <f>ROUND(AVERAGE(J3:J$20)/100,4)</f>
        <v>1.6400000000000001E-2</v>
      </c>
      <c r="AF3" s="1445">
        <f t="shared" ref="AF3:AF18" si="1">AE3</f>
        <v>1.6400000000000001E-2</v>
      </c>
      <c r="AG3" s="1445">
        <f>ROUND(AVERAGE(K3:K$20)/100,4)</f>
        <v>2.7799999999999998E-2</v>
      </c>
      <c r="AH3" s="1445">
        <f>ROUND(AVERAGE(L3:L$20)/100,4)</f>
        <v>1.3899999999999999E-2</v>
      </c>
    </row>
    <row r="4" spans="1:34" s="1438" customFormat="1">
      <c r="A4" s="1446" t="s">
        <v>3035</v>
      </c>
      <c r="B4" s="1463">
        <f t="shared" ref="B4" si="2">B5*(1+N4)</f>
        <v>453.57903691012211</v>
      </c>
      <c r="C4" s="1463">
        <f t="shared" ref="C4" si="3">C5*(1+O4)</f>
        <v>331.18001284964259</v>
      </c>
      <c r="D4" s="1463">
        <f t="shared" ref="D4" si="4">C4</f>
        <v>331.18001284964259</v>
      </c>
      <c r="E4" s="1463">
        <f t="shared" ref="E4" si="5">E5*(1+P4)</f>
        <v>650.68458238034486</v>
      </c>
      <c r="F4" s="1463">
        <f t="shared" ref="F4" si="6">F5*(1+Q4)</f>
        <v>287.29097305893981</v>
      </c>
      <c r="G4" s="1441">
        <v>2018</v>
      </c>
      <c r="H4" s="1442">
        <v>1</v>
      </c>
      <c r="I4" s="2904">
        <f>ROUND(AVERAGE(I5:I20),2)</f>
        <v>2.4900000000000002</v>
      </c>
      <c r="J4" s="2904">
        <f t="shared" ref="J4:L4" si="7">ROUND(AVERAGE(J5:J20),2)</f>
        <v>1.64</v>
      </c>
      <c r="K4" s="2904">
        <f t="shared" si="7"/>
        <v>2.78</v>
      </c>
      <c r="L4" s="2904">
        <f t="shared" si="7"/>
        <v>1.39</v>
      </c>
      <c r="N4" s="1458">
        <f t="shared" ref="N4:N9" si="8">I4/100</f>
        <v>2.4900000000000002E-2</v>
      </c>
      <c r="O4" s="1459">
        <f t="shared" ref="O4" si="9">J4/100</f>
        <v>1.6399999999999998E-2</v>
      </c>
      <c r="P4" s="1459">
        <f t="shared" ref="P4" si="10">K4/100</f>
        <v>2.7799999999999998E-2</v>
      </c>
      <c r="Q4" s="1459">
        <f t="shared" ref="Q4" si="11">L4/100</f>
        <v>1.3899999999999999E-2</v>
      </c>
      <c r="R4" s="1443"/>
      <c r="S4" s="1441"/>
      <c r="T4" s="1443"/>
      <c r="U4" s="1443"/>
      <c r="V4" s="1443"/>
      <c r="X4" s="1444"/>
      <c r="Y4" s="1444"/>
      <c r="Z4" s="1444"/>
      <c r="AA4" s="1444"/>
      <c r="AB4" s="1444"/>
      <c r="AD4" s="1445"/>
      <c r="AE4" s="1445"/>
      <c r="AF4" s="1445"/>
      <c r="AG4" s="1445"/>
      <c r="AH4" s="1445"/>
    </row>
    <row r="5" spans="1:34" s="1717" customFormat="1">
      <c r="A5" s="1715" t="s">
        <v>3033</v>
      </c>
      <c r="B5" s="1777">
        <f t="shared" ref="B5" si="12">B6*(1+N5)</f>
        <v>442.55931008890832</v>
      </c>
      <c r="C5" s="1777">
        <f t="shared" ref="C5" si="13">C6*(1+O5)</f>
        <v>325.83629756950273</v>
      </c>
      <c r="D5" s="1777">
        <f t="shared" ref="D5" si="14">C5</f>
        <v>325.83629756950273</v>
      </c>
      <c r="E5" s="1777">
        <f t="shared" ref="E5" si="15">E6*(1+P5)</f>
        <v>633.08482426575677</v>
      </c>
      <c r="F5" s="1777">
        <f t="shared" ref="F5" si="16">F6*(1+Q5)</f>
        <v>283.35237504580311</v>
      </c>
      <c r="G5" s="2901">
        <v>2017</v>
      </c>
      <c r="H5" s="1716">
        <v>4</v>
      </c>
      <c r="I5" s="2905">
        <f>ROUND(AVERAGE(I6:I20),2)</f>
        <v>2.4900000000000002</v>
      </c>
      <c r="J5" s="2905">
        <f>ROUND(AVERAGE(J6:J20),2)</f>
        <v>1.64</v>
      </c>
      <c r="K5" s="2905">
        <f>ROUND(AVERAGE(K6:K20),2)</f>
        <v>2.78</v>
      </c>
      <c r="L5" s="2905">
        <f>ROUND(AVERAGE(L6:L20),2)</f>
        <v>1.39</v>
      </c>
      <c r="N5" s="1452">
        <f t="shared" si="8"/>
        <v>2.4900000000000002E-2</v>
      </c>
      <c r="O5" s="1452">
        <f t="shared" ref="O5" si="17">J5/100</f>
        <v>1.6399999999999998E-2</v>
      </c>
      <c r="P5" s="1452">
        <f t="shared" ref="P5" si="18">K5/100</f>
        <v>2.7799999999999998E-2</v>
      </c>
      <c r="Q5" s="1452">
        <f t="shared" ref="Q5" si="19">L5/100</f>
        <v>1.3899999999999999E-2</v>
      </c>
      <c r="R5" s="1718"/>
      <c r="S5" s="1719"/>
      <c r="T5" s="1718"/>
      <c r="U5" s="1718"/>
      <c r="V5" s="1718"/>
      <c r="W5" s="1453"/>
      <c r="X5" s="1712">
        <f>ROUND(SUMPRODUCT(PRODUCT(1+N5:N$19)),4)</f>
        <v>1.4383999999999999</v>
      </c>
      <c r="Y5" s="1712">
        <f>ROUND(SUMPRODUCT(PRODUCT(1+O5:O$19)),4)</f>
        <v>1.2667999999999999</v>
      </c>
      <c r="Z5" s="1712">
        <f t="shared" si="0"/>
        <v>1.2667999999999999</v>
      </c>
      <c r="AA5" s="1712">
        <f>ROUND(SUMPRODUCT(PRODUCT(1+P5:P$19)),4)</f>
        <v>1.4982</v>
      </c>
      <c r="AB5" s="1712">
        <f>ROUND(SUMPRODUCT(PRODUCT(1+Q5:Q$19)),4)</f>
        <v>1.2303999999999999</v>
      </c>
      <c r="AD5" s="1454">
        <f>ROUND(AVERAGE(I5:I$20)/100,4)</f>
        <v>2.4899999999999999E-2</v>
      </c>
      <c r="AE5" s="1454">
        <f>ROUND(AVERAGE(J5:J$20)/100,4)</f>
        <v>1.6400000000000001E-2</v>
      </c>
      <c r="AF5" s="1454">
        <f t="shared" si="1"/>
        <v>1.6400000000000001E-2</v>
      </c>
      <c r="AG5" s="1454">
        <f>ROUND(AVERAGE(K5:K$20)/100,4)</f>
        <v>2.7799999999999998E-2</v>
      </c>
      <c r="AH5" s="1454">
        <f>ROUND(AVERAGE(L5:L$20)/100,4)</f>
        <v>1.3899999999999999E-2</v>
      </c>
    </row>
    <row r="6" spans="1:34" s="1451" customFormat="1" ht="13.5" thickBot="1">
      <c r="A6" s="1446" t="s">
        <v>3034</v>
      </c>
      <c r="B6" s="1463">
        <f t="shared" ref="B6:B7" si="20">B7*(1+N6)</f>
        <v>431.80730811680002</v>
      </c>
      <c r="C6" s="1463">
        <f t="shared" ref="C6:C7" si="21">C7*(1+O6)</f>
        <v>320.57880516480003</v>
      </c>
      <c r="D6" s="1463">
        <f t="shared" ref="D6:D7" si="22">C6</f>
        <v>320.57880516480003</v>
      </c>
      <c r="E6" s="1463">
        <f t="shared" ref="E6:E7" si="23">E7*(1+P6)</f>
        <v>615.96110553196797</v>
      </c>
      <c r="F6" s="1463">
        <f t="shared" ref="F6:F7" si="24">F7*(1+Q6)</f>
        <v>279.46777300108801</v>
      </c>
      <c r="G6" s="2903"/>
      <c r="H6" s="1449">
        <v>3</v>
      </c>
      <c r="I6" s="1449">
        <v>2.98</v>
      </c>
      <c r="J6" s="1449">
        <v>2.11</v>
      </c>
      <c r="K6" s="1449">
        <v>3.24</v>
      </c>
      <c r="L6" s="1464">
        <v>1.72</v>
      </c>
      <c r="M6" s="1457"/>
      <c r="N6" s="1458">
        <f t="shared" si="8"/>
        <v>2.98E-2</v>
      </c>
      <c r="O6" s="1459">
        <f t="shared" ref="O6" si="25">J6/100</f>
        <v>2.1099999999999997E-2</v>
      </c>
      <c r="P6" s="1459">
        <f t="shared" ref="P6" si="26">K6/100</f>
        <v>3.2400000000000005E-2</v>
      </c>
      <c r="Q6" s="1459">
        <f t="shared" ref="Q6" si="27">L6/100</f>
        <v>1.72E-2</v>
      </c>
      <c r="R6" s="1460"/>
      <c r="S6" s="1458"/>
      <c r="T6" s="1459"/>
      <c r="U6" s="1459"/>
      <c r="V6" s="1459"/>
      <c r="W6" s="1776" t="s">
        <v>1162</v>
      </c>
      <c r="X6" s="1774">
        <f>ROUND(SUMPRODUCT(PRODUCT(1+N6:N$19)),4)</f>
        <v>1.4034</v>
      </c>
      <c r="Y6" s="1774">
        <f>ROUND(SUMPRODUCT(PRODUCT(1+O6:O$19)),4)</f>
        <v>1.2463</v>
      </c>
      <c r="Z6" s="1774">
        <f t="shared" si="0"/>
        <v>1.2463</v>
      </c>
      <c r="AA6" s="1774">
        <f>ROUND(SUMPRODUCT(PRODUCT(1+P6:P$19)),4)</f>
        <v>1.4577</v>
      </c>
      <c r="AB6" s="1774">
        <f>ROUND(SUMPRODUCT(PRODUCT(1+Q6:Q$19)),4)</f>
        <v>1.2136</v>
      </c>
      <c r="AC6" s="1776"/>
      <c r="AD6" s="1775">
        <f>ROUND(AVERAGE(I6:I$20)/100,4)</f>
        <v>2.4899999999999999E-2</v>
      </c>
      <c r="AE6" s="1775">
        <f>ROUND(AVERAGE(J6:J$20)/100,4)</f>
        <v>1.6400000000000001E-2</v>
      </c>
      <c r="AF6" s="1775">
        <f t="shared" si="1"/>
        <v>1.6400000000000001E-2</v>
      </c>
      <c r="AG6" s="1775">
        <f>ROUND(AVERAGE(K6:K$20)/100,4)</f>
        <v>2.7799999999999998E-2</v>
      </c>
      <c r="AH6" s="1775">
        <f>ROUND(AVERAGE(L6:L$20)/100,4)</f>
        <v>1.3899999999999999E-2</v>
      </c>
    </row>
    <row r="7" spans="1:34" s="1717" customFormat="1">
      <c r="A7" s="1446" t="s">
        <v>1387</v>
      </c>
      <c r="B7" s="1463">
        <f t="shared" si="20"/>
        <v>419.31181600000002</v>
      </c>
      <c r="C7" s="1463">
        <f t="shared" si="21"/>
        <v>313.95436800000004</v>
      </c>
      <c r="D7" s="1463">
        <f t="shared" si="22"/>
        <v>313.95436800000004</v>
      </c>
      <c r="E7" s="1463">
        <f t="shared" si="23"/>
        <v>596.63028431999999</v>
      </c>
      <c r="F7" s="1463">
        <f t="shared" si="24"/>
        <v>274.74220703999998</v>
      </c>
      <c r="G7" s="2902"/>
      <c r="H7" s="1450">
        <v>2</v>
      </c>
      <c r="I7" s="1450">
        <v>3.4</v>
      </c>
      <c r="J7" s="1450">
        <v>2</v>
      </c>
      <c r="K7" s="1450">
        <v>3.82</v>
      </c>
      <c r="L7" s="1465">
        <v>1.68</v>
      </c>
      <c r="M7" s="1457"/>
      <c r="N7" s="1458">
        <f t="shared" si="8"/>
        <v>3.4000000000000002E-2</v>
      </c>
      <c r="O7" s="1459">
        <f t="shared" ref="O7" si="28">J7/100</f>
        <v>0.02</v>
      </c>
      <c r="P7" s="1459">
        <f t="shared" ref="P7" si="29">K7/100</f>
        <v>3.8199999999999998E-2</v>
      </c>
      <c r="Q7" s="1459">
        <f t="shared" ref="Q7" si="30">L7/100</f>
        <v>1.6799999999999999E-2</v>
      </c>
      <c r="R7" s="1460"/>
      <c r="S7" s="1461"/>
      <c r="T7" s="1462"/>
      <c r="U7" s="1462"/>
      <c r="V7" s="1462"/>
      <c r="W7" s="1438"/>
      <c r="X7" s="1774">
        <f>ROUND(SUMPRODUCT(PRODUCT(1+N7:N$19)),4)</f>
        <v>1.3628</v>
      </c>
      <c r="Y7" s="1774">
        <f>ROUND(SUMPRODUCT(PRODUCT(1+O7:O$19)),4)</f>
        <v>1.2205999999999999</v>
      </c>
      <c r="Z7" s="1774">
        <f t="shared" si="0"/>
        <v>1.2205999999999999</v>
      </c>
      <c r="AA7" s="1774">
        <f>ROUND(SUMPRODUCT(PRODUCT(1+P7:P$19)),4)</f>
        <v>1.4118999999999999</v>
      </c>
      <c r="AB7" s="1774">
        <f>ROUND(SUMPRODUCT(PRODUCT(1+Q7:Q$19)),4)</f>
        <v>1.1930000000000001</v>
      </c>
      <c r="AC7" s="1438"/>
      <c r="AD7" s="1775">
        <f>ROUND(AVERAGE(I7:I$20)/100,4)</f>
        <v>2.46E-2</v>
      </c>
      <c r="AE7" s="1775">
        <f>ROUND(AVERAGE(J7:J$20)/100,4)</f>
        <v>1.6E-2</v>
      </c>
      <c r="AF7" s="1775">
        <f t="shared" si="1"/>
        <v>1.6E-2</v>
      </c>
      <c r="AG7" s="1775">
        <f>ROUND(AVERAGE(K7:K$20)/100,4)</f>
        <v>2.75E-2</v>
      </c>
      <c r="AH7" s="1775">
        <f>ROUND(AVERAGE(L7:L$20)/100,4)</f>
        <v>1.37E-2</v>
      </c>
    </row>
    <row r="8" spans="1:34" s="1451" customFormat="1" ht="13.5" thickBot="1">
      <c r="A8" s="1446" t="s">
        <v>1161</v>
      </c>
      <c r="B8" s="1463">
        <f>B9*(1+N8)</f>
        <v>405.524</v>
      </c>
      <c r="C8" s="1463">
        <f>C9*(1+O8)</f>
        <v>307.79840000000002</v>
      </c>
      <c r="D8" s="1463">
        <f>C8</f>
        <v>307.79840000000002</v>
      </c>
      <c r="E8" s="1463">
        <f>E9*(1+P8)</f>
        <v>574.67759999999998</v>
      </c>
      <c r="F8" s="1463">
        <f>F9*(1+Q8)</f>
        <v>270.20280000000002</v>
      </c>
      <c r="G8" s="2903"/>
      <c r="H8" s="1449">
        <v>1</v>
      </c>
      <c r="I8" s="1449">
        <v>3.45</v>
      </c>
      <c r="J8" s="1449">
        <v>1.92</v>
      </c>
      <c r="K8" s="1449">
        <v>3.92</v>
      </c>
      <c r="L8" s="1464">
        <v>1.58</v>
      </c>
      <c r="M8" s="1457"/>
      <c r="N8" s="1458">
        <f t="shared" si="8"/>
        <v>3.4500000000000003E-2</v>
      </c>
      <c r="O8" s="1459">
        <f t="shared" ref="O8:Q23" si="31">J8/100</f>
        <v>1.9199999999999998E-2</v>
      </c>
      <c r="P8" s="1459">
        <f t="shared" si="31"/>
        <v>3.9199999999999999E-2</v>
      </c>
      <c r="Q8" s="1459">
        <f t="shared" si="31"/>
        <v>1.5800000000000002E-2</v>
      </c>
      <c r="R8" s="1460"/>
      <c r="S8" s="1458">
        <f>B8/B9-1</f>
        <v>3.4499999999999975E-2</v>
      </c>
      <c r="T8" s="1459">
        <f t="shared" ref="T8:V8" si="32">C8/C9-1</f>
        <v>1.9200000000000106E-2</v>
      </c>
      <c r="U8" s="1459">
        <f t="shared" si="32"/>
        <v>1.9200000000000106E-2</v>
      </c>
      <c r="V8" s="1459">
        <f t="shared" si="32"/>
        <v>3.9199999999999902E-2</v>
      </c>
      <c r="W8" s="1776"/>
      <c r="X8" s="1774">
        <f>ROUND(SUMPRODUCT(PRODUCT(1+N8:N$19)),4)</f>
        <v>1.3180000000000001</v>
      </c>
      <c r="Y8" s="1774">
        <f>ROUND(SUMPRODUCT(PRODUCT(1+O8:O$19)),4)</f>
        <v>1.1966000000000001</v>
      </c>
      <c r="Z8" s="1774">
        <f t="shared" si="0"/>
        <v>1.1966000000000001</v>
      </c>
      <c r="AA8" s="1774">
        <f>ROUND(SUMPRODUCT(PRODUCT(1+P8:P$19)),4)</f>
        <v>1.36</v>
      </c>
      <c r="AB8" s="1774">
        <f>ROUND(SUMPRODUCT(PRODUCT(1+Q8:Q$19)),4)</f>
        <v>1.1733</v>
      </c>
      <c r="AC8" s="1776"/>
      <c r="AD8" s="1775">
        <f>ROUND(AVERAGE(I8:I$20)/100,4)</f>
        <v>2.3900000000000001E-2</v>
      </c>
      <c r="AE8" s="1775">
        <f>ROUND(AVERAGE(J8:J$20)/100,4)</f>
        <v>1.5699999999999999E-2</v>
      </c>
      <c r="AF8" s="1775">
        <f t="shared" si="1"/>
        <v>1.5699999999999999E-2</v>
      </c>
      <c r="AG8" s="1775">
        <f>ROUND(AVERAGE(K8:K$20)/100,4)</f>
        <v>2.6599999999999999E-2</v>
      </c>
      <c r="AH8" s="1775">
        <f>ROUND(AVERAGE(L8:L$20)/100,4)</f>
        <v>1.34E-2</v>
      </c>
    </row>
    <row r="9" spans="1:34">
      <c r="A9" s="1446" t="s">
        <v>154</v>
      </c>
      <c r="B9" s="1455">
        <v>392</v>
      </c>
      <c r="C9" s="1455">
        <v>302</v>
      </c>
      <c r="D9" s="1455">
        <f>C9</f>
        <v>302</v>
      </c>
      <c r="E9" s="1455">
        <v>553</v>
      </c>
      <c r="F9" s="1456">
        <v>266</v>
      </c>
      <c r="G9" s="3285">
        <v>2016</v>
      </c>
      <c r="H9" s="1447">
        <v>4</v>
      </c>
      <c r="I9" s="1447">
        <v>4.5599999999999996</v>
      </c>
      <c r="J9" s="1447">
        <v>2.15</v>
      </c>
      <c r="K9" s="1447">
        <v>5.32</v>
      </c>
      <c r="L9" s="1448">
        <v>1.57</v>
      </c>
      <c r="N9" s="1458">
        <f t="shared" si="8"/>
        <v>4.5599999999999995E-2</v>
      </c>
      <c r="O9" s="1459">
        <f t="shared" si="31"/>
        <v>2.1499999999999998E-2</v>
      </c>
      <c r="P9" s="1459">
        <f t="shared" si="31"/>
        <v>5.3200000000000004E-2</v>
      </c>
      <c r="Q9" s="1459">
        <f t="shared" si="31"/>
        <v>1.5700000000000002E-2</v>
      </c>
      <c r="R9" s="1460"/>
      <c r="S9" s="1461"/>
      <c r="T9" s="1462"/>
      <c r="U9" s="1462"/>
      <c r="V9" s="1462"/>
      <c r="X9" s="1444">
        <f>ROUND(SUMPRODUCT(PRODUCT(1+N9:N$19)),4)</f>
        <v>1.274</v>
      </c>
      <c r="Y9" s="1444">
        <f>ROUND(SUMPRODUCT(PRODUCT(1+O9:O$19)),4)</f>
        <v>1.1740999999999999</v>
      </c>
      <c r="Z9" s="1444">
        <f t="shared" si="0"/>
        <v>1.1740999999999999</v>
      </c>
      <c r="AA9" s="1444">
        <f>ROUND(SUMPRODUCT(PRODUCT(1+P9:P$19)),4)</f>
        <v>1.3087</v>
      </c>
      <c r="AB9" s="1444">
        <f>ROUND(SUMPRODUCT(PRODUCT(1+Q9:Q$19)),4)</f>
        <v>1.1551</v>
      </c>
      <c r="AD9" s="1445">
        <f>ROUND(AVERAGE(I9:I$20)/100,4)</f>
        <v>2.3E-2</v>
      </c>
      <c r="AE9" s="1445">
        <f>ROUND(AVERAGE(J9:J$20)/100,4)</f>
        <v>1.55E-2</v>
      </c>
      <c r="AF9" s="1445">
        <f t="shared" si="1"/>
        <v>1.55E-2</v>
      </c>
      <c r="AG9" s="1445">
        <f>ROUND(AVERAGE(K9:K$20)/100,4)</f>
        <v>2.5600000000000001E-2</v>
      </c>
      <c r="AH9" s="1445">
        <f>ROUND(AVERAGE(L9:L$20)/100,4)</f>
        <v>1.32E-2</v>
      </c>
    </row>
    <row r="10" spans="1:34">
      <c r="A10" s="1446" t="s">
        <v>153</v>
      </c>
      <c r="B10" s="1463">
        <f t="shared" ref="B10:C12" si="33">B9/(1+N9)</f>
        <v>374.90436113236416</v>
      </c>
      <c r="C10" s="1463">
        <f t="shared" si="33"/>
        <v>295.64366128242779</v>
      </c>
      <c r="D10" s="1463">
        <f t="shared" ref="D10:D69" si="34">C10</f>
        <v>295.64366128242779</v>
      </c>
      <c r="E10" s="1463">
        <f t="shared" ref="E10:F12" si="35">E9/(1+P9)</f>
        <v>525.06646410938095</v>
      </c>
      <c r="F10" s="1463">
        <f t="shared" si="35"/>
        <v>261.88835286009646</v>
      </c>
      <c r="G10" s="3282"/>
      <c r="H10" s="1449">
        <v>3</v>
      </c>
      <c r="I10" s="1449">
        <v>4.12</v>
      </c>
      <c r="J10" s="1449">
        <v>2</v>
      </c>
      <c r="K10" s="1449">
        <v>4.79</v>
      </c>
      <c r="L10" s="1464">
        <v>1.97</v>
      </c>
      <c r="N10" s="1458">
        <f t="shared" ref="N10:Q44" si="36">I10/100</f>
        <v>4.1200000000000001E-2</v>
      </c>
      <c r="O10" s="1459">
        <f t="shared" si="31"/>
        <v>0.02</v>
      </c>
      <c r="P10" s="1459">
        <f t="shared" si="31"/>
        <v>4.7899999999999998E-2</v>
      </c>
      <c r="Q10" s="1459">
        <f t="shared" si="31"/>
        <v>1.9699999999999999E-2</v>
      </c>
      <c r="R10" s="1460"/>
      <c r="S10" s="1458"/>
      <c r="T10" s="1459"/>
      <c r="U10" s="1459"/>
      <c r="V10" s="1459"/>
      <c r="X10" s="1444">
        <f>ROUND(SUMPRODUCT(PRODUCT(1+N10:N$19)),4)</f>
        <v>1.2184999999999999</v>
      </c>
      <c r="Y10" s="1444">
        <f>ROUND(SUMPRODUCT(PRODUCT(1+O10:O$19)),4)</f>
        <v>1.1494</v>
      </c>
      <c r="Z10" s="1444">
        <f t="shared" si="0"/>
        <v>1.1494</v>
      </c>
      <c r="AA10" s="1444">
        <f>ROUND(SUMPRODUCT(PRODUCT(1+P10:P$19)),4)</f>
        <v>1.2425999999999999</v>
      </c>
      <c r="AB10" s="1444">
        <f>ROUND(SUMPRODUCT(PRODUCT(1+Q10:Q$19)),4)</f>
        <v>1.1372</v>
      </c>
      <c r="AD10" s="1445">
        <f>ROUND(AVERAGE(I10:I$20)/100,4)</f>
        <v>2.0899999999999998E-2</v>
      </c>
      <c r="AE10" s="1445">
        <f>ROUND(AVERAGE(J10:J$20)/100,4)</f>
        <v>1.49E-2</v>
      </c>
      <c r="AF10" s="1445">
        <f t="shared" si="1"/>
        <v>1.49E-2</v>
      </c>
      <c r="AG10" s="1445">
        <f>ROUND(AVERAGE(K10:K$20)/100,4)</f>
        <v>2.3099999999999999E-2</v>
      </c>
      <c r="AH10" s="1445">
        <f>ROUND(AVERAGE(L10:L$20)/100,4)</f>
        <v>1.2999999999999999E-2</v>
      </c>
    </row>
    <row r="11" spans="1:34">
      <c r="A11" s="1446" t="s">
        <v>143</v>
      </c>
      <c r="B11" s="1463">
        <f t="shared" si="33"/>
        <v>360.06949782209392</v>
      </c>
      <c r="C11" s="1463">
        <f t="shared" si="33"/>
        <v>289.84672674747821</v>
      </c>
      <c r="D11" s="1463">
        <f t="shared" si="34"/>
        <v>289.84672674747821</v>
      </c>
      <c r="E11" s="1463">
        <f t="shared" si="35"/>
        <v>501.06543001181495</v>
      </c>
      <c r="F11" s="1463">
        <f t="shared" si="35"/>
        <v>256.82882500744967</v>
      </c>
      <c r="G11" s="3282"/>
      <c r="H11" s="1450">
        <v>2</v>
      </c>
      <c r="I11" s="1450">
        <v>3.85</v>
      </c>
      <c r="J11" s="1450">
        <v>1.95</v>
      </c>
      <c r="K11" s="1450">
        <v>4.4800000000000004</v>
      </c>
      <c r="L11" s="1465">
        <v>1.41</v>
      </c>
      <c r="N11" s="1458">
        <f t="shared" si="36"/>
        <v>3.85E-2</v>
      </c>
      <c r="O11" s="1459">
        <f t="shared" si="31"/>
        <v>1.95E-2</v>
      </c>
      <c r="P11" s="1459">
        <f t="shared" si="31"/>
        <v>4.4800000000000006E-2</v>
      </c>
      <c r="Q11" s="1459">
        <f t="shared" si="31"/>
        <v>1.41E-2</v>
      </c>
      <c r="R11" s="1460"/>
      <c r="S11" s="1458"/>
      <c r="T11" s="1459"/>
      <c r="U11" s="1459"/>
      <c r="V11" s="1459"/>
      <c r="X11" s="1444">
        <f>ROUND(SUMPRODUCT(PRODUCT(1+N11:N$19)),4)</f>
        <v>1.1702999999999999</v>
      </c>
      <c r="Y11" s="1444">
        <f>ROUND(SUMPRODUCT(PRODUCT(1+O11:O$19)),4)</f>
        <v>1.1269</v>
      </c>
      <c r="Z11" s="1444">
        <f t="shared" si="0"/>
        <v>1.1269</v>
      </c>
      <c r="AA11" s="1444">
        <f>ROUND(SUMPRODUCT(PRODUCT(1+P11:P$19)),4)</f>
        <v>1.1858</v>
      </c>
      <c r="AB11" s="1444">
        <f>ROUND(SUMPRODUCT(PRODUCT(1+Q11:Q$19)),4)</f>
        <v>1.1152</v>
      </c>
      <c r="AD11" s="1445">
        <f>ROUND(AVERAGE(I11:I$20)/100,4)</f>
        <v>1.89E-2</v>
      </c>
      <c r="AE11" s="1445">
        <f>ROUND(AVERAGE(J11:J$20)/100,4)</f>
        <v>1.44E-2</v>
      </c>
      <c r="AF11" s="1445">
        <f t="shared" si="1"/>
        <v>1.44E-2</v>
      </c>
      <c r="AG11" s="1445">
        <f>ROUND(AVERAGE(K11:K$20)/100,4)</f>
        <v>2.06E-2</v>
      </c>
      <c r="AH11" s="1445">
        <f>ROUND(AVERAGE(L11:L$20)/100,4)</f>
        <v>1.23E-2</v>
      </c>
    </row>
    <row r="12" spans="1:34" ht="13.5" thickBot="1">
      <c r="A12" s="1446" t="s">
        <v>152</v>
      </c>
      <c r="B12" s="1463">
        <f t="shared" si="33"/>
        <v>346.720748986128</v>
      </c>
      <c r="C12" s="1463">
        <f t="shared" si="33"/>
        <v>284.30282172386285</v>
      </c>
      <c r="D12" s="1463">
        <f t="shared" si="34"/>
        <v>284.30282172386285</v>
      </c>
      <c r="E12" s="1463">
        <f t="shared" si="35"/>
        <v>479.58023546306947</v>
      </c>
      <c r="F12" s="1463">
        <f t="shared" si="35"/>
        <v>253.25788877571213</v>
      </c>
      <c r="G12" s="3283"/>
      <c r="H12" s="1449">
        <v>1</v>
      </c>
      <c r="I12" s="1449">
        <v>4.09</v>
      </c>
      <c r="J12" s="1449">
        <v>2.93</v>
      </c>
      <c r="K12" s="1449">
        <v>4.54</v>
      </c>
      <c r="L12" s="1464">
        <v>1.48</v>
      </c>
      <c r="N12" s="1458">
        <f t="shared" si="36"/>
        <v>4.0899999999999999E-2</v>
      </c>
      <c r="O12" s="1459">
        <f t="shared" si="31"/>
        <v>2.9300000000000003E-2</v>
      </c>
      <c r="P12" s="1459">
        <f t="shared" si="31"/>
        <v>4.5400000000000003E-2</v>
      </c>
      <c r="Q12" s="1459">
        <f t="shared" si="31"/>
        <v>1.4800000000000001E-2</v>
      </c>
      <c r="R12" s="1460"/>
      <c r="S12" s="1466">
        <f>B12/B13-1</f>
        <v>4.1203450408792808E-2</v>
      </c>
      <c r="T12" s="1467">
        <f>C12/C13-1</f>
        <v>2.6363977342465095E-2</v>
      </c>
      <c r="U12" s="1467">
        <f>E12/E13-1</f>
        <v>4.4837114298626357E-2</v>
      </c>
      <c r="V12" s="1467">
        <f>F12/F13-1</f>
        <v>1.7099954922538574E-2</v>
      </c>
      <c r="X12" s="1444">
        <f>ROUND(SUMPRODUCT(PRODUCT(1+N12:N$19)),4)</f>
        <v>1.1269</v>
      </c>
      <c r="Y12" s="1444">
        <f>ROUND(SUMPRODUCT(PRODUCT(1+O12:O$19)),4)</f>
        <v>1.1052999999999999</v>
      </c>
      <c r="Z12" s="1444">
        <f t="shared" si="0"/>
        <v>1.1052999999999999</v>
      </c>
      <c r="AA12" s="1444">
        <f>ROUND(SUMPRODUCT(PRODUCT(1+P12:P$19)),4)</f>
        <v>1.1349</v>
      </c>
      <c r="AB12" s="1444">
        <f>ROUND(SUMPRODUCT(PRODUCT(1+Q12:Q$19)),4)</f>
        <v>1.0996999999999999</v>
      </c>
      <c r="AD12" s="1445">
        <f>ROUND(AVERAGE(I12:I$20)/100,4)</f>
        <v>1.67E-2</v>
      </c>
      <c r="AE12" s="1445">
        <f>ROUND(AVERAGE(J12:J$20)/100,4)</f>
        <v>1.38E-2</v>
      </c>
      <c r="AF12" s="1445">
        <f t="shared" si="1"/>
        <v>1.38E-2</v>
      </c>
      <c r="AG12" s="1445">
        <f>ROUND(AVERAGE(K12:K$20)/100,4)</f>
        <v>1.7899999999999999E-2</v>
      </c>
      <c r="AH12" s="1445">
        <f>ROUND(AVERAGE(L12:L$20)/100,4)</f>
        <v>1.21E-2</v>
      </c>
    </row>
    <row r="13" spans="1:34" ht="13.5" thickBot="1">
      <c r="A13" s="1446" t="s">
        <v>151</v>
      </c>
      <c r="B13" s="1455">
        <v>333</v>
      </c>
      <c r="C13" s="1455">
        <v>277</v>
      </c>
      <c r="D13" s="1455">
        <f t="shared" si="34"/>
        <v>277</v>
      </c>
      <c r="E13" s="1455">
        <v>459</v>
      </c>
      <c r="F13" s="1456">
        <v>249</v>
      </c>
      <c r="G13" s="3281">
        <v>2015</v>
      </c>
      <c r="H13" s="1468">
        <v>4</v>
      </c>
      <c r="I13" s="1468">
        <v>1.63</v>
      </c>
      <c r="J13" s="1468">
        <v>1.1100000000000001</v>
      </c>
      <c r="K13" s="1468">
        <v>1.77</v>
      </c>
      <c r="L13" s="1469">
        <v>1.89</v>
      </c>
      <c r="N13" s="1470">
        <f t="shared" si="36"/>
        <v>1.6299999999999999E-2</v>
      </c>
      <c r="O13" s="1471">
        <f t="shared" si="31"/>
        <v>1.11E-2</v>
      </c>
      <c r="P13" s="1471">
        <f t="shared" si="31"/>
        <v>1.77E-2</v>
      </c>
      <c r="Q13" s="1471">
        <f t="shared" si="31"/>
        <v>1.89E-2</v>
      </c>
      <c r="R13" s="1460"/>
      <c r="X13" s="1444">
        <f>ROUND(SUMPRODUCT(PRODUCT(1+N13:N$19)),4)</f>
        <v>1.0826</v>
      </c>
      <c r="Y13" s="1444">
        <f>ROUND(SUMPRODUCT(PRODUCT(1+O13:O$19)),4)</f>
        <v>1.0738000000000001</v>
      </c>
      <c r="Z13" s="1444">
        <f t="shared" si="0"/>
        <v>1.0738000000000001</v>
      </c>
      <c r="AA13" s="1444">
        <f>ROUND(SUMPRODUCT(PRODUCT(1+P13:P$19)),4)</f>
        <v>1.0855999999999999</v>
      </c>
      <c r="AB13" s="1444">
        <f>ROUND(SUMPRODUCT(PRODUCT(1+Q13:Q$19)),4)</f>
        <v>1.0837000000000001</v>
      </c>
      <c r="AD13" s="1445">
        <f>ROUND(AVERAGE(I13:I$20)/100,4)</f>
        <v>1.37E-2</v>
      </c>
      <c r="AE13" s="1445">
        <f>ROUND(AVERAGE(J13:J$20)/100,4)</f>
        <v>1.1900000000000001E-2</v>
      </c>
      <c r="AF13" s="1445">
        <f t="shared" si="1"/>
        <v>1.1900000000000001E-2</v>
      </c>
      <c r="AG13" s="1445">
        <f>ROUND(AVERAGE(K13:K$20)/100,4)</f>
        <v>1.4500000000000001E-2</v>
      </c>
      <c r="AH13" s="1445">
        <f>ROUND(AVERAGE(L13:L$20)/100,4)</f>
        <v>1.18E-2</v>
      </c>
    </row>
    <row r="14" spans="1:34">
      <c r="A14" s="1446" t="s">
        <v>150</v>
      </c>
      <c r="B14" s="1463">
        <f t="shared" ref="B14:C16" si="37">B13/(1+N13)</f>
        <v>327.65915576109415</v>
      </c>
      <c r="C14" s="1463">
        <f t="shared" si="37"/>
        <v>273.95905449510434</v>
      </c>
      <c r="D14" s="1463">
        <f t="shared" si="34"/>
        <v>273.95905449510434</v>
      </c>
      <c r="E14" s="1463">
        <f t="shared" ref="E14:F16" si="38">E13/(1+P13)</f>
        <v>451.01699911565294</v>
      </c>
      <c r="F14" s="1463">
        <f t="shared" si="38"/>
        <v>244.38119540681129</v>
      </c>
      <c r="G14" s="3282"/>
      <c r="H14" s="1473">
        <v>3</v>
      </c>
      <c r="I14" s="1473">
        <v>1.65</v>
      </c>
      <c r="J14" s="1473">
        <v>0.92</v>
      </c>
      <c r="K14" s="1473">
        <v>1.88</v>
      </c>
      <c r="L14" s="1474">
        <v>1.26</v>
      </c>
      <c r="N14" s="1458">
        <f t="shared" si="36"/>
        <v>1.6500000000000001E-2</v>
      </c>
      <c r="O14" s="1475">
        <f t="shared" si="31"/>
        <v>9.1999999999999998E-3</v>
      </c>
      <c r="P14" s="1475">
        <f t="shared" si="31"/>
        <v>1.8799999999999997E-2</v>
      </c>
      <c r="Q14" s="1475">
        <f t="shared" si="31"/>
        <v>1.26E-2</v>
      </c>
      <c r="R14" s="1460"/>
      <c r="S14" s="1458"/>
      <c r="T14" s="1459"/>
      <c r="U14" s="1459"/>
      <c r="V14" s="1459"/>
      <c r="X14" s="1444">
        <f>ROUND(SUMPRODUCT(PRODUCT(1+N14:N$19)),4)</f>
        <v>1.0651999999999999</v>
      </c>
      <c r="Y14" s="1444">
        <f>ROUND(SUMPRODUCT(PRODUCT(1+O14:O$19)),4)</f>
        <v>1.0621</v>
      </c>
      <c r="Z14" s="1444">
        <f t="shared" si="0"/>
        <v>1.0621</v>
      </c>
      <c r="AA14" s="1444">
        <f>ROUND(SUMPRODUCT(PRODUCT(1+P14:P$19)),4)</f>
        <v>1.0668</v>
      </c>
      <c r="AB14" s="1444">
        <f>ROUND(SUMPRODUCT(PRODUCT(1+Q14:Q$19)),4)</f>
        <v>1.0636000000000001</v>
      </c>
      <c r="AD14" s="1445">
        <f>ROUND(AVERAGE(I14:I$20)/100,4)</f>
        <v>1.3299999999999999E-2</v>
      </c>
      <c r="AE14" s="1445">
        <f>ROUND(AVERAGE(J14:J$20)/100,4)</f>
        <v>1.2E-2</v>
      </c>
      <c r="AF14" s="1445">
        <f t="shared" si="1"/>
        <v>1.2E-2</v>
      </c>
      <c r="AG14" s="1445">
        <f>ROUND(AVERAGE(K14:K$20)/100,4)</f>
        <v>1.4E-2</v>
      </c>
      <c r="AH14" s="1445">
        <f>ROUND(AVERAGE(L14:L$20)/100,4)</f>
        <v>1.0800000000000001E-2</v>
      </c>
    </row>
    <row r="15" spans="1:34">
      <c r="A15" s="1446" t="s">
        <v>149</v>
      </c>
      <c r="B15" s="1463">
        <f t="shared" si="37"/>
        <v>322.34053690220776</v>
      </c>
      <c r="C15" s="1463">
        <f t="shared" si="37"/>
        <v>271.46160770422546</v>
      </c>
      <c r="D15" s="1463">
        <f t="shared" si="34"/>
        <v>271.46160770422546</v>
      </c>
      <c r="E15" s="1463">
        <f t="shared" si="38"/>
        <v>442.69434542172456</v>
      </c>
      <c r="F15" s="1463">
        <f t="shared" si="38"/>
        <v>241.34030753190925</v>
      </c>
      <c r="G15" s="3282"/>
      <c r="H15" s="1450">
        <v>2</v>
      </c>
      <c r="I15" s="1450">
        <v>0.77</v>
      </c>
      <c r="J15" s="1450">
        <v>0.69</v>
      </c>
      <c r="K15" s="1450">
        <v>0.8</v>
      </c>
      <c r="L15" s="1465">
        <v>0.88</v>
      </c>
      <c r="N15" s="1458">
        <f t="shared" si="36"/>
        <v>7.7000000000000002E-3</v>
      </c>
      <c r="O15" s="1475">
        <f t="shared" si="31"/>
        <v>6.8999999999999999E-3</v>
      </c>
      <c r="P15" s="1475">
        <f t="shared" si="31"/>
        <v>8.0000000000000002E-3</v>
      </c>
      <c r="Q15" s="1475">
        <f t="shared" si="31"/>
        <v>8.8000000000000005E-3</v>
      </c>
      <c r="R15" s="1460"/>
      <c r="S15" s="1458"/>
      <c r="T15" s="1459"/>
      <c r="U15" s="1459"/>
      <c r="V15" s="1459"/>
      <c r="X15" s="1444">
        <f>ROUND(SUMPRODUCT(PRODUCT(1+N15:N$19)),4)</f>
        <v>1.048</v>
      </c>
      <c r="Y15" s="1444">
        <f>ROUND(SUMPRODUCT(PRODUCT(1+O15:O$19)),4)</f>
        <v>1.0524</v>
      </c>
      <c r="Z15" s="1444">
        <f t="shared" si="0"/>
        <v>1.0524</v>
      </c>
      <c r="AA15" s="1444">
        <f>ROUND(SUMPRODUCT(PRODUCT(1+P15:P$19)),4)</f>
        <v>1.0470999999999999</v>
      </c>
      <c r="AB15" s="1444">
        <f>ROUND(SUMPRODUCT(PRODUCT(1+Q15:Q$19)),4)</f>
        <v>1.0504</v>
      </c>
      <c r="AD15" s="1445">
        <f>ROUND(AVERAGE(I15:I$20)/100,4)</f>
        <v>1.2800000000000001E-2</v>
      </c>
      <c r="AE15" s="1445">
        <f>ROUND(AVERAGE(J15:J$20)/100,4)</f>
        <v>1.2500000000000001E-2</v>
      </c>
      <c r="AF15" s="1445">
        <f t="shared" si="1"/>
        <v>1.2500000000000001E-2</v>
      </c>
      <c r="AG15" s="1445">
        <f>ROUND(AVERAGE(K15:K$20)/100,4)</f>
        <v>1.32E-2</v>
      </c>
      <c r="AH15" s="1445">
        <f>ROUND(AVERAGE(L15:L$20)/100,4)</f>
        <v>1.0500000000000001E-2</v>
      </c>
    </row>
    <row r="16" spans="1:34">
      <c r="A16" s="1446" t="s">
        <v>148</v>
      </c>
      <c r="B16" s="1463">
        <f t="shared" si="37"/>
        <v>319.87748030386797</v>
      </c>
      <c r="C16" s="1463">
        <f t="shared" si="37"/>
        <v>269.60135833173649</v>
      </c>
      <c r="D16" s="1463">
        <f t="shared" si="34"/>
        <v>269.60135833173649</v>
      </c>
      <c r="E16" s="1463">
        <f t="shared" si="38"/>
        <v>439.18089823583784</v>
      </c>
      <c r="F16" s="1463">
        <f t="shared" si="38"/>
        <v>239.23503918706311</v>
      </c>
      <c r="G16" s="3283"/>
      <c r="H16" s="1449">
        <v>1</v>
      </c>
      <c r="I16" s="1449">
        <v>0.51</v>
      </c>
      <c r="J16" s="1449">
        <v>0.54</v>
      </c>
      <c r="K16" s="1449">
        <v>0.48</v>
      </c>
      <c r="L16" s="1464">
        <v>0.93</v>
      </c>
      <c r="N16" s="1466">
        <f t="shared" si="36"/>
        <v>5.1000000000000004E-3</v>
      </c>
      <c r="O16" s="1467">
        <f t="shared" si="31"/>
        <v>5.4000000000000003E-3</v>
      </c>
      <c r="P16" s="1467">
        <f t="shared" si="31"/>
        <v>4.7999999999999996E-3</v>
      </c>
      <c r="Q16" s="1467">
        <f t="shared" si="31"/>
        <v>9.300000000000001E-3</v>
      </c>
      <c r="R16" s="1460"/>
      <c r="S16" s="1466">
        <f>B16/B17-1</f>
        <v>5.9040261127922822E-3</v>
      </c>
      <c r="T16" s="1467">
        <f>C16/C17-1</f>
        <v>5.9752176557332781E-3</v>
      </c>
      <c r="U16" s="1467">
        <f>E16/E17-1</f>
        <v>4.9906138119859556E-3</v>
      </c>
      <c r="V16" s="1467">
        <f>F16/F17-1</f>
        <v>9.4305450930933787E-3</v>
      </c>
      <c r="X16" s="1444">
        <f>ROUND(SUMPRODUCT(PRODUCT(1+N16:N$19)),4)</f>
        <v>1.0399</v>
      </c>
      <c r="Y16" s="1444">
        <f>ROUND(SUMPRODUCT(PRODUCT(1+O16:O$19)),4)</f>
        <v>1.0451999999999999</v>
      </c>
      <c r="Z16" s="1444">
        <f t="shared" si="0"/>
        <v>1.0451999999999999</v>
      </c>
      <c r="AA16" s="1444">
        <f>ROUND(SUMPRODUCT(PRODUCT(1+P16:P$19)),4)</f>
        <v>1.0387999999999999</v>
      </c>
      <c r="AB16" s="1444">
        <f>ROUND(SUMPRODUCT(PRODUCT(1+Q16:Q$19)),4)</f>
        <v>1.0411999999999999</v>
      </c>
      <c r="AD16" s="1445">
        <f>ROUND(AVERAGE(I16:I$20)/100,4)</f>
        <v>1.38E-2</v>
      </c>
      <c r="AE16" s="1445">
        <f>ROUND(AVERAGE(J16:J$20)/100,4)</f>
        <v>1.3599999999999999E-2</v>
      </c>
      <c r="AF16" s="1445">
        <f t="shared" si="1"/>
        <v>1.3599999999999999E-2</v>
      </c>
      <c r="AG16" s="1445">
        <f>ROUND(AVERAGE(K16:K$20)/100,4)</f>
        <v>1.4200000000000001E-2</v>
      </c>
      <c r="AH16" s="1445">
        <f>ROUND(AVERAGE(L16:L$20)/100,4)</f>
        <v>1.0800000000000001E-2</v>
      </c>
    </row>
    <row r="17" spans="1:34" ht="13.5" thickBot="1">
      <c r="A17" s="1446" t="s">
        <v>147</v>
      </c>
      <c r="B17" s="1476">
        <v>318</v>
      </c>
      <c r="C17" s="1476">
        <v>268</v>
      </c>
      <c r="D17" s="1476">
        <f t="shared" si="34"/>
        <v>268</v>
      </c>
      <c r="E17" s="1476">
        <v>437</v>
      </c>
      <c r="F17" s="1477">
        <v>237</v>
      </c>
      <c r="G17" s="3281">
        <v>2014</v>
      </c>
      <c r="H17" s="1468">
        <v>4</v>
      </c>
      <c r="I17" s="1468">
        <v>0.21</v>
      </c>
      <c r="J17" s="1468">
        <v>0.41</v>
      </c>
      <c r="K17" s="1468">
        <v>0.12</v>
      </c>
      <c r="L17" s="1469">
        <v>0.89</v>
      </c>
      <c r="N17" s="1458">
        <f t="shared" si="36"/>
        <v>2.0999999999999999E-3</v>
      </c>
      <c r="O17" s="1459">
        <f t="shared" si="31"/>
        <v>4.0999999999999995E-3</v>
      </c>
      <c r="P17" s="1459">
        <f t="shared" si="31"/>
        <v>1.1999999999999999E-3</v>
      </c>
      <c r="Q17" s="1459">
        <f t="shared" si="31"/>
        <v>8.8999999999999999E-3</v>
      </c>
      <c r="R17" s="1460"/>
      <c r="S17" s="1461"/>
      <c r="T17" s="1462"/>
      <c r="U17" s="1462"/>
      <c r="V17" s="1462"/>
      <c r="X17" s="1444">
        <f>ROUND(SUMPRODUCT(PRODUCT(1+N17:N$19)),4)</f>
        <v>1.0347</v>
      </c>
      <c r="Y17" s="1444">
        <f>ROUND(SUMPRODUCT(PRODUCT(1+O17:O$19)),4)</f>
        <v>1.0395000000000001</v>
      </c>
      <c r="Z17" s="1444">
        <f t="shared" si="0"/>
        <v>1.0395000000000001</v>
      </c>
      <c r="AA17" s="1444">
        <f>ROUND(SUMPRODUCT(PRODUCT(1+P17:P$19)),4)</f>
        <v>1.0338000000000001</v>
      </c>
      <c r="AB17" s="1444">
        <f>ROUND(SUMPRODUCT(PRODUCT(1+Q17:Q$19)),4)</f>
        <v>1.0316000000000001</v>
      </c>
      <c r="AD17" s="1445">
        <f>ROUND(AVERAGE(I17:I$20)/100,4)</f>
        <v>1.6E-2</v>
      </c>
      <c r="AE17" s="1445">
        <f>ROUND(AVERAGE(J17:J$20)/100,4)</f>
        <v>1.5599999999999999E-2</v>
      </c>
      <c r="AF17" s="1445">
        <f t="shared" si="1"/>
        <v>1.5599999999999999E-2</v>
      </c>
      <c r="AG17" s="1445">
        <f>ROUND(AVERAGE(K17:K$20)/100,4)</f>
        <v>1.66E-2</v>
      </c>
      <c r="AH17" s="1445">
        <f>ROUND(AVERAGE(L17:L$20)/100,4)</f>
        <v>1.12E-2</v>
      </c>
    </row>
    <row r="18" spans="1:34">
      <c r="A18" s="1446" t="s">
        <v>146</v>
      </c>
      <c r="B18" s="1463">
        <f t="shared" ref="B18:C20" si="39">B17/(1+N17)</f>
        <v>317.33359944117353</v>
      </c>
      <c r="C18" s="1463">
        <f t="shared" si="39"/>
        <v>266.90568668459315</v>
      </c>
      <c r="D18" s="1463">
        <f t="shared" si="34"/>
        <v>266.90568668459315</v>
      </c>
      <c r="E18" s="1463">
        <f t="shared" ref="E18:F20" si="40">E17/(1+P17)</f>
        <v>436.47622852576905</v>
      </c>
      <c r="F18" s="1463">
        <f t="shared" si="40"/>
        <v>234.90930716622066</v>
      </c>
      <c r="G18" s="3282"/>
      <c r="H18" s="1478">
        <v>3</v>
      </c>
      <c r="I18" s="1478">
        <v>0.83</v>
      </c>
      <c r="J18" s="1478">
        <v>1.47</v>
      </c>
      <c r="K18" s="1478">
        <v>0.65</v>
      </c>
      <c r="L18" s="1479">
        <v>0.72</v>
      </c>
      <c r="N18" s="1458">
        <f t="shared" si="36"/>
        <v>8.3000000000000001E-3</v>
      </c>
      <c r="O18" s="1459">
        <f t="shared" si="31"/>
        <v>1.47E-2</v>
      </c>
      <c r="P18" s="1459">
        <f t="shared" si="31"/>
        <v>6.5000000000000006E-3</v>
      </c>
      <c r="Q18" s="1459">
        <f t="shared" si="31"/>
        <v>7.1999999999999998E-3</v>
      </c>
      <c r="R18" s="1460"/>
      <c r="S18" s="1458"/>
      <c r="T18" s="1459"/>
      <c r="U18" s="1459"/>
      <c r="V18" s="1459"/>
      <c r="X18" s="1444">
        <f>ROUND(SUMPRODUCT(PRODUCT(1+N18:N$19)),4)</f>
        <v>1.0325</v>
      </c>
      <c r="Y18" s="1444">
        <f>ROUND(SUMPRODUCT(PRODUCT(1+O18:O$19)),4)</f>
        <v>1.0353000000000001</v>
      </c>
      <c r="Z18" s="1444">
        <f t="shared" ref="Z18:Z19" si="41">Y18</f>
        <v>1.0353000000000001</v>
      </c>
      <c r="AA18" s="1444">
        <f>ROUND(SUMPRODUCT(PRODUCT(1+P18:P$19)),4)</f>
        <v>1.0326</v>
      </c>
      <c r="AB18" s="1444">
        <f>ROUND(SUMPRODUCT(PRODUCT(1+Q18:Q$19)),4)</f>
        <v>1.0225</v>
      </c>
      <c r="AD18" s="1445">
        <f>ROUND(AVERAGE(I18:I$20)/100,4)</f>
        <v>2.07E-2</v>
      </c>
      <c r="AE18" s="1445">
        <f>ROUND(AVERAGE(J18:J$20)/100,4)</f>
        <v>1.95E-2</v>
      </c>
      <c r="AF18" s="1445">
        <f t="shared" si="1"/>
        <v>1.95E-2</v>
      </c>
      <c r="AG18" s="1445">
        <f>ROUND(AVERAGE(K18:K$20)/100,4)</f>
        <v>2.1700000000000001E-2</v>
      </c>
      <c r="AH18" s="1445">
        <f>ROUND(AVERAGE(L18:L$20)/100,4)</f>
        <v>1.2E-2</v>
      </c>
    </row>
    <row r="19" spans="1:34" ht="13.5" thickBot="1">
      <c r="A19" s="1446" t="s">
        <v>145</v>
      </c>
      <c r="B19" s="1463">
        <f t="shared" si="39"/>
        <v>314.72141172386546</v>
      </c>
      <c r="C19" s="1463">
        <f t="shared" si="39"/>
        <v>263.03901319069001</v>
      </c>
      <c r="D19" s="1463">
        <f t="shared" si="34"/>
        <v>263.03901319069001</v>
      </c>
      <c r="E19" s="1463">
        <f t="shared" si="40"/>
        <v>433.65745506782821</v>
      </c>
      <c r="F19" s="1463">
        <f t="shared" si="40"/>
        <v>233.23005080045735</v>
      </c>
      <c r="G19" s="3282"/>
      <c r="H19" s="1468">
        <v>2</v>
      </c>
      <c r="I19" s="1468">
        <v>2.4</v>
      </c>
      <c r="J19" s="1468">
        <v>2.0299999999999998</v>
      </c>
      <c r="K19" s="1468">
        <v>2.59</v>
      </c>
      <c r="L19" s="1469">
        <v>1.52</v>
      </c>
      <c r="N19" s="1458">
        <f t="shared" si="36"/>
        <v>2.4E-2</v>
      </c>
      <c r="O19" s="1459">
        <f t="shared" si="31"/>
        <v>2.0299999999999999E-2</v>
      </c>
      <c r="P19" s="1459">
        <f t="shared" si="31"/>
        <v>2.5899999999999999E-2</v>
      </c>
      <c r="Q19" s="1459">
        <f t="shared" si="31"/>
        <v>1.52E-2</v>
      </c>
      <c r="R19" s="1460"/>
      <c r="S19" s="1458"/>
      <c r="T19" s="1459"/>
      <c r="U19" s="1459"/>
      <c r="V19" s="1459"/>
      <c r="X19" s="1444">
        <f>1+N19</f>
        <v>1.024</v>
      </c>
      <c r="Y19" s="1444">
        <f>1+O19</f>
        <v>1.0203</v>
      </c>
      <c r="Z19" s="1444">
        <f t="shared" si="41"/>
        <v>1.0203</v>
      </c>
      <c r="AA19" s="1444">
        <f>1+P19</f>
        <v>1.0259</v>
      </c>
      <c r="AB19" s="1444">
        <f>1+Q19</f>
        <v>1.0152000000000001</v>
      </c>
      <c r="AD19" s="1445">
        <f>ROUND(AVERAGE(I19:I$20)/100,4)</f>
        <v>2.69E-2</v>
      </c>
      <c r="AE19" s="1445">
        <f>ROUND(AVERAGE(J19:J$20)/100,4)</f>
        <v>2.1899999999999999E-2</v>
      </c>
      <c r="AF19" s="1445">
        <f t="shared" ref="AF19" si="42">AE19</f>
        <v>2.1899999999999999E-2</v>
      </c>
      <c r="AG19" s="1445">
        <f>ROUND(AVERAGE(K19:K$20)/100,4)</f>
        <v>2.9399999999999999E-2</v>
      </c>
      <c r="AH19" s="1445">
        <f>ROUND(AVERAGE(L19:L$20)/100,4)</f>
        <v>1.44E-2</v>
      </c>
    </row>
    <row r="20" spans="1:34" s="1484" customFormat="1" ht="13.5" thickBot="1">
      <c r="A20" s="1480" t="s">
        <v>144</v>
      </c>
      <c r="B20" s="1481">
        <f t="shared" si="39"/>
        <v>307.34512863658733</v>
      </c>
      <c r="C20" s="1481">
        <f t="shared" si="39"/>
        <v>257.80556031626975</v>
      </c>
      <c r="D20" s="1481">
        <f t="shared" si="34"/>
        <v>257.80556031626975</v>
      </c>
      <c r="E20" s="1481">
        <f t="shared" si="40"/>
        <v>422.70928459677179</v>
      </c>
      <c r="F20" s="1481">
        <f t="shared" si="40"/>
        <v>229.73803270336617</v>
      </c>
      <c r="G20" s="3283"/>
      <c r="H20" s="1482">
        <v>1</v>
      </c>
      <c r="I20" s="1482">
        <v>2.97</v>
      </c>
      <c r="J20" s="1482">
        <v>2.34</v>
      </c>
      <c r="K20" s="1482">
        <v>3.28</v>
      </c>
      <c r="L20" s="1483">
        <v>1.36</v>
      </c>
      <c r="N20" s="1485">
        <f t="shared" si="36"/>
        <v>2.9700000000000001E-2</v>
      </c>
      <c r="O20" s="1486">
        <f t="shared" si="31"/>
        <v>2.3399999999999997E-2</v>
      </c>
      <c r="P20" s="1486">
        <f t="shared" si="31"/>
        <v>3.2799999999999996E-2</v>
      </c>
      <c r="Q20" s="1486">
        <f t="shared" si="31"/>
        <v>1.3600000000000001E-2</v>
      </c>
      <c r="R20" s="1487"/>
      <c r="S20" s="1488">
        <f>B20/B21-1</f>
        <v>2.7910129219355539E-2</v>
      </c>
      <c r="T20" s="1489">
        <f>C20/C21-1</f>
        <v>2.3037937762975247E-2</v>
      </c>
      <c r="U20" s="1489">
        <f>E20/E21-1</f>
        <v>3.3519033243940788E-2</v>
      </c>
      <c r="V20" s="1489">
        <f>F20/F21-1</f>
        <v>1.2061818076502862E-2</v>
      </c>
      <c r="W20" s="1490" t="s">
        <v>1163</v>
      </c>
      <c r="X20" s="1491">
        <v>1</v>
      </c>
      <c r="Y20" s="1491">
        <v>1</v>
      </c>
      <c r="Z20" s="1491">
        <v>1</v>
      </c>
      <c r="AA20" s="1491">
        <v>1</v>
      </c>
      <c r="AB20" s="1491">
        <v>1</v>
      </c>
      <c r="AD20" s="1713">
        <f>I20/100</f>
        <v>2.9700000000000001E-2</v>
      </c>
      <c r="AE20" s="1713">
        <f>J20/100</f>
        <v>2.3399999999999997E-2</v>
      </c>
      <c r="AF20" s="1713">
        <f>AE20</f>
        <v>2.3399999999999997E-2</v>
      </c>
      <c r="AG20" s="1713">
        <f>K20/100</f>
        <v>3.2799999999999996E-2</v>
      </c>
      <c r="AH20" s="1713">
        <f>L20/100</f>
        <v>1.3600000000000001E-2</v>
      </c>
    </row>
    <row r="21" spans="1:34" ht="13.5" thickBot="1">
      <c r="A21" s="1446" t="s">
        <v>1164</v>
      </c>
      <c r="B21" s="1455">
        <v>299</v>
      </c>
      <c r="C21" s="1455">
        <v>252</v>
      </c>
      <c r="D21" s="1455">
        <f t="shared" si="34"/>
        <v>252</v>
      </c>
      <c r="E21" s="1455">
        <v>409</v>
      </c>
      <c r="F21" s="1456">
        <v>227</v>
      </c>
      <c r="G21" s="3286">
        <v>2013</v>
      </c>
      <c r="H21" s="1492">
        <v>4</v>
      </c>
      <c r="I21" s="1492">
        <v>1.83</v>
      </c>
      <c r="J21" s="1492">
        <v>1.68</v>
      </c>
      <c r="K21" s="1492">
        <v>1.97</v>
      </c>
      <c r="L21" s="1493">
        <v>0.87</v>
      </c>
      <c r="N21" s="1470">
        <f t="shared" si="36"/>
        <v>1.83E-2</v>
      </c>
      <c r="O21" s="1471">
        <f t="shared" si="31"/>
        <v>1.6799999999999999E-2</v>
      </c>
      <c r="P21" s="1471">
        <f t="shared" si="31"/>
        <v>1.9699999999999999E-2</v>
      </c>
      <c r="Q21" s="1471">
        <f t="shared" si="31"/>
        <v>8.6999999999999994E-3</v>
      </c>
      <c r="R21" s="1460"/>
      <c r="S21" s="1461"/>
      <c r="T21" s="1462"/>
      <c r="U21" s="1462"/>
      <c r="V21" s="1462"/>
      <c r="X21" s="1462"/>
      <c r="Y21" s="1462"/>
      <c r="Z21" s="1462"/>
    </row>
    <row r="22" spans="1:34">
      <c r="A22" s="1446" t="s">
        <v>1165</v>
      </c>
      <c r="B22" s="1463">
        <f t="shared" ref="B22:C24" si="43">B21/(1+N21)</f>
        <v>293.62663262299913</v>
      </c>
      <c r="C22" s="1463">
        <f t="shared" si="43"/>
        <v>247.83634933123525</v>
      </c>
      <c r="D22" s="1463">
        <f t="shared" si="34"/>
        <v>247.83634933123525</v>
      </c>
      <c r="E22" s="1463">
        <f t="shared" ref="E22:F24" si="44">E21/(1+P21)</f>
        <v>401.09836226341076</v>
      </c>
      <c r="F22" s="1463">
        <f t="shared" si="44"/>
        <v>225.04213343908003</v>
      </c>
      <c r="G22" s="3287"/>
      <c r="H22" s="1473">
        <v>3</v>
      </c>
      <c r="I22" s="1473">
        <v>1.86</v>
      </c>
      <c r="J22" s="1473">
        <v>1.72</v>
      </c>
      <c r="K22" s="1473">
        <v>1.98</v>
      </c>
      <c r="L22" s="1474">
        <v>0.88</v>
      </c>
      <c r="N22" s="1458">
        <f t="shared" si="36"/>
        <v>1.8600000000000002E-2</v>
      </c>
      <c r="O22" s="1475">
        <f t="shared" si="31"/>
        <v>1.72E-2</v>
      </c>
      <c r="P22" s="1475">
        <f t="shared" si="31"/>
        <v>1.9799999999999998E-2</v>
      </c>
      <c r="Q22" s="1475">
        <f t="shared" si="31"/>
        <v>8.8000000000000005E-3</v>
      </c>
      <c r="R22" s="1460"/>
      <c r="S22" s="1458"/>
      <c r="T22" s="1459"/>
      <c r="U22" s="1459"/>
      <c r="V22" s="1459"/>
    </row>
    <row r="23" spans="1:34">
      <c r="A23" s="1446" t="s">
        <v>1166</v>
      </c>
      <c r="B23" s="1463">
        <f t="shared" si="43"/>
        <v>288.2649053828776</v>
      </c>
      <c r="C23" s="1463">
        <f t="shared" si="43"/>
        <v>243.64564425013293</v>
      </c>
      <c r="D23" s="1463">
        <f t="shared" si="34"/>
        <v>243.64564425013293</v>
      </c>
      <c r="E23" s="1463">
        <f t="shared" si="44"/>
        <v>393.31080825986544</v>
      </c>
      <c r="F23" s="1463">
        <f t="shared" si="44"/>
        <v>223.07903790551154</v>
      </c>
      <c r="G23" s="3287"/>
      <c r="H23" s="1450">
        <v>2</v>
      </c>
      <c r="I23" s="1450">
        <v>2.04</v>
      </c>
      <c r="J23" s="1450">
        <v>2.33</v>
      </c>
      <c r="K23" s="1450">
        <v>2.0699999999999998</v>
      </c>
      <c r="L23" s="1465">
        <v>0.69</v>
      </c>
      <c r="N23" s="1458">
        <f t="shared" si="36"/>
        <v>2.0400000000000001E-2</v>
      </c>
      <c r="O23" s="1475">
        <f t="shared" si="31"/>
        <v>2.3300000000000001E-2</v>
      </c>
      <c r="P23" s="1475">
        <f t="shared" si="31"/>
        <v>2.07E-2</v>
      </c>
      <c r="Q23" s="1475">
        <f t="shared" si="31"/>
        <v>6.8999999999999999E-3</v>
      </c>
      <c r="R23" s="1460"/>
      <c r="S23" s="1458"/>
      <c r="T23" s="1459"/>
      <c r="U23" s="1459"/>
      <c r="V23" s="1459"/>
      <c r="X23" s="1494"/>
      <c r="Y23" s="1495"/>
    </row>
    <row r="24" spans="1:34">
      <c r="A24" s="1446" t="s">
        <v>1167</v>
      </c>
      <c r="B24" s="1463">
        <f t="shared" si="43"/>
        <v>282.50186729015837</v>
      </c>
      <c r="C24" s="1463">
        <f t="shared" si="43"/>
        <v>238.09796174155468</v>
      </c>
      <c r="D24" s="1463">
        <f t="shared" si="34"/>
        <v>238.09796174155468</v>
      </c>
      <c r="E24" s="1463">
        <f t="shared" si="44"/>
        <v>385.33438646014054</v>
      </c>
      <c r="F24" s="1463">
        <f t="shared" si="44"/>
        <v>221.55034055567739</v>
      </c>
      <c r="G24" s="3288"/>
      <c r="H24" s="1449">
        <v>1</v>
      </c>
      <c r="I24" s="1449">
        <v>1.67</v>
      </c>
      <c r="J24" s="1449">
        <v>1.31</v>
      </c>
      <c r="K24" s="1449">
        <v>1.85</v>
      </c>
      <c r="L24" s="1464">
        <v>0.96</v>
      </c>
      <c r="N24" s="1466">
        <f t="shared" si="36"/>
        <v>1.67E-2</v>
      </c>
      <c r="O24" s="1467">
        <f t="shared" si="36"/>
        <v>1.3100000000000001E-2</v>
      </c>
      <c r="P24" s="1467">
        <f t="shared" si="36"/>
        <v>1.8500000000000003E-2</v>
      </c>
      <c r="Q24" s="1467">
        <f t="shared" si="36"/>
        <v>9.5999999999999992E-3</v>
      </c>
      <c r="R24" s="1460"/>
      <c r="S24" s="1466">
        <f>B24/B25-1</f>
        <v>1.6193767230785472E-2</v>
      </c>
      <c r="T24" s="1467">
        <f>C24/C25-1</f>
        <v>1.7512657015190891E-2</v>
      </c>
      <c r="U24" s="1467">
        <f>E24/E25-1</f>
        <v>1.6713420739157048E-2</v>
      </c>
      <c r="V24" s="1467">
        <f>F24/F25-1</f>
        <v>7.0470025258062563E-3</v>
      </c>
      <c r="X24" s="1496"/>
      <c r="Y24" s="1445"/>
      <c r="Z24" s="1445"/>
    </row>
    <row r="25" spans="1:34" ht="13.5" thickBot="1">
      <c r="A25" s="1446" t="s">
        <v>1168</v>
      </c>
      <c r="B25" s="1497">
        <v>278</v>
      </c>
      <c r="C25" s="1497">
        <v>234</v>
      </c>
      <c r="D25" s="1497">
        <f t="shared" si="34"/>
        <v>234</v>
      </c>
      <c r="E25" s="1497">
        <v>379</v>
      </c>
      <c r="F25" s="1498">
        <v>220</v>
      </c>
      <c r="G25" s="3281">
        <v>2012</v>
      </c>
      <c r="H25" s="1468">
        <v>4</v>
      </c>
      <c r="I25" s="1468">
        <v>0.91</v>
      </c>
      <c r="J25" s="1468">
        <v>0.68</v>
      </c>
      <c r="K25" s="1468">
        <v>0.98</v>
      </c>
      <c r="L25" s="1469">
        <v>0.9</v>
      </c>
      <c r="N25" s="1458">
        <f t="shared" si="36"/>
        <v>9.1000000000000004E-3</v>
      </c>
      <c r="O25" s="1459">
        <f t="shared" si="36"/>
        <v>6.8000000000000005E-3</v>
      </c>
      <c r="P25" s="1459">
        <f t="shared" si="36"/>
        <v>9.7999999999999997E-3</v>
      </c>
      <c r="Q25" s="1459">
        <f t="shared" si="36"/>
        <v>9.0000000000000011E-3</v>
      </c>
      <c r="R25" s="1460"/>
      <c r="S25" s="1461"/>
      <c r="T25" s="1462"/>
      <c r="U25" s="1462"/>
      <c r="V25" s="1462"/>
      <c r="X25" s="1462"/>
      <c r="Y25" s="1462"/>
      <c r="Z25" s="1462"/>
    </row>
    <row r="26" spans="1:34">
      <c r="A26" s="1446" t="s">
        <v>1169</v>
      </c>
      <c r="B26" s="1463">
        <f>B25/(1+N25)</f>
        <v>275.49301357645425</v>
      </c>
      <c r="C26" s="1463">
        <f>C25/(1+O25)</f>
        <v>232.41954707985698</v>
      </c>
      <c r="D26" s="1463">
        <f t="shared" si="34"/>
        <v>232.41954707985698</v>
      </c>
      <c r="E26" s="1463">
        <f t="shared" ref="E26:F28" si="45">E25/(1+P25)</f>
        <v>375.32184591008121</v>
      </c>
      <c r="F26" s="1463">
        <f t="shared" si="45"/>
        <v>218.03766105054513</v>
      </c>
      <c r="G26" s="3282"/>
      <c r="H26" s="1473">
        <v>3</v>
      </c>
      <c r="I26" s="1473">
        <v>0.09</v>
      </c>
      <c r="J26" s="1473">
        <v>0.28999999999999998</v>
      </c>
      <c r="K26" s="1473">
        <v>-0.01</v>
      </c>
      <c r="L26" s="1474">
        <v>0.57999999999999996</v>
      </c>
      <c r="N26" s="1458">
        <f t="shared" si="36"/>
        <v>8.9999999999999998E-4</v>
      </c>
      <c r="O26" s="1459">
        <f t="shared" si="36"/>
        <v>2.8999999999999998E-3</v>
      </c>
      <c r="P26" s="1459">
        <f t="shared" si="36"/>
        <v>-1E-4</v>
      </c>
      <c r="Q26" s="1459">
        <f t="shared" si="36"/>
        <v>5.7999999999999996E-3</v>
      </c>
      <c r="R26" s="1460"/>
      <c r="S26" s="1458"/>
      <c r="T26" s="1459"/>
      <c r="U26" s="1459"/>
      <c r="V26" s="1459"/>
    </row>
    <row r="27" spans="1:34">
      <c r="A27" s="1446" t="s">
        <v>1170</v>
      </c>
      <c r="B27" s="1463">
        <f>B26/(1+N26)</f>
        <v>275.24529281292263</v>
      </c>
      <c r="C27" s="1463">
        <f>C26/(1+O26)</f>
        <v>231.74747938962707</v>
      </c>
      <c r="D27" s="1463">
        <f t="shared" si="34"/>
        <v>231.74747938962707</v>
      </c>
      <c r="E27" s="1463">
        <f t="shared" si="45"/>
        <v>375.35938184826603</v>
      </c>
      <c r="F27" s="1463">
        <f t="shared" si="45"/>
        <v>216.78033510692495</v>
      </c>
      <c r="G27" s="3282"/>
      <c r="H27" s="1450">
        <v>2</v>
      </c>
      <c r="I27" s="1450">
        <v>0.02</v>
      </c>
      <c r="J27" s="1450">
        <v>0.12</v>
      </c>
      <c r="K27" s="1450">
        <v>-0.08</v>
      </c>
      <c r="L27" s="1465">
        <v>1.24</v>
      </c>
      <c r="N27" s="1458">
        <f t="shared" si="36"/>
        <v>2.0000000000000001E-4</v>
      </c>
      <c r="O27" s="1459">
        <f t="shared" si="36"/>
        <v>1.1999999999999999E-3</v>
      </c>
      <c r="P27" s="1459">
        <f t="shared" si="36"/>
        <v>-8.0000000000000004E-4</v>
      </c>
      <c r="Q27" s="1459">
        <f t="shared" si="36"/>
        <v>1.24E-2</v>
      </c>
      <c r="R27" s="1460"/>
      <c r="S27" s="1458"/>
      <c r="T27" s="1459"/>
      <c r="U27" s="1459"/>
      <c r="V27" s="1459"/>
    </row>
    <row r="28" spans="1:34" ht="13.5" thickBot="1">
      <c r="A28" s="1446" t="s">
        <v>1171</v>
      </c>
      <c r="B28" s="1463">
        <f>B27/(1+N27)</f>
        <v>275.19025476197027</v>
      </c>
      <c r="C28" s="1499">
        <v>232</v>
      </c>
      <c r="D28" s="1499">
        <f t="shared" si="34"/>
        <v>232</v>
      </c>
      <c r="E28" s="1463">
        <f t="shared" si="45"/>
        <v>375.65990977608692</v>
      </c>
      <c r="F28" s="1463">
        <f t="shared" si="45"/>
        <v>214.12518283971252</v>
      </c>
      <c r="G28" s="3283"/>
      <c r="H28" s="1449">
        <v>1</v>
      </c>
      <c r="I28" s="1449">
        <v>0.02</v>
      </c>
      <c r="J28" s="1449">
        <v>0.13</v>
      </c>
      <c r="K28" s="1449">
        <v>-0.04</v>
      </c>
      <c r="L28" s="1464">
        <v>0.46</v>
      </c>
      <c r="N28" s="1458">
        <f t="shared" si="36"/>
        <v>2.0000000000000001E-4</v>
      </c>
      <c r="O28" s="1459">
        <f t="shared" si="36"/>
        <v>1.2999999999999999E-3</v>
      </c>
      <c r="P28" s="1459">
        <f t="shared" si="36"/>
        <v>-4.0000000000000002E-4</v>
      </c>
      <c r="Q28" s="1459">
        <f t="shared" si="36"/>
        <v>4.5999999999999999E-3</v>
      </c>
      <c r="R28" s="1460"/>
      <c r="S28" s="1466">
        <f>B28/B29-1</f>
        <v>6.9183549807361189E-4</v>
      </c>
      <c r="T28" s="1467">
        <f>C28/C29-1</f>
        <v>0</v>
      </c>
      <c r="U28" s="1467">
        <f>E28/E29-1</f>
        <v>-9.0449527636460303E-4</v>
      </c>
      <c r="V28" s="1467">
        <f>F28/F29-1</f>
        <v>5.2825485432512753E-3</v>
      </c>
      <c r="X28" s="1445"/>
      <c r="Y28" s="1445"/>
      <c r="Z28" s="1445"/>
    </row>
    <row r="29" spans="1:34" ht="13.5" thickBot="1">
      <c r="A29" s="1446" t="s">
        <v>1172</v>
      </c>
      <c r="B29" s="1455">
        <v>275</v>
      </c>
      <c r="C29" s="1455">
        <v>232</v>
      </c>
      <c r="D29" s="1455">
        <f t="shared" si="34"/>
        <v>232</v>
      </c>
      <c r="E29" s="1455">
        <v>376</v>
      </c>
      <c r="F29" s="1456">
        <v>213</v>
      </c>
      <c r="G29" s="3281">
        <v>2011</v>
      </c>
      <c r="H29" s="1468">
        <v>4</v>
      </c>
      <c r="I29" s="1468">
        <v>-0.2</v>
      </c>
      <c r="J29" s="1468">
        <v>0.04</v>
      </c>
      <c r="K29" s="1468">
        <v>-0.34</v>
      </c>
      <c r="L29" s="1469">
        <v>0.46</v>
      </c>
      <c r="N29" s="1470">
        <f t="shared" si="36"/>
        <v>-2E-3</v>
      </c>
      <c r="O29" s="1471">
        <f t="shared" si="36"/>
        <v>4.0000000000000002E-4</v>
      </c>
      <c r="P29" s="1471">
        <f t="shared" si="36"/>
        <v>-3.4000000000000002E-3</v>
      </c>
      <c r="Q29" s="1471">
        <f t="shared" si="36"/>
        <v>4.5999999999999999E-3</v>
      </c>
      <c r="R29" s="1460"/>
      <c r="S29" s="1461"/>
      <c r="T29" s="1462"/>
      <c r="U29" s="1462"/>
      <c r="V29" s="1462"/>
      <c r="X29" s="1462"/>
      <c r="Y29" s="1462"/>
      <c r="Z29" s="1462"/>
    </row>
    <row r="30" spans="1:34">
      <c r="A30" s="1446" t="s">
        <v>1173</v>
      </c>
      <c r="B30" s="1463">
        <f t="shared" ref="B30:C32" si="46">B29/(1+N29)</f>
        <v>275.55110220440883</v>
      </c>
      <c r="C30" s="1463">
        <f t="shared" si="46"/>
        <v>231.90723710515795</v>
      </c>
      <c r="D30" s="1463">
        <f t="shared" si="34"/>
        <v>231.90723710515795</v>
      </c>
      <c r="E30" s="1463">
        <f t="shared" ref="E30:F32" si="47">E29/(1+P29)</f>
        <v>377.28276138872161</v>
      </c>
      <c r="F30" s="1463">
        <f t="shared" si="47"/>
        <v>212.02468644236512</v>
      </c>
      <c r="G30" s="3282">
        <v>2011</v>
      </c>
      <c r="H30" s="1473">
        <v>3</v>
      </c>
      <c r="I30" s="1473">
        <v>0.13</v>
      </c>
      <c r="J30" s="1473">
        <v>0.75</v>
      </c>
      <c r="K30" s="1473">
        <v>-0.08</v>
      </c>
      <c r="L30" s="1474">
        <v>0.53</v>
      </c>
      <c r="N30" s="1458">
        <f t="shared" si="36"/>
        <v>1.2999999999999999E-3</v>
      </c>
      <c r="O30" s="1475">
        <f t="shared" si="36"/>
        <v>7.4999999999999997E-3</v>
      </c>
      <c r="P30" s="1475">
        <f t="shared" si="36"/>
        <v>-8.0000000000000004E-4</v>
      </c>
      <c r="Q30" s="1475">
        <f t="shared" si="36"/>
        <v>5.3E-3</v>
      </c>
      <c r="R30" s="1460"/>
      <c r="S30" s="1458"/>
      <c r="T30" s="1459"/>
      <c r="U30" s="1459"/>
      <c r="V30" s="1459"/>
    </row>
    <row r="31" spans="1:34">
      <c r="A31" s="1446" t="s">
        <v>1174</v>
      </c>
      <c r="B31" s="1463">
        <f t="shared" si="46"/>
        <v>275.19335084830601</v>
      </c>
      <c r="C31" s="1463">
        <f t="shared" si="46"/>
        <v>230.18088050139744</v>
      </c>
      <c r="D31" s="1463">
        <f t="shared" si="34"/>
        <v>230.18088050139744</v>
      </c>
      <c r="E31" s="1463">
        <f t="shared" si="47"/>
        <v>377.58482925212331</v>
      </c>
      <c r="F31" s="1463">
        <f t="shared" si="47"/>
        <v>210.90687997847917</v>
      </c>
      <c r="G31" s="3282">
        <v>2011</v>
      </c>
      <c r="H31" s="1450">
        <v>2</v>
      </c>
      <c r="I31" s="1450">
        <v>-0.4</v>
      </c>
      <c r="J31" s="1450">
        <v>0.17</v>
      </c>
      <c r="K31" s="1450">
        <v>-0.57999999999999996</v>
      </c>
      <c r="L31" s="1465">
        <v>-0.2</v>
      </c>
      <c r="N31" s="1458">
        <f t="shared" si="36"/>
        <v>-4.0000000000000001E-3</v>
      </c>
      <c r="O31" s="1475">
        <f t="shared" si="36"/>
        <v>1.7000000000000001E-3</v>
      </c>
      <c r="P31" s="1475">
        <f t="shared" si="36"/>
        <v>-5.7999999999999996E-3</v>
      </c>
      <c r="Q31" s="1475">
        <f t="shared" si="36"/>
        <v>-2E-3</v>
      </c>
      <c r="R31" s="1460"/>
      <c r="S31" s="1458"/>
      <c r="T31" s="1459"/>
      <c r="U31" s="1459"/>
      <c r="V31" s="1459"/>
    </row>
    <row r="32" spans="1:34" ht="13.5" thickBot="1">
      <c r="A32" s="1446" t="s">
        <v>1175</v>
      </c>
      <c r="B32" s="1463">
        <f t="shared" si="46"/>
        <v>276.29854502841971</v>
      </c>
      <c r="C32" s="1463">
        <f t="shared" si="46"/>
        <v>229.79023709833027</v>
      </c>
      <c r="D32" s="1463">
        <f t="shared" si="34"/>
        <v>229.79023709833027</v>
      </c>
      <c r="E32" s="1463">
        <f t="shared" si="47"/>
        <v>379.78759731655936</v>
      </c>
      <c r="F32" s="1463">
        <f t="shared" si="47"/>
        <v>211.32953905659235</v>
      </c>
      <c r="G32" s="3283">
        <v>2011</v>
      </c>
      <c r="H32" s="1449">
        <v>1</v>
      </c>
      <c r="I32" s="1449">
        <v>2.65</v>
      </c>
      <c r="J32" s="1449">
        <v>3.76</v>
      </c>
      <c r="K32" s="1449">
        <v>1.89</v>
      </c>
      <c r="L32" s="1464">
        <v>7.95</v>
      </c>
      <c r="N32" s="1466">
        <f t="shared" si="36"/>
        <v>2.6499999999999999E-2</v>
      </c>
      <c r="O32" s="1467">
        <f t="shared" si="36"/>
        <v>3.7599999999999995E-2</v>
      </c>
      <c r="P32" s="1467">
        <f t="shared" si="36"/>
        <v>1.89E-2</v>
      </c>
      <c r="Q32" s="1467">
        <f t="shared" si="36"/>
        <v>7.9500000000000001E-2</v>
      </c>
      <c r="R32" s="1460"/>
      <c r="S32" s="1466">
        <f>B32/B33-1</f>
        <v>2.713213765211786E-2</v>
      </c>
      <c r="T32" s="1467">
        <f>C32/C33-1</f>
        <v>3.9774828499231862E-2</v>
      </c>
      <c r="U32" s="1467">
        <f>E32/E33-1</f>
        <v>1.8197311840641772E-2</v>
      </c>
      <c r="V32" s="1467">
        <f>F32/F33-1</f>
        <v>7.8211933962205826E-2</v>
      </c>
      <c r="X32" s="1445"/>
      <c r="Y32" s="1445"/>
      <c r="Z32" s="1445"/>
    </row>
    <row r="33" spans="1:26" ht="13.5" thickBot="1">
      <c r="A33" s="1446" t="s">
        <v>1176</v>
      </c>
      <c r="B33" s="1455">
        <v>269</v>
      </c>
      <c r="C33" s="1455">
        <v>221</v>
      </c>
      <c r="D33" s="1455">
        <f t="shared" si="34"/>
        <v>221</v>
      </c>
      <c r="E33" s="1455">
        <v>373</v>
      </c>
      <c r="F33" s="1456">
        <v>196</v>
      </c>
      <c r="G33" s="3281">
        <v>2010</v>
      </c>
      <c r="H33" s="1468">
        <v>4</v>
      </c>
      <c r="I33" s="1468">
        <v>5.72</v>
      </c>
      <c r="J33" s="1468">
        <v>6.57</v>
      </c>
      <c r="K33" s="1468">
        <v>5.72</v>
      </c>
      <c r="L33" s="1469">
        <v>2.72</v>
      </c>
      <c r="N33" s="1458">
        <f t="shared" si="36"/>
        <v>5.7200000000000001E-2</v>
      </c>
      <c r="O33" s="1459">
        <f t="shared" si="36"/>
        <v>6.5700000000000008E-2</v>
      </c>
      <c r="P33" s="1459">
        <f t="shared" si="36"/>
        <v>5.7200000000000001E-2</v>
      </c>
      <c r="Q33" s="1459">
        <f t="shared" si="36"/>
        <v>2.7200000000000002E-2</v>
      </c>
      <c r="R33" s="1460"/>
      <c r="S33" s="1461"/>
      <c r="T33" s="1462"/>
      <c r="U33" s="1462"/>
      <c r="V33" s="1462"/>
      <c r="X33" s="1462"/>
      <c r="Y33" s="1462"/>
      <c r="Z33" s="1462"/>
    </row>
    <row r="34" spans="1:26">
      <c r="A34" s="1446" t="s">
        <v>1177</v>
      </c>
      <c r="B34" s="1463">
        <f t="shared" ref="B34:C36" si="48">B33/(1+N33)</f>
        <v>254.44570563753314</v>
      </c>
      <c r="C34" s="1463">
        <f t="shared" si="48"/>
        <v>207.37543398705074</v>
      </c>
      <c r="D34" s="1463">
        <f t="shared" si="34"/>
        <v>207.37543398705074</v>
      </c>
      <c r="E34" s="1463">
        <f t="shared" ref="E34:F36" si="49">E33/(1+P33)</f>
        <v>352.81876655315932</v>
      </c>
      <c r="F34" s="1463">
        <f t="shared" si="49"/>
        <v>190.809968847352</v>
      </c>
      <c r="G34" s="3282">
        <v>2010</v>
      </c>
      <c r="H34" s="1473">
        <v>3</v>
      </c>
      <c r="I34" s="1473">
        <v>4.7300000000000004</v>
      </c>
      <c r="J34" s="1473">
        <v>3.9</v>
      </c>
      <c r="K34" s="1473">
        <v>5.03</v>
      </c>
      <c r="L34" s="1474">
        <v>4.21</v>
      </c>
      <c r="N34" s="1458">
        <f t="shared" si="36"/>
        <v>4.7300000000000002E-2</v>
      </c>
      <c r="O34" s="1459">
        <f t="shared" si="36"/>
        <v>3.9E-2</v>
      </c>
      <c r="P34" s="1459">
        <f t="shared" si="36"/>
        <v>5.0300000000000004E-2</v>
      </c>
      <c r="Q34" s="1459">
        <f t="shared" si="36"/>
        <v>4.2099999999999999E-2</v>
      </c>
      <c r="R34" s="1460"/>
      <c r="S34" s="1458"/>
      <c r="T34" s="1459"/>
      <c r="U34" s="1459"/>
      <c r="V34" s="1459"/>
    </row>
    <row r="35" spans="1:26">
      <c r="A35" s="1446" t="s">
        <v>1178</v>
      </c>
      <c r="B35" s="1463">
        <f t="shared" si="48"/>
        <v>242.95398227588385</v>
      </c>
      <c r="C35" s="1463">
        <f t="shared" si="48"/>
        <v>199.59137053614126</v>
      </c>
      <c r="D35" s="1463">
        <f t="shared" si="34"/>
        <v>199.59137053614126</v>
      </c>
      <c r="E35" s="1463">
        <f t="shared" si="49"/>
        <v>335.92189522342125</v>
      </c>
      <c r="F35" s="1463">
        <f t="shared" si="49"/>
        <v>183.10139991109489</v>
      </c>
      <c r="G35" s="3282">
        <v>2010</v>
      </c>
      <c r="H35" s="1450">
        <v>2</v>
      </c>
      <c r="I35" s="1450">
        <v>4.6900000000000004</v>
      </c>
      <c r="J35" s="1450">
        <v>3.55</v>
      </c>
      <c r="K35" s="1450">
        <v>5.07</v>
      </c>
      <c r="L35" s="1465">
        <v>4.2300000000000004</v>
      </c>
      <c r="N35" s="1458">
        <f t="shared" si="36"/>
        <v>4.6900000000000004E-2</v>
      </c>
      <c r="O35" s="1459">
        <f t="shared" si="36"/>
        <v>3.5499999999999997E-2</v>
      </c>
      <c r="P35" s="1459">
        <f t="shared" si="36"/>
        <v>5.0700000000000002E-2</v>
      </c>
      <c r="Q35" s="1459">
        <f t="shared" si="36"/>
        <v>4.2300000000000004E-2</v>
      </c>
      <c r="R35" s="1460"/>
      <c r="S35" s="1458"/>
      <c r="T35" s="1459"/>
      <c r="U35" s="1459"/>
      <c r="V35" s="1459"/>
    </row>
    <row r="36" spans="1:26" ht="13.5" thickBot="1">
      <c r="A36" s="1446" t="s">
        <v>1179</v>
      </c>
      <c r="B36" s="1463">
        <f t="shared" si="48"/>
        <v>232.06990378821649</v>
      </c>
      <c r="C36" s="1463">
        <f t="shared" si="48"/>
        <v>192.74878854286936</v>
      </c>
      <c r="D36" s="1463">
        <f t="shared" si="34"/>
        <v>192.74878854286936</v>
      </c>
      <c r="E36" s="1463">
        <f t="shared" si="49"/>
        <v>319.71247284992984</v>
      </c>
      <c r="F36" s="1463">
        <f t="shared" si="49"/>
        <v>175.67053622862409</v>
      </c>
      <c r="G36" s="3283">
        <v>2010</v>
      </c>
      <c r="H36" s="1449">
        <v>1</v>
      </c>
      <c r="I36" s="1449">
        <v>5.4</v>
      </c>
      <c r="J36" s="1449">
        <v>3.2</v>
      </c>
      <c r="K36" s="1449">
        <v>6.16</v>
      </c>
      <c r="L36" s="1464">
        <v>4.51</v>
      </c>
      <c r="N36" s="1458">
        <f t="shared" si="36"/>
        <v>5.4000000000000006E-2</v>
      </c>
      <c r="O36" s="1459">
        <f t="shared" si="36"/>
        <v>3.2000000000000001E-2</v>
      </c>
      <c r="P36" s="1459">
        <f t="shared" si="36"/>
        <v>6.1600000000000002E-2</v>
      </c>
      <c r="Q36" s="1459">
        <f t="shared" si="36"/>
        <v>4.5100000000000001E-2</v>
      </c>
      <c r="R36" s="1460"/>
      <c r="S36" s="1466">
        <f>B36/B37-1</f>
        <v>5.4863199037347599E-2</v>
      </c>
      <c r="T36" s="1467">
        <f>C36/C37-1</f>
        <v>3.0742184721226584E-2</v>
      </c>
      <c r="U36" s="1467">
        <f>E36/E37-1</f>
        <v>6.2167683886810154E-2</v>
      </c>
      <c r="V36" s="1467">
        <f>F36/F37-1</f>
        <v>4.5657953741810031E-2</v>
      </c>
      <c r="X36" s="1445"/>
      <c r="Y36" s="1445"/>
      <c r="Z36" s="1445"/>
    </row>
    <row r="37" spans="1:26" ht="13.5" thickBot="1">
      <c r="A37" s="1446" t="s">
        <v>1180</v>
      </c>
      <c r="B37" s="1455">
        <v>220</v>
      </c>
      <c r="C37" s="1455">
        <v>187</v>
      </c>
      <c r="D37" s="1455">
        <f t="shared" si="34"/>
        <v>187</v>
      </c>
      <c r="E37" s="1455">
        <v>301</v>
      </c>
      <c r="F37" s="1456">
        <v>168</v>
      </c>
      <c r="G37" s="3281">
        <v>2009</v>
      </c>
      <c r="H37" s="1468">
        <v>4</v>
      </c>
      <c r="I37" s="1468">
        <v>2.2999999999999998</v>
      </c>
      <c r="J37" s="1468">
        <v>1.04</v>
      </c>
      <c r="K37" s="1468">
        <v>2.84</v>
      </c>
      <c r="L37" s="1469">
        <v>0.67</v>
      </c>
      <c r="N37" s="1470">
        <f t="shared" si="36"/>
        <v>2.3E-2</v>
      </c>
      <c r="O37" s="1471">
        <f t="shared" si="36"/>
        <v>1.04E-2</v>
      </c>
      <c r="P37" s="1471">
        <f t="shared" si="36"/>
        <v>2.8399999999999998E-2</v>
      </c>
      <c r="Q37" s="1471">
        <f t="shared" si="36"/>
        <v>6.7000000000000002E-3</v>
      </c>
      <c r="R37" s="1460"/>
      <c r="S37" s="1461"/>
      <c r="T37" s="1462"/>
      <c r="U37" s="1462"/>
      <c r="V37" s="1462"/>
      <c r="X37" s="1462"/>
      <c r="Y37" s="1462"/>
      <c r="Z37" s="1462"/>
    </row>
    <row r="38" spans="1:26">
      <c r="A38" s="1446" t="s">
        <v>1181</v>
      </c>
      <c r="B38" s="1463">
        <f t="shared" ref="B38:C40" si="50">B37/(1+N37)</f>
        <v>215.05376344086022</v>
      </c>
      <c r="C38" s="1463">
        <f t="shared" si="50"/>
        <v>185.0752177355503</v>
      </c>
      <c r="D38" s="1463">
        <f t="shared" si="34"/>
        <v>185.0752177355503</v>
      </c>
      <c r="E38" s="1463">
        <f t="shared" ref="E38:F40" si="51">E37/(1+P37)</f>
        <v>292.68767016725008</v>
      </c>
      <c r="F38" s="1463">
        <f t="shared" si="51"/>
        <v>166.88189132810174</v>
      </c>
      <c r="G38" s="3282">
        <v>2009</v>
      </c>
      <c r="H38" s="1473">
        <v>3</v>
      </c>
      <c r="I38" s="1473">
        <v>2.1</v>
      </c>
      <c r="J38" s="1473">
        <v>1.86</v>
      </c>
      <c r="K38" s="1473">
        <v>2.29</v>
      </c>
      <c r="L38" s="1474">
        <v>0.85</v>
      </c>
      <c r="N38" s="1458">
        <f t="shared" si="36"/>
        <v>2.1000000000000001E-2</v>
      </c>
      <c r="O38" s="1475">
        <f t="shared" si="36"/>
        <v>1.8600000000000002E-2</v>
      </c>
      <c r="P38" s="1475">
        <f t="shared" si="36"/>
        <v>2.29E-2</v>
      </c>
      <c r="Q38" s="1475">
        <f t="shared" si="36"/>
        <v>8.5000000000000006E-3</v>
      </c>
      <c r="R38" s="1460"/>
      <c r="S38" s="1458"/>
      <c r="T38" s="1459"/>
      <c r="U38" s="1459"/>
      <c r="V38" s="1459"/>
    </row>
    <row r="39" spans="1:26">
      <c r="A39" s="1446" t="s">
        <v>1182</v>
      </c>
      <c r="B39" s="1463">
        <f t="shared" si="50"/>
        <v>210.630522469011</v>
      </c>
      <c r="C39" s="1463">
        <f t="shared" si="50"/>
        <v>181.69567812247232</v>
      </c>
      <c r="D39" s="1463">
        <f t="shared" si="34"/>
        <v>181.69567812247232</v>
      </c>
      <c r="E39" s="1463">
        <f t="shared" si="51"/>
        <v>286.13517466736738</v>
      </c>
      <c r="F39" s="1463">
        <f t="shared" si="51"/>
        <v>165.47535084591149</v>
      </c>
      <c r="G39" s="3282">
        <v>2009</v>
      </c>
      <c r="H39" s="1450">
        <v>2</v>
      </c>
      <c r="I39" s="1450">
        <v>0.86</v>
      </c>
      <c r="J39" s="1450">
        <v>-1.1299999999999999</v>
      </c>
      <c r="K39" s="1450">
        <v>1.79</v>
      </c>
      <c r="L39" s="1465">
        <v>-2.0699999999999998</v>
      </c>
      <c r="N39" s="1458">
        <f t="shared" si="36"/>
        <v>8.6E-3</v>
      </c>
      <c r="O39" s="1475">
        <f t="shared" si="36"/>
        <v>-1.1299999999999999E-2</v>
      </c>
      <c r="P39" s="1475">
        <f t="shared" si="36"/>
        <v>1.7899999999999999E-2</v>
      </c>
      <c r="Q39" s="1475">
        <f t="shared" si="36"/>
        <v>-2.07E-2</v>
      </c>
      <c r="R39" s="1460"/>
      <c r="S39" s="1458"/>
      <c r="T39" s="1459"/>
      <c r="U39" s="1459"/>
      <c r="V39" s="1459"/>
    </row>
    <row r="40" spans="1:26">
      <c r="A40" s="1446" t="s">
        <v>1183</v>
      </c>
      <c r="B40" s="1463">
        <f t="shared" si="50"/>
        <v>208.83454537875372</v>
      </c>
      <c r="C40" s="1463">
        <f t="shared" si="50"/>
        <v>183.77230517090351</v>
      </c>
      <c r="D40" s="1463">
        <f t="shared" si="34"/>
        <v>183.77230517090351</v>
      </c>
      <c r="E40" s="1463">
        <f t="shared" si="51"/>
        <v>281.10342338870947</v>
      </c>
      <c r="F40" s="1463">
        <f t="shared" si="51"/>
        <v>168.97309388942256</v>
      </c>
      <c r="G40" s="3283">
        <v>2009</v>
      </c>
      <c r="H40" s="1449">
        <v>1</v>
      </c>
      <c r="I40" s="1449">
        <v>-2.64</v>
      </c>
      <c r="J40" s="1449">
        <v>-2.5299999999999998</v>
      </c>
      <c r="K40" s="1449">
        <v>-3.02</v>
      </c>
      <c r="L40" s="1464">
        <v>1.52</v>
      </c>
      <c r="N40" s="1466">
        <f t="shared" si="36"/>
        <v>-2.64E-2</v>
      </c>
      <c r="O40" s="1467">
        <f t="shared" si="36"/>
        <v>-2.53E-2</v>
      </c>
      <c r="P40" s="1467">
        <f t="shared" si="36"/>
        <v>-3.0200000000000001E-2</v>
      </c>
      <c r="Q40" s="1467">
        <f t="shared" si="36"/>
        <v>1.52E-2</v>
      </c>
      <c r="R40" s="1460"/>
      <c r="S40" s="1466">
        <f>B40/B41-1</f>
        <v>-2.4137638417038754E-2</v>
      </c>
      <c r="T40" s="1467">
        <f>C40/C41-1</f>
        <v>-2.248773845264096E-2</v>
      </c>
      <c r="U40" s="1467">
        <f>E40/E41-1</f>
        <v>-2.7323794502735366E-2</v>
      </c>
      <c r="V40" s="1467">
        <f>F40/F41-1</f>
        <v>1.7910204153148035E-2</v>
      </c>
      <c r="X40" s="1445"/>
      <c r="Y40" s="1445"/>
      <c r="Z40" s="1445"/>
    </row>
    <row r="41" spans="1:26" ht="13.5" thickBot="1">
      <c r="A41" s="1446" t="s">
        <v>1184</v>
      </c>
      <c r="B41" s="1497">
        <v>214</v>
      </c>
      <c r="C41" s="1497">
        <v>188</v>
      </c>
      <c r="D41" s="1497">
        <f t="shared" si="34"/>
        <v>188</v>
      </c>
      <c r="E41" s="1497">
        <v>289</v>
      </c>
      <c r="F41" s="1498">
        <v>166</v>
      </c>
      <c r="G41" s="3281">
        <v>2008</v>
      </c>
      <c r="H41" s="1468">
        <v>4</v>
      </c>
      <c r="I41" s="1468">
        <v>1.73</v>
      </c>
      <c r="J41" s="1468">
        <v>0.03</v>
      </c>
      <c r="K41" s="1468">
        <v>2.59</v>
      </c>
      <c r="L41" s="1469">
        <v>-1.66</v>
      </c>
      <c r="N41" s="1458">
        <f t="shared" si="36"/>
        <v>1.7299999999999999E-2</v>
      </c>
      <c r="O41" s="1459">
        <f t="shared" si="36"/>
        <v>2.9999999999999997E-4</v>
      </c>
      <c r="P41" s="1459">
        <f t="shared" si="36"/>
        <v>2.5899999999999999E-2</v>
      </c>
      <c r="Q41" s="1459">
        <f t="shared" si="36"/>
        <v>-1.66E-2</v>
      </c>
      <c r="R41" s="1460"/>
      <c r="S41" s="1461"/>
      <c r="T41" s="1462"/>
      <c r="U41" s="1462"/>
      <c r="V41" s="1462"/>
      <c r="X41" s="1462"/>
      <c r="Y41" s="1462"/>
      <c r="Z41" s="1462"/>
    </row>
    <row r="42" spans="1:26">
      <c r="A42" s="1446" t="s">
        <v>1185</v>
      </c>
      <c r="B42" s="1463">
        <f t="shared" ref="B42:C44" si="52">B41/(1+N41)</f>
        <v>210.36075887152265</v>
      </c>
      <c r="C42" s="1463">
        <f t="shared" si="52"/>
        <v>187.94361691492554</v>
      </c>
      <c r="D42" s="1463">
        <f t="shared" si="34"/>
        <v>187.94361691492554</v>
      </c>
      <c r="E42" s="1463">
        <f t="shared" ref="E42:F44" si="53">E41/(1+P41)</f>
        <v>281.70386977288234</v>
      </c>
      <c r="F42" s="1463">
        <f t="shared" si="53"/>
        <v>168.80211511083994</v>
      </c>
      <c r="G42" s="3282">
        <v>2008</v>
      </c>
      <c r="H42" s="1473">
        <v>3</v>
      </c>
      <c r="I42" s="1473">
        <v>1.96</v>
      </c>
      <c r="J42" s="1473">
        <v>2.36</v>
      </c>
      <c r="K42" s="1473">
        <v>1.82</v>
      </c>
      <c r="L42" s="1474">
        <v>2.2200000000000002</v>
      </c>
      <c r="N42" s="1458">
        <f t="shared" si="36"/>
        <v>1.9599999999999999E-2</v>
      </c>
      <c r="O42" s="1459">
        <f t="shared" si="36"/>
        <v>2.3599999999999999E-2</v>
      </c>
      <c r="P42" s="1459">
        <f t="shared" si="36"/>
        <v>1.8200000000000001E-2</v>
      </c>
      <c r="Q42" s="1459">
        <f t="shared" si="36"/>
        <v>2.2200000000000001E-2</v>
      </c>
      <c r="R42" s="1460"/>
      <c r="S42" s="1458"/>
      <c r="T42" s="1459"/>
      <c r="U42" s="1459"/>
      <c r="V42" s="1459"/>
    </row>
    <row r="43" spans="1:26">
      <c r="A43" s="1446" t="s">
        <v>1186</v>
      </c>
      <c r="B43" s="1463">
        <f t="shared" si="52"/>
        <v>206.31694671589116</v>
      </c>
      <c r="C43" s="1463">
        <f t="shared" si="52"/>
        <v>183.61041121036101</v>
      </c>
      <c r="D43" s="1463">
        <f t="shared" si="34"/>
        <v>183.61041121036101</v>
      </c>
      <c r="E43" s="1463">
        <f t="shared" si="53"/>
        <v>276.66850301795557</v>
      </c>
      <c r="F43" s="1463">
        <f t="shared" si="53"/>
        <v>165.1360938278614</v>
      </c>
      <c r="G43" s="3282">
        <v>2008</v>
      </c>
      <c r="H43" s="1450">
        <v>2</v>
      </c>
      <c r="I43" s="1450">
        <v>4.93</v>
      </c>
      <c r="J43" s="1450">
        <v>7.38</v>
      </c>
      <c r="K43" s="1450">
        <v>3.98</v>
      </c>
      <c r="L43" s="1465">
        <v>6.86</v>
      </c>
      <c r="N43" s="1458">
        <f t="shared" si="36"/>
        <v>4.9299999999999997E-2</v>
      </c>
      <c r="O43" s="1459">
        <f t="shared" si="36"/>
        <v>7.3800000000000004E-2</v>
      </c>
      <c r="P43" s="1459">
        <f t="shared" si="36"/>
        <v>3.9800000000000002E-2</v>
      </c>
      <c r="Q43" s="1459">
        <f t="shared" si="36"/>
        <v>6.8600000000000008E-2</v>
      </c>
      <c r="R43" s="1460"/>
      <c r="S43" s="1458"/>
      <c r="T43" s="1459"/>
      <c r="U43" s="1459"/>
      <c r="V43" s="1459"/>
    </row>
    <row r="44" spans="1:26" s="1503" customFormat="1" ht="13.5" thickBot="1">
      <c r="A44" s="1446" t="s">
        <v>1187</v>
      </c>
      <c r="B44" s="1500">
        <f t="shared" si="52"/>
        <v>196.62341248059772</v>
      </c>
      <c r="C44" s="1500">
        <f t="shared" si="52"/>
        <v>170.99125648199012</v>
      </c>
      <c r="D44" s="1500">
        <f t="shared" si="34"/>
        <v>170.99125648199012</v>
      </c>
      <c r="E44" s="1500">
        <f t="shared" si="53"/>
        <v>266.07857570490052</v>
      </c>
      <c r="F44" s="1500">
        <f t="shared" si="53"/>
        <v>154.53499328828505</v>
      </c>
      <c r="G44" s="3283">
        <v>2008</v>
      </c>
      <c r="H44" s="1501">
        <v>1</v>
      </c>
      <c r="I44" s="1501">
        <v>4.1399999999999997</v>
      </c>
      <c r="J44" s="1501">
        <v>3.45</v>
      </c>
      <c r="K44" s="1501">
        <v>4.95</v>
      </c>
      <c r="L44" s="1502">
        <v>4.82</v>
      </c>
      <c r="N44" s="1504">
        <f t="shared" si="36"/>
        <v>4.1399999999999999E-2</v>
      </c>
      <c r="O44" s="1505">
        <f t="shared" si="36"/>
        <v>3.4500000000000003E-2</v>
      </c>
      <c r="P44" s="1505">
        <f t="shared" si="36"/>
        <v>4.9500000000000002E-2</v>
      </c>
      <c r="Q44" s="1505">
        <f t="shared" si="36"/>
        <v>4.82E-2</v>
      </c>
      <c r="R44" s="1506"/>
      <c r="S44" s="1504">
        <f>B44/B45-1</f>
        <v>4.5869215322328349E-2</v>
      </c>
      <c r="T44" s="1505">
        <f>C44/C45-1</f>
        <v>3.6310645345394743E-2</v>
      </c>
      <c r="U44" s="1505">
        <f>E44/E45-1</f>
        <v>4.7553447657088688E-2</v>
      </c>
      <c r="V44" s="1505">
        <f>F44/F45-1</f>
        <v>4.4155360055980086E-2</v>
      </c>
      <c r="X44" s="1507"/>
      <c r="Y44" s="1507"/>
      <c r="Z44" s="1507"/>
    </row>
    <row r="45" spans="1:26" ht="13.5" thickBot="1">
      <c r="A45" s="1446" t="s">
        <v>1188</v>
      </c>
      <c r="B45" s="1455">
        <v>188</v>
      </c>
      <c r="C45" s="1455">
        <v>165</v>
      </c>
      <c r="D45" s="1455">
        <f t="shared" si="34"/>
        <v>165</v>
      </c>
      <c r="E45" s="1455">
        <v>254</v>
      </c>
      <c r="F45" s="1456">
        <v>148</v>
      </c>
      <c r="G45" s="3281">
        <v>2007</v>
      </c>
      <c r="H45" s="1508">
        <v>4</v>
      </c>
      <c r="I45" s="1508">
        <v>5.51</v>
      </c>
      <c r="J45" s="1508">
        <v>4.8899999999999997</v>
      </c>
      <c r="K45" s="1508">
        <v>6.43</v>
      </c>
      <c r="L45" s="1509">
        <v>5.36</v>
      </c>
      <c r="N45" s="1510">
        <f t="shared" ref="N45:O48" si="54">B45/B46-1</f>
        <v>4.1339718365245526E-2</v>
      </c>
      <c r="O45" s="1511">
        <f t="shared" si="54"/>
        <v>4.0324492593776018E-2</v>
      </c>
      <c r="P45" s="1511">
        <f t="shared" ref="P45:Q48" si="55">E45/E46-1</f>
        <v>6.1625555347990968E-2</v>
      </c>
      <c r="Q45" s="1511">
        <f t="shared" si="55"/>
        <v>4.6757569250590603E-2</v>
      </c>
      <c r="R45" s="1460"/>
      <c r="S45" s="1461"/>
      <c r="T45" s="1462"/>
      <c r="U45" s="1462"/>
      <c r="V45" s="1462"/>
      <c r="X45" s="1462"/>
      <c r="Y45" s="1462"/>
      <c r="Z45" s="1462"/>
    </row>
    <row r="46" spans="1:26">
      <c r="A46" s="1446" t="s">
        <v>1189</v>
      </c>
      <c r="B46" s="1463">
        <f t="shared" ref="B46:C48" si="56">B47+(B$45-B$49)*I46/SUM(I$45:I$48)</f>
        <v>180.5366651097618</v>
      </c>
      <c r="C46" s="1463">
        <f t="shared" si="56"/>
        <v>158.60435967302453</v>
      </c>
      <c r="D46" s="1463">
        <f t="shared" si="34"/>
        <v>158.60435967302453</v>
      </c>
      <c r="E46" s="1463">
        <f t="shared" ref="E46:F48" si="57">E47+(E$45-E$49)*K46/SUM(K$45:K$48)</f>
        <v>239.25573260785075</v>
      </c>
      <c r="F46" s="1463">
        <f t="shared" si="57"/>
        <v>141.38899430740037</v>
      </c>
      <c r="G46" s="3282">
        <v>2007</v>
      </c>
      <c r="H46" s="1473">
        <v>3</v>
      </c>
      <c r="I46" s="1473">
        <v>8.65</v>
      </c>
      <c r="J46" s="1473">
        <v>8.06</v>
      </c>
      <c r="K46" s="1473">
        <v>9.94</v>
      </c>
      <c r="L46" s="1474">
        <v>5.8</v>
      </c>
      <c r="N46" s="1510">
        <f t="shared" si="54"/>
        <v>6.940217571740015E-2</v>
      </c>
      <c r="O46" s="1511">
        <f t="shared" si="54"/>
        <v>7.1197482471153428E-2</v>
      </c>
      <c r="P46" s="1511">
        <f t="shared" si="55"/>
        <v>0.10529679922579582</v>
      </c>
      <c r="Q46" s="1511">
        <f t="shared" si="55"/>
        <v>5.3292245059512133E-2</v>
      </c>
      <c r="R46" s="1460"/>
      <c r="S46" s="1458"/>
      <c r="T46" s="1459"/>
      <c r="U46" s="1459"/>
      <c r="V46" s="1459"/>
      <c r="X46" s="1512"/>
      <c r="Y46" s="1512"/>
      <c r="Z46" s="1512"/>
    </row>
    <row r="47" spans="1:26">
      <c r="A47" s="1446" t="s">
        <v>1190</v>
      </c>
      <c r="B47" s="1463">
        <f t="shared" si="56"/>
        <v>168.82017748715555</v>
      </c>
      <c r="C47" s="1463">
        <f t="shared" si="56"/>
        <v>148.06267029972753</v>
      </c>
      <c r="D47" s="1463">
        <f t="shared" si="34"/>
        <v>148.06267029972753</v>
      </c>
      <c r="E47" s="1463">
        <f t="shared" si="57"/>
        <v>216.46288379323747</v>
      </c>
      <c r="F47" s="1463">
        <f t="shared" si="57"/>
        <v>134.23529411764704</v>
      </c>
      <c r="G47" s="3282">
        <v>2007</v>
      </c>
      <c r="H47" s="1450">
        <v>2</v>
      </c>
      <c r="I47" s="1450">
        <v>3.67</v>
      </c>
      <c r="J47" s="1450">
        <v>2.3199999999999998</v>
      </c>
      <c r="K47" s="1450">
        <v>5.0199999999999996</v>
      </c>
      <c r="L47" s="1465">
        <v>6.71</v>
      </c>
      <c r="N47" s="1510">
        <f t="shared" si="54"/>
        <v>3.0339138143848032E-2</v>
      </c>
      <c r="O47" s="1511">
        <f t="shared" si="54"/>
        <v>2.0922341588790472E-2</v>
      </c>
      <c r="P47" s="1511">
        <f t="shared" si="55"/>
        <v>5.6164796592717003E-2</v>
      </c>
      <c r="Q47" s="1511">
        <f t="shared" si="55"/>
        <v>6.5704536723887319E-2</v>
      </c>
      <c r="R47" s="1460"/>
      <c r="S47" s="1458"/>
      <c r="T47" s="1459"/>
      <c r="U47" s="1459"/>
      <c r="V47" s="1459"/>
      <c r="X47" s="1512"/>
      <c r="Y47" s="1512"/>
      <c r="Z47" s="1512"/>
    </row>
    <row r="48" spans="1:26">
      <c r="A48" s="1446" t="s">
        <v>1191</v>
      </c>
      <c r="B48" s="1463">
        <f t="shared" si="56"/>
        <v>163.84913591779542</v>
      </c>
      <c r="C48" s="1463">
        <f t="shared" si="56"/>
        <v>145.0283378746594</v>
      </c>
      <c r="D48" s="1463">
        <f t="shared" si="34"/>
        <v>145.0283378746594</v>
      </c>
      <c r="E48" s="1463">
        <f t="shared" si="57"/>
        <v>204.95180722891567</v>
      </c>
      <c r="F48" s="1463">
        <f t="shared" si="57"/>
        <v>125.95920303605313</v>
      </c>
      <c r="G48" s="3283">
        <v>2007</v>
      </c>
      <c r="H48" s="1449">
        <v>1</v>
      </c>
      <c r="I48" s="1449">
        <v>3.58</v>
      </c>
      <c r="J48" s="1449">
        <v>3.08</v>
      </c>
      <c r="K48" s="1449">
        <v>4.34</v>
      </c>
      <c r="L48" s="1464">
        <v>3.21</v>
      </c>
      <c r="N48" s="1513">
        <f t="shared" si="54"/>
        <v>3.0497710174814063E-2</v>
      </c>
      <c r="O48" s="1514">
        <f t="shared" si="54"/>
        <v>2.8569772160704998E-2</v>
      </c>
      <c r="P48" s="1514">
        <f t="shared" si="55"/>
        <v>5.1034908866234296E-2</v>
      </c>
      <c r="Q48" s="1514">
        <f t="shared" si="55"/>
        <v>3.245248390207478E-2</v>
      </c>
      <c r="R48" s="1460"/>
      <c r="S48" s="1466">
        <f>B48/B49-1</f>
        <v>3.0497710174814063E-2</v>
      </c>
      <c r="T48" s="1467">
        <f>C48/C49-1</f>
        <v>2.8569772160704998E-2</v>
      </c>
      <c r="U48" s="1467">
        <f>E48/E49-1</f>
        <v>5.1034908866234296E-2</v>
      </c>
      <c r="V48" s="1467">
        <f>F48/F49-1</f>
        <v>3.245248390207478E-2</v>
      </c>
      <c r="X48" s="1512"/>
      <c r="Y48" s="1512"/>
      <c r="Z48" s="1512"/>
    </row>
    <row r="49" spans="1:26" ht="13.5" thickBot="1">
      <c r="A49" s="1446" t="s">
        <v>1192</v>
      </c>
      <c r="B49" s="1476">
        <v>159</v>
      </c>
      <c r="C49" s="1476">
        <v>141</v>
      </c>
      <c r="D49" s="1476">
        <f t="shared" si="34"/>
        <v>141</v>
      </c>
      <c r="E49" s="1476">
        <v>195</v>
      </c>
      <c r="F49" s="1477">
        <v>122</v>
      </c>
      <c r="G49" s="3281">
        <v>2006</v>
      </c>
      <c r="H49" s="1468">
        <v>4</v>
      </c>
      <c r="I49" s="1468">
        <v>3.79</v>
      </c>
      <c r="J49" s="1468">
        <v>2.21</v>
      </c>
      <c r="K49" s="1468">
        <v>5.65</v>
      </c>
      <c r="L49" s="1469">
        <v>5.41</v>
      </c>
      <c r="N49" s="1510">
        <f t="shared" ref="N49:O52" si="58">I49/SUM(I$49:I$52)*(B$49/B$53-1)</f>
        <v>7.245466462748526E-2</v>
      </c>
      <c r="O49" s="1511">
        <f t="shared" si="58"/>
        <v>2.3237230038062766E-2</v>
      </c>
      <c r="P49" s="1511">
        <f t="shared" ref="P49:Q52" si="59">K49/SUM(K$49:K$52)*(E$49/E$53-1)</f>
        <v>0.16146893866323722</v>
      </c>
      <c r="Q49" s="1511">
        <f t="shared" si="59"/>
        <v>5.0755230321793784E-2</v>
      </c>
      <c r="R49" s="1460"/>
      <c r="S49" s="1461"/>
      <c r="T49" s="1462"/>
      <c r="U49" s="1462"/>
      <c r="V49" s="1462"/>
      <c r="X49" s="1512"/>
      <c r="Y49" s="1512"/>
      <c r="Z49" s="1512"/>
    </row>
    <row r="50" spans="1:26">
      <c r="A50" s="1446" t="s">
        <v>1193</v>
      </c>
      <c r="B50" s="1463">
        <f t="shared" ref="B50:C52" si="60">B51+(B$49-B$53)*I50/SUM(I$49:I$52)</f>
        <v>149.00125628140702</v>
      </c>
      <c r="C50" s="1463">
        <f t="shared" si="60"/>
        <v>137.95592286501378</v>
      </c>
      <c r="D50" s="1463">
        <f t="shared" si="34"/>
        <v>137.95592286501378</v>
      </c>
      <c r="E50" s="1463">
        <f t="shared" ref="E50:F52" si="61">E51+(E$49-E$53)*K50/SUM(K$49:K$52)</f>
        <v>169.97231450719823</v>
      </c>
      <c r="F50" s="1463">
        <f t="shared" si="61"/>
        <v>116.21390374331551</v>
      </c>
      <c r="G50" s="3282">
        <v>2006</v>
      </c>
      <c r="H50" s="1473">
        <v>3</v>
      </c>
      <c r="I50" s="1473">
        <v>0.92</v>
      </c>
      <c r="J50" s="1473">
        <v>1.08</v>
      </c>
      <c r="K50" s="1473">
        <v>0.73</v>
      </c>
      <c r="L50" s="1474">
        <v>1.08</v>
      </c>
      <c r="N50" s="1510">
        <f t="shared" si="58"/>
        <v>1.7587939698492462E-2</v>
      </c>
      <c r="O50" s="1511">
        <f t="shared" si="58"/>
        <v>1.1355750425840628E-2</v>
      </c>
      <c r="P50" s="1511">
        <f t="shared" si="59"/>
        <v>2.0862358446754544E-2</v>
      </c>
      <c r="Q50" s="1511">
        <f t="shared" si="59"/>
        <v>1.0132282578103011E-2</v>
      </c>
      <c r="R50" s="1460"/>
      <c r="S50" s="1458"/>
      <c r="T50" s="1459"/>
      <c r="U50" s="1459"/>
      <c r="V50" s="1459"/>
      <c r="X50" s="1512"/>
      <c r="Y50" s="1512"/>
      <c r="Z50" s="1512"/>
    </row>
    <row r="51" spans="1:26">
      <c r="A51" s="1446" t="s">
        <v>1194</v>
      </c>
      <c r="B51" s="1463">
        <f t="shared" si="60"/>
        <v>146.57412060301507</v>
      </c>
      <c r="C51" s="1463">
        <f t="shared" si="60"/>
        <v>136.46831955922866</v>
      </c>
      <c r="D51" s="1463">
        <f t="shared" si="34"/>
        <v>136.46831955922866</v>
      </c>
      <c r="E51" s="1463">
        <f t="shared" si="61"/>
        <v>166.73864894795128</v>
      </c>
      <c r="F51" s="1463">
        <f t="shared" si="61"/>
        <v>115.05882352941177</v>
      </c>
      <c r="G51" s="3282">
        <v>2006</v>
      </c>
      <c r="H51" s="1450">
        <v>2</v>
      </c>
      <c r="I51" s="1450">
        <v>0.96</v>
      </c>
      <c r="J51" s="1450">
        <v>0.25</v>
      </c>
      <c r="K51" s="1450">
        <v>1.9</v>
      </c>
      <c r="L51" s="1465">
        <v>0.95</v>
      </c>
      <c r="N51" s="1510">
        <f t="shared" si="58"/>
        <v>1.8352632728861701E-2</v>
      </c>
      <c r="O51" s="1511">
        <f t="shared" si="58"/>
        <v>2.6286459319075526E-3</v>
      </c>
      <c r="P51" s="1511">
        <f t="shared" si="59"/>
        <v>5.4299289107991269E-2</v>
      </c>
      <c r="Q51" s="1511">
        <f t="shared" si="59"/>
        <v>8.9126559714794995E-3</v>
      </c>
      <c r="R51" s="1460"/>
      <c r="S51" s="1458"/>
      <c r="T51" s="1459"/>
      <c r="U51" s="1459"/>
      <c r="V51" s="1459"/>
      <c r="X51" s="1512"/>
      <c r="Y51" s="1512"/>
      <c r="Z51" s="1512"/>
    </row>
    <row r="52" spans="1:26">
      <c r="A52" s="1446" t="s">
        <v>1195</v>
      </c>
      <c r="B52" s="1463">
        <f t="shared" si="60"/>
        <v>144.04145728643215</v>
      </c>
      <c r="C52" s="1463">
        <f t="shared" si="60"/>
        <v>136.12396694214877</v>
      </c>
      <c r="D52" s="1463">
        <f t="shared" si="34"/>
        <v>136.12396694214877</v>
      </c>
      <c r="E52" s="1463">
        <f t="shared" si="61"/>
        <v>158.32225913621264</v>
      </c>
      <c r="F52" s="1463">
        <f t="shared" si="61"/>
        <v>114.04278074866311</v>
      </c>
      <c r="G52" s="3283">
        <v>2006</v>
      </c>
      <c r="H52" s="1449">
        <v>1</v>
      </c>
      <c r="I52" s="1449">
        <v>2.29</v>
      </c>
      <c r="J52" s="1449">
        <v>3.72</v>
      </c>
      <c r="K52" s="1449">
        <v>0.75</v>
      </c>
      <c r="L52" s="1464">
        <v>0.04</v>
      </c>
      <c r="N52" s="1513">
        <f t="shared" si="58"/>
        <v>4.3778675988638847E-2</v>
      </c>
      <c r="O52" s="1514">
        <f t="shared" si="58"/>
        <v>3.9114251466784385E-2</v>
      </c>
      <c r="P52" s="1514">
        <f t="shared" si="59"/>
        <v>2.1433929911049188E-2</v>
      </c>
      <c r="Q52" s="1514">
        <f t="shared" si="59"/>
        <v>3.7526972511492629E-4</v>
      </c>
      <c r="R52" s="1460"/>
      <c r="S52" s="1466">
        <f>B52/B53-1</f>
        <v>4.3778675988638716E-2</v>
      </c>
      <c r="T52" s="1467">
        <f>C52/C53-1</f>
        <v>3.91142514667846E-2</v>
      </c>
      <c r="U52" s="1467">
        <f>E52/E53-1</f>
        <v>2.143392991104931E-2</v>
      </c>
      <c r="V52" s="1467">
        <f>F52/F53-1</f>
        <v>3.7526972511492396E-4</v>
      </c>
      <c r="X52" s="1512"/>
      <c r="Y52" s="1512"/>
      <c r="Z52" s="1512"/>
    </row>
    <row r="53" spans="1:26" ht="13.5" thickBot="1">
      <c r="A53" s="1446" t="s">
        <v>1196</v>
      </c>
      <c r="B53" s="1476">
        <v>138</v>
      </c>
      <c r="C53" s="1476">
        <v>131</v>
      </c>
      <c r="D53" s="1476">
        <f t="shared" si="34"/>
        <v>131</v>
      </c>
      <c r="E53" s="1476">
        <v>155</v>
      </c>
      <c r="F53" s="1477">
        <v>114</v>
      </c>
      <c r="G53" s="3281">
        <v>2005</v>
      </c>
      <c r="H53" s="1468">
        <v>4</v>
      </c>
      <c r="I53" s="1468">
        <v>3.29</v>
      </c>
      <c r="J53" s="1468">
        <v>1.44</v>
      </c>
      <c r="K53" s="1468">
        <v>0.66</v>
      </c>
      <c r="L53" s="1469">
        <v>7.78</v>
      </c>
      <c r="N53" s="1510">
        <f t="shared" ref="N53:O56" si="62">I53/SUM(I$53:I$56)*(B$53/B$57-1)</f>
        <v>9.9404603216919935E-2</v>
      </c>
      <c r="O53" s="1511">
        <f t="shared" si="62"/>
        <v>4.7636550760861554E-2</v>
      </c>
      <c r="P53" s="1511">
        <f t="shared" ref="P53:Q56" si="63">K53/SUM(K$53:K$56)*(E$53/E$57-1)</f>
        <v>8.3756345177664976E-2</v>
      </c>
      <c r="Q53" s="1511">
        <f t="shared" si="63"/>
        <v>5.2148766661559584E-2</v>
      </c>
      <c r="R53" s="1460"/>
      <c r="S53" s="1461"/>
      <c r="T53" s="1462"/>
      <c r="U53" s="1462"/>
      <c r="V53" s="1462"/>
      <c r="X53" s="1512"/>
      <c r="Y53" s="1512"/>
      <c r="Z53" s="1512"/>
    </row>
    <row r="54" spans="1:26">
      <c r="A54" s="1446" t="s">
        <v>1197</v>
      </c>
      <c r="B54" s="1463">
        <f t="shared" ref="B54:C56" si="64">B55+(B$53-B$57)*I54/SUM(I$53:I$56)</f>
        <v>125.9720430107527</v>
      </c>
      <c r="C54" s="1463">
        <f t="shared" si="64"/>
        <v>125.1883408071749</v>
      </c>
      <c r="D54" s="1463">
        <f t="shared" si="34"/>
        <v>125.1883408071749</v>
      </c>
      <c r="E54" s="1463">
        <f t="shared" ref="E54:F56" si="65">E55+(E$53-E$57)*K54/SUM(K$53:K$56)</f>
        <v>144.61421319796952</v>
      </c>
      <c r="F54" s="1463">
        <f t="shared" si="65"/>
        <v>108.42008196721311</v>
      </c>
      <c r="G54" s="3282">
        <v>2005</v>
      </c>
      <c r="H54" s="1473">
        <v>3</v>
      </c>
      <c r="I54" s="1473">
        <v>0.46</v>
      </c>
      <c r="J54" s="1473">
        <v>0.32</v>
      </c>
      <c r="K54" s="1473">
        <v>0.42</v>
      </c>
      <c r="L54" s="1474">
        <v>0.64</v>
      </c>
      <c r="N54" s="1510">
        <f t="shared" si="62"/>
        <v>1.3898515951301874E-2</v>
      </c>
      <c r="O54" s="1511">
        <f t="shared" si="62"/>
        <v>1.0585900169080346E-2</v>
      </c>
      <c r="P54" s="1511">
        <f t="shared" si="63"/>
        <v>5.3299492385786795E-2</v>
      </c>
      <c r="Q54" s="1511">
        <f t="shared" si="63"/>
        <v>4.2898728359123568E-3</v>
      </c>
      <c r="R54" s="1460"/>
      <c r="S54" s="1458"/>
      <c r="T54" s="1459"/>
      <c r="U54" s="1459"/>
      <c r="V54" s="1459"/>
      <c r="X54" s="1512"/>
      <c r="Y54" s="1512"/>
      <c r="Z54" s="1512"/>
    </row>
    <row r="55" spans="1:26">
      <c r="A55" s="1446" t="s">
        <v>1198</v>
      </c>
      <c r="B55" s="1463">
        <f t="shared" si="64"/>
        <v>124.29032258064517</v>
      </c>
      <c r="C55" s="1463">
        <f t="shared" si="64"/>
        <v>123.8968609865471</v>
      </c>
      <c r="D55" s="1463">
        <f t="shared" si="34"/>
        <v>123.8968609865471</v>
      </c>
      <c r="E55" s="1463">
        <f t="shared" si="65"/>
        <v>138.00507614213197</v>
      </c>
      <c r="F55" s="1463">
        <f t="shared" si="65"/>
        <v>107.96106557377048</v>
      </c>
      <c r="G55" s="3282">
        <v>2005</v>
      </c>
      <c r="H55" s="1450">
        <v>2</v>
      </c>
      <c r="I55" s="1450">
        <v>0.47</v>
      </c>
      <c r="J55" s="1450">
        <v>0.1</v>
      </c>
      <c r="K55" s="1450">
        <v>0.52</v>
      </c>
      <c r="L55" s="1465">
        <v>0.79</v>
      </c>
      <c r="N55" s="1510">
        <f t="shared" si="62"/>
        <v>1.420065760241713E-2</v>
      </c>
      <c r="O55" s="1511">
        <f t="shared" si="62"/>
        <v>3.3080938028376083E-3</v>
      </c>
      <c r="P55" s="1511">
        <f t="shared" si="63"/>
        <v>6.598984771573603E-2</v>
      </c>
      <c r="Q55" s="1511">
        <f t="shared" si="63"/>
        <v>5.2953117818293153E-3</v>
      </c>
      <c r="R55" s="1460"/>
      <c r="S55" s="1458"/>
      <c r="T55" s="1459"/>
      <c r="U55" s="1459"/>
      <c r="V55" s="1459"/>
      <c r="X55" s="1512"/>
      <c r="Y55" s="1512"/>
      <c r="Z55" s="1512"/>
    </row>
    <row r="56" spans="1:26">
      <c r="A56" s="1446" t="s">
        <v>1199</v>
      </c>
      <c r="B56" s="1463">
        <f t="shared" si="64"/>
        <v>122.57204301075269</v>
      </c>
      <c r="C56" s="1463">
        <f t="shared" si="64"/>
        <v>123.4932735426009</v>
      </c>
      <c r="D56" s="1463">
        <f t="shared" si="34"/>
        <v>123.4932735426009</v>
      </c>
      <c r="E56" s="1463">
        <f t="shared" si="65"/>
        <v>129.82233502538071</v>
      </c>
      <c r="F56" s="1463">
        <f t="shared" si="65"/>
        <v>107.39446721311475</v>
      </c>
      <c r="G56" s="3283">
        <v>2005</v>
      </c>
      <c r="H56" s="1449">
        <v>1</v>
      </c>
      <c r="I56" s="1449">
        <v>0.43</v>
      </c>
      <c r="J56" s="1449">
        <v>0.37</v>
      </c>
      <c r="K56" s="1449">
        <v>0.37</v>
      </c>
      <c r="L56" s="1464">
        <v>0.55000000000000004</v>
      </c>
      <c r="N56" s="1513">
        <f t="shared" si="62"/>
        <v>1.2992090997956099E-2</v>
      </c>
      <c r="O56" s="1514">
        <f t="shared" si="62"/>
        <v>1.2239947070499151E-2</v>
      </c>
      <c r="P56" s="1514">
        <f t="shared" si="63"/>
        <v>4.6954314720812178E-2</v>
      </c>
      <c r="Q56" s="1514">
        <f t="shared" si="63"/>
        <v>3.6866094683621815E-3</v>
      </c>
      <c r="R56" s="1460"/>
      <c r="S56" s="1466">
        <f>B56/B57-1</f>
        <v>1.2992090997956174E-2</v>
      </c>
      <c r="T56" s="1467">
        <f>C56/C57-1</f>
        <v>1.2239947070499246E-2</v>
      </c>
      <c r="U56" s="1467">
        <f>E56/E57-1</f>
        <v>4.695431472081224E-2</v>
      </c>
      <c r="V56" s="1467">
        <f>F56/F57-1</f>
        <v>3.6866094683620787E-3</v>
      </c>
      <c r="X56" s="1512"/>
      <c r="Y56" s="1512"/>
      <c r="Z56" s="1512"/>
    </row>
    <row r="57" spans="1:26" ht="13.5" thickBot="1">
      <c r="A57" s="1446" t="s">
        <v>1200</v>
      </c>
      <c r="B57" s="1497">
        <v>121</v>
      </c>
      <c r="C57" s="1497">
        <v>122</v>
      </c>
      <c r="D57" s="1497">
        <f t="shared" si="34"/>
        <v>122</v>
      </c>
      <c r="E57" s="1497">
        <v>124</v>
      </c>
      <c r="F57" s="1498">
        <v>107</v>
      </c>
      <c r="G57" s="3281">
        <v>2004</v>
      </c>
      <c r="H57" s="1468">
        <v>4</v>
      </c>
      <c r="I57" s="1468">
        <v>0.33</v>
      </c>
      <c r="J57" s="1468">
        <v>0.5</v>
      </c>
      <c r="K57" s="1468">
        <v>0.5</v>
      </c>
      <c r="L57" s="1469">
        <v>0</v>
      </c>
      <c r="N57" s="1510">
        <f t="shared" ref="N57:O60" si="66">I57/SUM(I$57:I$60)*(B$57/B$61-1)</f>
        <v>1.3391770148526898E-2</v>
      </c>
      <c r="O57" s="1511">
        <f t="shared" si="66"/>
        <v>1.063264221158958E-2</v>
      </c>
      <c r="P57" s="1511">
        <f t="shared" ref="P57:Q60" si="67">K57/SUM(K$57:K$60)*(E$57/E$61-1)</f>
        <v>2.2244466688911134E-2</v>
      </c>
      <c r="Q57" s="1511">
        <f t="shared" si="67"/>
        <v>0</v>
      </c>
      <c r="R57" s="1460"/>
      <c r="S57" s="1461"/>
      <c r="T57" s="1462"/>
      <c r="U57" s="1462"/>
      <c r="V57" s="1462"/>
      <c r="X57" s="1512"/>
      <c r="Y57" s="1512"/>
      <c r="Z57" s="1512"/>
    </row>
    <row r="58" spans="1:26">
      <c r="A58" s="1446" t="s">
        <v>1201</v>
      </c>
      <c r="B58" s="1463">
        <f t="shared" ref="B58:C60" si="68">B59+(B$57-B$61)*I58/SUM(I$57:I$60)</f>
        <v>119.51351351351352</v>
      </c>
      <c r="C58" s="1463">
        <f t="shared" si="68"/>
        <v>120.7878787878788</v>
      </c>
      <c r="D58" s="1463">
        <f t="shared" si="34"/>
        <v>120.7878787878788</v>
      </c>
      <c r="E58" s="1463">
        <f t="shared" ref="E58:F60" si="69">E59+(E$57-E$61)*K58/SUM(K$57:K$60)</f>
        <v>121.5975975975976</v>
      </c>
      <c r="F58" s="1463">
        <f t="shared" si="69"/>
        <v>107</v>
      </c>
      <c r="G58" s="3282">
        <v>2004</v>
      </c>
      <c r="H58" s="1473">
        <v>3</v>
      </c>
      <c r="I58" s="1473">
        <v>0.56000000000000005</v>
      </c>
      <c r="J58" s="1473">
        <v>0.8</v>
      </c>
      <c r="K58" s="1473">
        <v>0.83</v>
      </c>
      <c r="L58" s="1474">
        <v>0.06</v>
      </c>
      <c r="N58" s="1510">
        <f t="shared" si="66"/>
        <v>2.2725428130833527E-2</v>
      </c>
      <c r="O58" s="1511">
        <f t="shared" si="66"/>
        <v>1.7012227538543329E-2</v>
      </c>
      <c r="P58" s="1511">
        <f t="shared" si="67"/>
        <v>3.6925814703592477E-2</v>
      </c>
      <c r="Q58" s="1511">
        <f t="shared" si="67"/>
        <v>2.8846153846153744E-2</v>
      </c>
      <c r="R58" s="1460"/>
      <c r="S58" s="1458"/>
      <c r="T58" s="1459"/>
      <c r="U58" s="1459"/>
      <c r="V58" s="1459"/>
      <c r="X58" s="1512"/>
      <c r="Y58" s="1512"/>
      <c r="Z58" s="1512"/>
    </row>
    <row r="59" spans="1:26">
      <c r="A59" s="1446" t="s">
        <v>1202</v>
      </c>
      <c r="B59" s="1463">
        <f t="shared" si="68"/>
        <v>116.99099099099099</v>
      </c>
      <c r="C59" s="1463">
        <f t="shared" si="68"/>
        <v>118.84848484848486</v>
      </c>
      <c r="D59" s="1463">
        <f t="shared" si="34"/>
        <v>118.84848484848486</v>
      </c>
      <c r="E59" s="1463">
        <f t="shared" si="69"/>
        <v>117.60960960960961</v>
      </c>
      <c r="F59" s="1463">
        <f t="shared" si="69"/>
        <v>104</v>
      </c>
      <c r="G59" s="3282">
        <v>2004</v>
      </c>
      <c r="H59" s="1450">
        <v>2</v>
      </c>
      <c r="I59" s="1450">
        <v>1</v>
      </c>
      <c r="J59" s="1450">
        <v>1.5</v>
      </c>
      <c r="K59" s="1450">
        <v>1.5</v>
      </c>
      <c r="L59" s="1465">
        <v>0</v>
      </c>
      <c r="N59" s="1510">
        <f t="shared" si="66"/>
        <v>4.0581121662202721E-2</v>
      </c>
      <c r="O59" s="1511">
        <f t="shared" si="66"/>
        <v>3.1897926634768738E-2</v>
      </c>
      <c r="P59" s="1511">
        <f t="shared" si="67"/>
        <v>6.6733400066733395E-2</v>
      </c>
      <c r="Q59" s="1511">
        <f t="shared" si="67"/>
        <v>0</v>
      </c>
      <c r="R59" s="1460"/>
      <c r="S59" s="1458"/>
      <c r="T59" s="1459"/>
      <c r="U59" s="1459"/>
      <c r="V59" s="1459"/>
      <c r="X59" s="1512"/>
      <c r="Y59" s="1512"/>
      <c r="Z59" s="1512"/>
    </row>
    <row r="60" spans="1:26" s="1503" customFormat="1" ht="13.5" thickBot="1">
      <c r="A60" s="1446" t="s">
        <v>1203</v>
      </c>
      <c r="B60" s="1500">
        <f t="shared" si="68"/>
        <v>112.48648648648648</v>
      </c>
      <c r="C60" s="1500">
        <f t="shared" si="68"/>
        <v>115.21212121212122</v>
      </c>
      <c r="D60" s="1500">
        <f t="shared" si="34"/>
        <v>115.21212121212122</v>
      </c>
      <c r="E60" s="1500">
        <f t="shared" si="69"/>
        <v>110.4024024024024</v>
      </c>
      <c r="F60" s="1500">
        <f t="shared" si="69"/>
        <v>104</v>
      </c>
      <c r="G60" s="3283">
        <v>2004</v>
      </c>
      <c r="H60" s="1501">
        <v>1</v>
      </c>
      <c r="I60" s="1501">
        <v>0.33</v>
      </c>
      <c r="J60" s="1501">
        <v>0.5</v>
      </c>
      <c r="K60" s="1501">
        <v>0.5</v>
      </c>
      <c r="L60" s="1502">
        <v>0</v>
      </c>
      <c r="N60" s="1515">
        <f t="shared" si="66"/>
        <v>1.3391770148526898E-2</v>
      </c>
      <c r="O60" s="1516">
        <f t="shared" si="66"/>
        <v>1.063264221158958E-2</v>
      </c>
      <c r="P60" s="1516">
        <f t="shared" si="67"/>
        <v>2.2244466688911134E-2</v>
      </c>
      <c r="Q60" s="1516">
        <f t="shared" si="67"/>
        <v>0</v>
      </c>
      <c r="R60" s="1506"/>
      <c r="S60" s="1504">
        <f>B60/B61-1</f>
        <v>1.3391770148526883E-2</v>
      </c>
      <c r="T60" s="1505">
        <f>C60/C61-1</f>
        <v>1.063264221158966E-2</v>
      </c>
      <c r="U60" s="1505">
        <f>E60/E61-1</f>
        <v>2.2244466688911224E-2</v>
      </c>
      <c r="V60" s="1505">
        <f>F60/F61-1</f>
        <v>0</v>
      </c>
      <c r="X60" s="1517"/>
      <c r="Y60" s="1517"/>
      <c r="Z60" s="1517"/>
    </row>
    <row r="61" spans="1:26" ht="13.5" thickBot="1">
      <c r="A61" s="1446" t="s">
        <v>1204</v>
      </c>
      <c r="B61" s="1518">
        <v>111</v>
      </c>
      <c r="C61" s="1518">
        <v>114</v>
      </c>
      <c r="D61" s="1518">
        <f t="shared" si="34"/>
        <v>114</v>
      </c>
      <c r="E61" s="1518">
        <v>108</v>
      </c>
      <c r="F61" s="1519">
        <v>104</v>
      </c>
      <c r="G61" s="3281">
        <v>2003</v>
      </c>
      <c r="H61" s="1508">
        <v>4</v>
      </c>
      <c r="I61" s="1520"/>
      <c r="J61" s="1520"/>
      <c r="K61" s="1520"/>
      <c r="L61" s="1520"/>
      <c r="N61" s="1521"/>
      <c r="O61" s="1520"/>
      <c r="P61" s="1520"/>
      <c r="Q61" s="1520"/>
      <c r="S61" s="1521"/>
      <c r="T61" s="1520"/>
      <c r="U61" s="1520"/>
      <c r="V61" s="1520"/>
      <c r="X61" s="1512"/>
      <c r="Y61" s="1512"/>
      <c r="Z61" s="1512"/>
    </row>
    <row r="62" spans="1:26">
      <c r="A62" s="1446" t="s">
        <v>1205</v>
      </c>
      <c r="B62" s="1522">
        <f t="shared" ref="B62:C64" si="70">B63+(B$61-B$65)/4</f>
        <v>109.75</v>
      </c>
      <c r="C62" s="1522">
        <f t="shared" si="70"/>
        <v>112.25</v>
      </c>
      <c r="D62" s="1522">
        <f t="shared" si="34"/>
        <v>112.25</v>
      </c>
      <c r="E62" s="1522">
        <f t="shared" ref="E62:F64" si="71">E63+(E$61-E$65)/4</f>
        <v>107.25</v>
      </c>
      <c r="F62" s="1522">
        <f t="shared" si="71"/>
        <v>103.5</v>
      </c>
      <c r="G62" s="3282">
        <v>2003</v>
      </c>
      <c r="H62" s="1473">
        <v>3</v>
      </c>
      <c r="I62" s="1520"/>
      <c r="J62" s="1520"/>
      <c r="K62" s="1520"/>
      <c r="L62" s="1520"/>
      <c r="X62" s="1512"/>
      <c r="Y62" s="1512"/>
      <c r="Z62" s="1512"/>
    </row>
    <row r="63" spans="1:26">
      <c r="A63" s="1446" t="s">
        <v>1206</v>
      </c>
      <c r="B63" s="1522">
        <f t="shared" si="70"/>
        <v>108.5</v>
      </c>
      <c r="C63" s="1522">
        <f t="shared" si="70"/>
        <v>110.5</v>
      </c>
      <c r="D63" s="1522">
        <f t="shared" si="34"/>
        <v>110.5</v>
      </c>
      <c r="E63" s="1522">
        <f t="shared" si="71"/>
        <v>106.5</v>
      </c>
      <c r="F63" s="1522">
        <f t="shared" si="71"/>
        <v>103</v>
      </c>
      <c r="G63" s="3282">
        <v>2003</v>
      </c>
      <c r="H63" s="1450">
        <v>2</v>
      </c>
      <c r="I63" s="1520"/>
      <c r="J63" s="1520"/>
      <c r="K63" s="1520"/>
      <c r="L63" s="1520"/>
      <c r="X63" s="1512"/>
      <c r="Y63" s="1512"/>
      <c r="Z63" s="1512"/>
    </row>
    <row r="64" spans="1:26" ht="13.5" thickBot="1">
      <c r="A64" s="1446" t="s">
        <v>1207</v>
      </c>
      <c r="B64" s="1522">
        <f t="shared" si="70"/>
        <v>107.25</v>
      </c>
      <c r="C64" s="1522">
        <f t="shared" si="70"/>
        <v>108.75</v>
      </c>
      <c r="D64" s="1522">
        <f t="shared" si="34"/>
        <v>108.75</v>
      </c>
      <c r="E64" s="1522">
        <f t="shared" si="71"/>
        <v>105.75</v>
      </c>
      <c r="F64" s="1522">
        <f t="shared" si="71"/>
        <v>102.5</v>
      </c>
      <c r="G64" s="3283">
        <v>2003</v>
      </c>
      <c r="H64" s="1523">
        <v>1</v>
      </c>
      <c r="I64" s="1520"/>
      <c r="J64" s="1520"/>
      <c r="K64" s="1520"/>
      <c r="L64" s="1520"/>
      <c r="S64" s="1458"/>
      <c r="T64" s="1459"/>
      <c r="U64" s="1459"/>
      <c r="X64" s="1512"/>
      <c r="Y64" s="1512"/>
      <c r="Z64" s="1512"/>
    </row>
    <row r="65" spans="1:26" ht="13.5" thickBot="1">
      <c r="A65" s="1446" t="s">
        <v>1208</v>
      </c>
      <c r="B65" s="1524">
        <v>106</v>
      </c>
      <c r="C65" s="1524">
        <v>107</v>
      </c>
      <c r="D65" s="1524">
        <f t="shared" si="34"/>
        <v>107</v>
      </c>
      <c r="E65" s="1524">
        <v>105</v>
      </c>
      <c r="F65" s="1525">
        <v>102</v>
      </c>
      <c r="G65" s="3281">
        <v>2002</v>
      </c>
      <c r="H65" s="1468">
        <v>4</v>
      </c>
      <c r="I65" s="1520"/>
      <c r="J65" s="1520"/>
      <c r="K65" s="1520"/>
      <c r="L65" s="1520"/>
      <c r="N65" s="1521"/>
      <c r="O65" s="1520"/>
      <c r="P65" s="1520"/>
      <c r="Q65" s="1520"/>
      <c r="S65" s="1521"/>
      <c r="T65" s="1520"/>
      <c r="U65" s="1520"/>
      <c r="V65" s="1520"/>
      <c r="X65" s="1512"/>
      <c r="Y65" s="1512"/>
      <c r="Z65" s="1512"/>
    </row>
    <row r="66" spans="1:26">
      <c r="A66" s="1446" t="s">
        <v>1209</v>
      </c>
      <c r="B66" s="1522">
        <f t="shared" ref="B66:C68" si="72">B67+(B$65-B$69)/4</f>
        <v>105</v>
      </c>
      <c r="C66" s="1522">
        <f t="shared" si="72"/>
        <v>106</v>
      </c>
      <c r="D66" s="1522">
        <f t="shared" si="34"/>
        <v>106</v>
      </c>
      <c r="E66" s="1522">
        <f t="shared" ref="E66:F68" si="73">E67+(E$65-E$69)/4</f>
        <v>104.5</v>
      </c>
      <c r="F66" s="1522">
        <f t="shared" si="73"/>
        <v>101.5</v>
      </c>
      <c r="G66" s="3282">
        <v>2002</v>
      </c>
      <c r="H66" s="1473">
        <v>3</v>
      </c>
      <c r="I66" s="1520"/>
      <c r="J66" s="1520"/>
      <c r="K66" s="1520"/>
      <c r="L66" s="1520"/>
      <c r="X66" s="1512"/>
      <c r="Y66" s="1512"/>
      <c r="Z66" s="1512"/>
    </row>
    <row r="67" spans="1:26">
      <c r="A67" s="1446" t="s">
        <v>1210</v>
      </c>
      <c r="B67" s="1522">
        <f t="shared" si="72"/>
        <v>104</v>
      </c>
      <c r="C67" s="1522">
        <f t="shared" si="72"/>
        <v>105</v>
      </c>
      <c r="D67" s="1522">
        <f t="shared" si="34"/>
        <v>105</v>
      </c>
      <c r="E67" s="1522">
        <f t="shared" si="73"/>
        <v>104</v>
      </c>
      <c r="F67" s="1522">
        <f t="shared" si="73"/>
        <v>101</v>
      </c>
      <c r="G67" s="3282">
        <v>2002</v>
      </c>
      <c r="H67" s="1450">
        <v>2</v>
      </c>
      <c r="I67" s="1520"/>
      <c r="J67" s="1520"/>
      <c r="K67" s="1520"/>
      <c r="L67" s="1520"/>
      <c r="X67" s="1512"/>
      <c r="Y67" s="1512"/>
      <c r="Z67" s="1512"/>
    </row>
    <row r="68" spans="1:26" s="1484" customFormat="1" ht="13.5" thickBot="1">
      <c r="A68" s="1480" t="s">
        <v>1211</v>
      </c>
      <c r="B68" s="1526">
        <f t="shared" si="72"/>
        <v>103</v>
      </c>
      <c r="C68" s="1526">
        <f t="shared" si="72"/>
        <v>104</v>
      </c>
      <c r="D68" s="1526">
        <f t="shared" si="34"/>
        <v>104</v>
      </c>
      <c r="E68" s="1526">
        <f t="shared" si="73"/>
        <v>103.5</v>
      </c>
      <c r="F68" s="1526">
        <f t="shared" si="73"/>
        <v>100.5</v>
      </c>
      <c r="G68" s="3283">
        <v>2002</v>
      </c>
      <c r="H68" s="1527">
        <v>1</v>
      </c>
      <c r="I68" s="1528"/>
      <c r="J68" s="1528"/>
      <c r="K68" s="1528"/>
      <c r="L68" s="1528"/>
      <c r="N68" s="1529"/>
      <c r="S68" s="1529"/>
      <c r="X68" s="1530"/>
      <c r="Y68" s="1530"/>
      <c r="Z68" s="1530"/>
    </row>
    <row r="69" spans="1:26" ht="13.5" thickBot="1">
      <c r="B69" s="1531">
        <v>102</v>
      </c>
      <c r="C69" s="1532">
        <v>103</v>
      </c>
      <c r="D69" s="1532">
        <f t="shared" si="34"/>
        <v>103</v>
      </c>
      <c r="E69" s="1532">
        <v>103</v>
      </c>
      <c r="F69" s="1533">
        <v>100</v>
      </c>
      <c r="I69" s="1520"/>
      <c r="J69" s="1520"/>
      <c r="K69" s="1520"/>
      <c r="L69" s="1520"/>
      <c r="N69" s="1521"/>
      <c r="O69" s="1520"/>
      <c r="P69" s="1520"/>
      <c r="Q69" s="1520"/>
      <c r="S69" s="1521"/>
      <c r="T69" s="1520"/>
      <c r="U69" s="1520"/>
      <c r="V69" s="1520"/>
      <c r="X69" s="1462"/>
      <c r="Y69" s="1462"/>
      <c r="Z69" s="1462"/>
    </row>
    <row r="71" spans="1:26" s="1535" customFormat="1">
      <c r="A71" s="1534" t="s">
        <v>1212</v>
      </c>
      <c r="G71" s="1536"/>
      <c r="N71" s="1536"/>
      <c r="S71" s="1536"/>
    </row>
    <row r="72" spans="1:26" s="1535" customFormat="1">
      <c r="A72" s="1535" t="s">
        <v>1213</v>
      </c>
      <c r="G72" s="1536"/>
      <c r="N72" s="1536"/>
      <c r="S72" s="1536"/>
    </row>
    <row r="73" spans="1:26" s="1535" customFormat="1">
      <c r="A73" s="1535" t="s">
        <v>1214</v>
      </c>
      <c r="G73" s="1536"/>
      <c r="I73" s="1537"/>
      <c r="J73" s="1537"/>
      <c r="K73" s="1537"/>
      <c r="L73" s="1537"/>
      <c r="N73" s="1538"/>
      <c r="O73" s="1537"/>
      <c r="P73" s="1537"/>
      <c r="Q73" s="1537"/>
      <c r="S73" s="1538"/>
      <c r="T73" s="1537"/>
      <c r="U73" s="1537"/>
      <c r="V73" s="1537"/>
    </row>
    <row r="74" spans="1:26" s="1535" customFormat="1">
      <c r="A74" s="1535" t="s">
        <v>1215</v>
      </c>
      <c r="G74" s="1536"/>
      <c r="N74" s="1536"/>
      <c r="S74" s="1536"/>
    </row>
    <row r="81" spans="7:22" ht="13.5" thickBot="1"/>
    <row r="82" spans="7:22">
      <c r="G82" s="1457"/>
      <c r="S82" s="1539" t="s">
        <v>1216</v>
      </c>
      <c r="T82" s="1540" t="s">
        <v>1217</v>
      </c>
      <c r="U82" s="1540" t="s">
        <v>1218</v>
      </c>
      <c r="V82" s="1540" t="s">
        <v>1219</v>
      </c>
    </row>
    <row r="83" spans="7:22">
      <c r="G83" s="1457"/>
      <c r="N83" s="1461"/>
      <c r="O83" s="1462"/>
      <c r="P83" s="1462"/>
      <c r="Q83" s="1462"/>
      <c r="S83" s="1541">
        <v>2006</v>
      </c>
      <c r="T83" s="1542">
        <v>15.1</v>
      </c>
      <c r="U83" s="1542">
        <v>7.43</v>
      </c>
      <c r="V83" s="1542">
        <v>26.26</v>
      </c>
    </row>
    <row r="84" spans="7:22">
      <c r="G84" s="1457"/>
      <c r="N84" s="1461"/>
      <c r="O84" s="1462"/>
      <c r="P84" s="1462"/>
      <c r="Q84" s="1462"/>
      <c r="S84" s="1543">
        <v>2005</v>
      </c>
      <c r="T84" s="1544">
        <v>13.9</v>
      </c>
      <c r="U84" s="1544">
        <v>7.49</v>
      </c>
      <c r="V84" s="1544">
        <v>24.92</v>
      </c>
    </row>
    <row r="85" spans="7:22">
      <c r="G85" s="1457"/>
      <c r="N85" s="1461"/>
      <c r="O85" s="1462"/>
      <c r="P85" s="1462"/>
      <c r="Q85" s="1462"/>
      <c r="S85" s="1541">
        <v>2004</v>
      </c>
      <c r="T85" s="1542">
        <v>9.48</v>
      </c>
      <c r="U85" s="1542">
        <v>7.2</v>
      </c>
      <c r="V85" s="1542">
        <v>14.68</v>
      </c>
    </row>
    <row r="86" spans="7:22">
      <c r="G86" s="1457"/>
      <c r="N86" s="1461"/>
      <c r="O86" s="1462"/>
      <c r="P86" s="1462"/>
      <c r="Q86" s="1462"/>
      <c r="S86" s="1543">
        <v>2003</v>
      </c>
      <c r="T86" s="1544">
        <v>4.5</v>
      </c>
      <c r="U86" s="1544">
        <v>6.12</v>
      </c>
      <c r="V86" s="1544">
        <v>2.34</v>
      </c>
    </row>
    <row r="87" spans="7:22" ht="13.5" thickBot="1">
      <c r="G87" s="1457"/>
      <c r="N87" s="1461"/>
      <c r="O87" s="1462"/>
      <c r="P87" s="1462"/>
      <c r="Q87" s="1462"/>
      <c r="S87" s="1545">
        <v>2002</v>
      </c>
      <c r="T87" s="1546">
        <v>3.59</v>
      </c>
      <c r="U87" s="1546">
        <v>4.54</v>
      </c>
      <c r="V87" s="1546">
        <v>2.5499999999999998</v>
      </c>
    </row>
    <row r="88" spans="7:22">
      <c r="G88" s="1457"/>
      <c r="N88" s="1461"/>
      <c r="O88" s="1462"/>
      <c r="P88" s="1462"/>
      <c r="Q88" s="1462"/>
    </row>
    <row r="89" spans="7:22">
      <c r="G89" s="1457"/>
      <c r="N89" s="1461"/>
      <c r="O89" s="1462"/>
      <c r="P89" s="1462"/>
      <c r="Q89" s="1462"/>
    </row>
    <row r="90" spans="7:22">
      <c r="G90" s="1457"/>
      <c r="N90" s="1461"/>
      <c r="O90" s="1462"/>
      <c r="P90" s="1462"/>
      <c r="Q90" s="1462"/>
    </row>
    <row r="91" spans="7:22">
      <c r="G91" s="1457"/>
      <c r="N91" s="1461"/>
      <c r="O91" s="1462"/>
      <c r="P91" s="1462"/>
      <c r="Q91" s="1462"/>
    </row>
    <row r="92" spans="7:22">
      <c r="G92" s="1457"/>
      <c r="N92" s="1461"/>
      <c r="O92" s="1462"/>
      <c r="P92" s="1462"/>
      <c r="Q92" s="1462"/>
    </row>
    <row r="93" spans="7:22">
      <c r="G93" s="1457"/>
      <c r="N93" s="1461"/>
      <c r="O93" s="1462"/>
      <c r="P93" s="1462"/>
      <c r="Q93" s="1462"/>
    </row>
    <row r="94" spans="7:22">
      <c r="G94" s="1457"/>
      <c r="N94" s="1461"/>
      <c r="O94" s="1462"/>
      <c r="P94" s="1462"/>
      <c r="Q94" s="1462"/>
    </row>
    <row r="95" spans="7:22">
      <c r="G95" s="1457"/>
      <c r="N95" s="1461"/>
      <c r="O95" s="1462"/>
      <c r="P95" s="1462"/>
      <c r="Q95" s="1462"/>
    </row>
    <row r="96" spans="7:22">
      <c r="G96" s="1457"/>
      <c r="N96" s="1461"/>
      <c r="O96" s="1462"/>
      <c r="P96" s="1462"/>
      <c r="Q96" s="1462"/>
    </row>
    <row r="97" spans="7:19">
      <c r="G97" s="1457"/>
      <c r="N97" s="1461"/>
      <c r="O97" s="1462"/>
      <c r="P97" s="1462"/>
      <c r="Q97" s="1462"/>
    </row>
    <row r="98" spans="7:19">
      <c r="G98" s="1457"/>
      <c r="N98" s="1461"/>
      <c r="O98" s="1462"/>
      <c r="P98" s="1462"/>
      <c r="Q98" s="1462"/>
      <c r="S98" s="1457"/>
    </row>
    <row r="99" spans="7:19">
      <c r="G99" s="1457"/>
      <c r="N99" s="1461"/>
      <c r="O99" s="1462"/>
      <c r="P99" s="1462"/>
      <c r="Q99" s="1462"/>
      <c r="S99" s="1457"/>
    </row>
    <row r="100" spans="7:19">
      <c r="G100" s="1457"/>
      <c r="N100" s="1461"/>
      <c r="O100" s="1462"/>
      <c r="P100" s="1462"/>
      <c r="Q100" s="1462"/>
      <c r="S100" s="1457"/>
    </row>
    <row r="101" spans="7:19">
      <c r="G101" s="1457"/>
      <c r="N101" s="1461"/>
      <c r="O101" s="1462"/>
      <c r="P101" s="1462"/>
      <c r="Q101" s="1462"/>
      <c r="S101" s="1457"/>
    </row>
    <row r="102" spans="7:19">
      <c r="G102" s="1457"/>
      <c r="N102" s="1461"/>
      <c r="O102" s="1462"/>
      <c r="P102" s="1462"/>
      <c r="Q102" s="1462"/>
      <c r="S102" s="1457"/>
    </row>
    <row r="103" spans="7:19">
      <c r="G103" s="1457"/>
      <c r="N103" s="1461"/>
      <c r="O103" s="1462"/>
      <c r="P103" s="1462"/>
      <c r="Q103" s="1462"/>
      <c r="S103" s="145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E18" sqref="E18"/>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48</v>
      </c>
      <c r="D1" s="1806" t="s">
        <v>70</v>
      </c>
      <c r="E1" s="1807" t="s">
        <v>1388</v>
      </c>
      <c r="F1" s="1268" t="e">
        <f ca="1">J53</f>
        <v>#N/A</v>
      </c>
      <c r="G1" s="182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t="e">
        <f ca="1">C40+J29+L46</f>
        <v>#N/A</v>
      </c>
      <c r="C2" s="1831" t="s">
        <v>1518</v>
      </c>
      <c r="D2" s="1831"/>
      <c r="E2" s="1832"/>
      <c r="F2" s="1833"/>
      <c r="G2" s="1834"/>
      <c r="H2" s="1826"/>
      <c r="I2" s="1826"/>
      <c r="J2" s="1826"/>
      <c r="K2" s="1827"/>
      <c r="L2" s="1826"/>
      <c r="M2" s="1826"/>
    </row>
    <row r="3" spans="1:37" ht="18" customHeight="1" thickBot="1">
      <c r="A3" s="1835" t="s">
        <v>1519</v>
      </c>
      <c r="B3" s="1836">
        <f ca="1">IF(ISERROR(B2*10000/F43),0,ROUND(B2*10000/F43,0))</f>
        <v>0</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t="e">
        <f ca="1">C6+C10+C12</f>
        <v>#N/A</v>
      </c>
      <c r="D5" s="1808" t="s">
        <v>1403</v>
      </c>
      <c r="E5" s="1278"/>
      <c r="F5" s="1279"/>
      <c r="G5" s="1837"/>
      <c r="H5" s="342">
        <v>1</v>
      </c>
      <c r="I5" s="343" t="s">
        <v>1402</v>
      </c>
      <c r="J5" s="1277" t="e">
        <f ca="1">J6+J10+J12</f>
        <v>#N/A</v>
      </c>
      <c r="K5" s="1808" t="s">
        <v>1403</v>
      </c>
      <c r="L5" s="1278"/>
      <c r="M5" s="1279"/>
    </row>
    <row r="6" spans="1:37" ht="18" customHeight="1">
      <c r="A6" s="1276" t="s">
        <v>1035</v>
      </c>
      <c r="B6" s="3199" t="s">
        <v>1404</v>
      </c>
      <c r="C6" s="1281" t="e">
        <f ca="1">ROUND(F6*F8*F7*(1-F9)/10000,0)</f>
        <v>#N/A</v>
      </c>
      <c r="D6" s="162" t="s">
        <v>3029</v>
      </c>
      <c r="E6" s="345" t="s">
        <v>1406</v>
      </c>
      <c r="F6" s="346" t="e">
        <f ca="1">INDIRECT("'数据-取费表'!u"&amp;$G$1)</f>
        <v>#N/A</v>
      </c>
      <c r="G6" s="1837"/>
      <c r="H6" s="1276" t="s">
        <v>1035</v>
      </c>
      <c r="I6" s="3199" t="s">
        <v>1404</v>
      </c>
      <c r="J6" s="344" t="e">
        <f ca="1">ROUND(M6*M8*M7*(1-M9)/10000,0)</f>
        <v>#N/A</v>
      </c>
      <c r="K6" s="162" t="s">
        <v>3028</v>
      </c>
      <c r="L6" s="345" t="s">
        <v>1406</v>
      </c>
      <c r="M6" s="346" t="e">
        <f ca="1">INDIRECT("'数据-取费表'!z"&amp;$G$1)</f>
        <v>#N/A</v>
      </c>
    </row>
    <row r="7" spans="1:37" ht="18" customHeight="1">
      <c r="A7" s="1280"/>
      <c r="B7" s="3200"/>
      <c r="C7" s="1282"/>
      <c r="D7" s="350"/>
      <c r="E7" s="2914" t="s">
        <v>1407</v>
      </c>
      <c r="F7" s="346" t="e">
        <f ca="1">IF(INDIRECT("'数据-取费表'!ah"&amp;$G$1)="",INDIRECT("'数据-取费表'!k"&amp;$G$1),INDIRECT("'数据-取费表'!ah"&amp;$G$1))</f>
        <v>#N/A</v>
      </c>
      <c r="G7" s="1837"/>
      <c r="H7" s="347"/>
      <c r="I7" s="3200"/>
      <c r="J7" s="349"/>
      <c r="K7" s="350"/>
      <c r="L7" s="345" t="s">
        <v>1407</v>
      </c>
      <c r="M7" s="346" t="e">
        <f ca="1">F7</f>
        <v>#N/A</v>
      </c>
    </row>
    <row r="8" spans="1:37" ht="18" customHeight="1">
      <c r="A8" s="347"/>
      <c r="B8" s="3200"/>
      <c r="C8" s="349"/>
      <c r="D8" s="350"/>
      <c r="E8" s="345" t="s">
        <v>1408</v>
      </c>
      <c r="F8" s="346" t="e">
        <f ca="1">INDIRECT("'数据-取费表'!ai"&amp;$G$1)</f>
        <v>#N/A</v>
      </c>
      <c r="G8" s="1837"/>
      <c r="H8" s="347"/>
      <c r="I8" s="3200"/>
      <c r="J8" s="349"/>
      <c r="K8" s="350"/>
      <c r="L8" s="345" t="s">
        <v>1408</v>
      </c>
      <c r="M8" s="346" t="e">
        <f ca="1">INDIRECT("'数据-取费表'!ai"&amp;$G$1)</f>
        <v>#N/A</v>
      </c>
    </row>
    <row r="9" spans="1:37" ht="18" customHeight="1">
      <c r="A9" s="347"/>
      <c r="B9" s="3201"/>
      <c r="C9" s="349"/>
      <c r="D9" s="350"/>
      <c r="E9" s="345" t="s">
        <v>1409</v>
      </c>
      <c r="F9" s="355" t="e">
        <f ca="1">INDIRECT("'数据-取费表'!w"&amp;$G$1)</f>
        <v>#N/A</v>
      </c>
      <c r="G9" s="1837"/>
      <c r="H9" s="347"/>
      <c r="I9" s="3201"/>
      <c r="J9" s="349"/>
      <c r="K9" s="350"/>
      <c r="L9" s="356" t="s">
        <v>1409</v>
      </c>
      <c r="M9" s="357" t="e">
        <f ca="1">INDIRECT("'数据-取费表'!ab"&amp;$G$1)</f>
        <v>#N/A</v>
      </c>
    </row>
    <row r="10" spans="1:37" ht="18" customHeight="1">
      <c r="A10" s="1276" t="s">
        <v>1039</v>
      </c>
      <c r="B10" s="1809" t="s">
        <v>1410</v>
      </c>
      <c r="C10" s="359" t="e">
        <f ca="1">ROUND(IF(F10="押一",F6*F8*F7/12*F11,IF(F10="押二",F6*F8*F7/12*2*F11,IF(F10="押三",F6*F8*F7/12*3*F11,C11*F11)))/10000,0)</f>
        <v>#N/A</v>
      </c>
      <c r="D10" s="1810" t="s">
        <v>3025</v>
      </c>
      <c r="E10" s="356" t="s">
        <v>1412</v>
      </c>
      <c r="F10" s="1351" t="s">
        <v>3060</v>
      </c>
      <c r="G10" s="1837"/>
      <c r="H10" s="1276" t="s">
        <v>1039</v>
      </c>
      <c r="I10" s="1809" t="s">
        <v>1410</v>
      </c>
      <c r="J10" s="344" t="e">
        <f ca="1">ROUND(IF(M10="押一",M6*M8*M7/12*M11,IF(M10="押二",M6*M8*M7/12*2*M11,IF(M10="押三",M6*M8*M7/12*3*M11,J11*M11)))/10000,0)</f>
        <v>#N/A</v>
      </c>
      <c r="K10" s="1810" t="s">
        <v>3025</v>
      </c>
      <c r="L10" s="356" t="s">
        <v>1412</v>
      </c>
      <c r="M10" s="1351" t="s">
        <v>1413</v>
      </c>
    </row>
    <row r="11" spans="1:37" ht="18" customHeight="1">
      <c r="A11" s="351"/>
      <c r="B11" s="1811" t="s">
        <v>1389</v>
      </c>
      <c r="C11" s="1171"/>
      <c r="D11" s="1812"/>
      <c r="E11" s="356" t="s">
        <v>1414</v>
      </c>
      <c r="F11" s="357">
        <f ca="1">'数据-取费表'!B39</f>
        <v>1.4999999999999999E-2</v>
      </c>
      <c r="G11" s="1837"/>
      <c r="H11" s="1284"/>
      <c r="I11" s="1811" t="s">
        <v>1389</v>
      </c>
      <c r="J11" s="1171"/>
      <c r="K11" s="745"/>
      <c r="L11" s="356" t="s">
        <v>1414</v>
      </c>
      <c r="M11" s="1049">
        <f ca="1">'数据-取费表'!B39</f>
        <v>1.4999999999999999E-2</v>
      </c>
    </row>
    <row r="12" spans="1:37" ht="18"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thickTop="1">
      <c r="A13" s="1314">
        <v>2</v>
      </c>
      <c r="B13" s="1315" t="s">
        <v>1416</v>
      </c>
      <c r="C13" s="353" t="e">
        <f ca="1">ROUND(C29*F13,0)</f>
        <v>#N/A</v>
      </c>
      <c r="D13" s="1316" t="s">
        <v>1417</v>
      </c>
      <c r="E13" s="1316" t="s">
        <v>1418</v>
      </c>
      <c r="F13" s="1317" t="e">
        <f ca="1">INDIRECT("'数据-取费表'!y"&amp;$G$1)</f>
        <v>#N/A</v>
      </c>
      <c r="G13" s="1837"/>
      <c r="H13" s="1314">
        <v>2</v>
      </c>
      <c r="I13" s="1315" t="s">
        <v>1416</v>
      </c>
      <c r="J13" s="1275" t="e">
        <f ca="1">ROUND(J14*J15,0)</f>
        <v>#N/A</v>
      </c>
      <c r="K13" s="1322" t="s">
        <v>1417</v>
      </c>
      <c r="L13" s="1838"/>
      <c r="M13" s="1839"/>
    </row>
    <row r="14" spans="1:37" ht="18" customHeight="1">
      <c r="A14" s="1194" t="s">
        <v>1034</v>
      </c>
      <c r="B14" s="345" t="s">
        <v>1419</v>
      </c>
      <c r="C14" s="361" t="e">
        <f ca="1">INDIRECT("'数据-取费表'!m"&amp;$G$1)+INDIRECT("'数据-取费表'!t"&amp;$G$1)</f>
        <v>#N/A</v>
      </c>
      <c r="D14" s="2923" t="s">
        <v>1420</v>
      </c>
      <c r="E14" s="2922"/>
      <c r="F14" s="362"/>
      <c r="G14" s="1837"/>
      <c r="H14" s="1194" t="s">
        <v>1035</v>
      </c>
      <c r="I14" s="345" t="s">
        <v>1421</v>
      </c>
      <c r="J14" s="24" t="e">
        <f ca="1">C29</f>
        <v>#N/A</v>
      </c>
      <c r="K14" s="2913"/>
      <c r="L14" s="972"/>
      <c r="M14" s="973"/>
    </row>
    <row r="15" spans="1:37" s="1844" customFormat="1" ht="18" customHeight="1" thickBot="1">
      <c r="A15" s="1194" t="s">
        <v>1036</v>
      </c>
      <c r="B15" s="345" t="s">
        <v>1422</v>
      </c>
      <c r="C15" s="24" t="e">
        <f ca="1">ROUND(C14*F15,0)</f>
        <v>#N/A</v>
      </c>
      <c r="D15" s="363" t="s">
        <v>1423</v>
      </c>
      <c r="E15" s="363" t="s">
        <v>1424</v>
      </c>
      <c r="F15" s="364">
        <f>'数据-取费表'!B33</f>
        <v>0.03</v>
      </c>
      <c r="G15" s="1840"/>
      <c r="H15" s="1324" t="s">
        <v>1039</v>
      </c>
      <c r="I15" s="1325" t="s">
        <v>1418</v>
      </c>
      <c r="J15" s="1334" t="e">
        <f ca="1">INDIRECT("'数据-取费表'!ad"&amp;$G$1)</f>
        <v>#N/A</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t="e">
        <f ca="1">ROUND(INDIRECT("'数据-取费表'!m"&amp;$G$1)*F16,0)</f>
        <v>#N/A</v>
      </c>
      <c r="D16" s="345" t="s">
        <v>1423</v>
      </c>
      <c r="E16" s="345" t="s">
        <v>1424</v>
      </c>
      <c r="F16" s="365" t="e">
        <f ca="1">IF(INDIRECT("'数据-取费表'!c"&amp;$G$1)="住宅",'数据-取费表'!B34,0)</f>
        <v>#N/A</v>
      </c>
      <c r="G16" s="1837"/>
      <c r="H16" s="1314" t="s">
        <v>1030</v>
      </c>
      <c r="I16" s="1315" t="s">
        <v>1426</v>
      </c>
      <c r="J16" s="353" t="e">
        <f ca="1">ROUND(J17+J22+J23+J24,0)</f>
        <v>#N/A</v>
      </c>
      <c r="K16" s="1322" t="s">
        <v>1427</v>
      </c>
      <c r="L16" s="2926"/>
      <c r="M16" s="1279"/>
    </row>
    <row r="17" spans="1:37" s="1844" customFormat="1" ht="18" customHeight="1">
      <c r="A17" s="1194" t="s">
        <v>1391</v>
      </c>
      <c r="B17" s="345" t="s">
        <v>1428</v>
      </c>
      <c r="C17" s="24" t="e">
        <f ca="1">ROUND(F17*(F43+INDIRECT("'数据-取费表'!S"&amp;$G$1))/10000,0)</f>
        <v>#N/A</v>
      </c>
      <c r="D17" s="345" t="s">
        <v>1429</v>
      </c>
      <c r="E17" s="345" t="s">
        <v>1430</v>
      </c>
      <c r="F17" s="26">
        <f>'数据-取费表'!B35</f>
        <v>200</v>
      </c>
      <c r="G17" s="1840"/>
      <c r="H17" s="1194" t="s">
        <v>1035</v>
      </c>
      <c r="I17" s="345" t="s">
        <v>1431</v>
      </c>
      <c r="J17" s="24" t="e">
        <f ca="1">ROUND(IF(项目基本情况!B11="自然人",J5*M17,J18+J19+J20),1)</f>
        <v>#N/A</v>
      </c>
      <c r="K17" s="2923" t="s">
        <v>1432</v>
      </c>
      <c r="L17" s="2925"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t="e">
        <f ca="1">ROUND(C14*F18,0)</f>
        <v>#N/A</v>
      </c>
      <c r="D18" s="345" t="s">
        <v>1423</v>
      </c>
      <c r="E18" s="345" t="s">
        <v>1424</v>
      </c>
      <c r="F18" s="365">
        <f>'数据-取费表'!B36</f>
        <v>1.4999999999999999E-2</v>
      </c>
      <c r="G18" s="1840"/>
      <c r="H18" s="1194" t="s">
        <v>1034</v>
      </c>
      <c r="I18" s="345" t="s">
        <v>1435</v>
      </c>
      <c r="J18" s="24" t="e">
        <f ca="1">ROUND(J5*M18/(1+'数据-取费表'!C42),2)</f>
        <v>#N/A</v>
      </c>
      <c r="K18" s="2925"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t="e">
        <f ca="1">SUM(C14:C18)</f>
        <v>#N/A</v>
      </c>
      <c r="D19" s="138" t="s">
        <v>1438</v>
      </c>
      <c r="E19" s="2911"/>
      <c r="F19" s="26"/>
      <c r="G19" s="1837"/>
      <c r="H19" s="1194" t="s">
        <v>1036</v>
      </c>
      <c r="I19" s="345" t="s">
        <v>1439</v>
      </c>
      <c r="J19" s="24" t="e">
        <f ca="1">IF(K19="按租金收入计税",ROUND(J5*M19,2),ROUND(C29*M19*0.7,2))</f>
        <v>#N/A</v>
      </c>
      <c r="K19" s="1814" t="s">
        <v>1440</v>
      </c>
      <c r="L19" s="345" t="s">
        <v>1424</v>
      </c>
      <c r="M19" s="365">
        <f>IF(K19="按租金收入计税",'数据-取费表'!B51,'数据-取费表'!B50)</f>
        <v>1.2E-2</v>
      </c>
    </row>
    <row r="20" spans="1:37" s="1844" customFormat="1" ht="18" customHeight="1">
      <c r="A20" s="1194" t="s">
        <v>1039</v>
      </c>
      <c r="B20" s="345" t="s">
        <v>1441</v>
      </c>
      <c r="C20" s="24" t="e">
        <f ca="1">ROUND(C19*F20,0)</f>
        <v>#N/A</v>
      </c>
      <c r="D20" s="367" t="s">
        <v>1442</v>
      </c>
      <c r="E20" s="345" t="s">
        <v>1424</v>
      </c>
      <c r="F20" s="365">
        <f>'数据-取费表'!B37</f>
        <v>1.4999999999999999E-2</v>
      </c>
      <c r="G20" s="1840"/>
      <c r="H20" s="1194" t="s">
        <v>1390</v>
      </c>
      <c r="I20" s="162" t="s">
        <v>1443</v>
      </c>
      <c r="J20" s="25" t="e">
        <f ca="1">ROUND(M20*M21/10000,2)</f>
        <v>#N/A</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18</v>
      </c>
      <c r="D21" s="367" t="s">
        <v>1447</v>
      </c>
      <c r="E21" s="345" t="s">
        <v>1448</v>
      </c>
      <c r="F21" s="365">
        <f>'数据-取费表'!B38</f>
        <v>2.5000000000000001E-2</v>
      </c>
      <c r="G21" s="1840"/>
      <c r="H21" s="370"/>
      <c r="I21" s="354"/>
      <c r="J21" s="29"/>
      <c r="K21" s="371"/>
      <c r="L21" s="345" t="s">
        <v>1449</v>
      </c>
      <c r="M21" s="346" t="e">
        <f ca="1">INDIRECT("'数据-取费表'!r"&amp;$G$1)</f>
        <v>#N/A</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2911"/>
      <c r="F22" s="26"/>
      <c r="G22" s="1837"/>
      <c r="H22" s="1194" t="s">
        <v>1039</v>
      </c>
      <c r="I22" s="345" t="s">
        <v>1451</v>
      </c>
      <c r="J22" s="24" t="e">
        <f ca="1">ROUND(J14*M22,1)</f>
        <v>#N/A</v>
      </c>
      <c r="K22" s="2925" t="s">
        <v>1452</v>
      </c>
      <c r="L22" s="345" t="s">
        <v>1424</v>
      </c>
      <c r="M22" s="372" t="e">
        <f ca="1">INDIRECT("'数据-取费表'!Ak"&amp;$G$1)</f>
        <v>#N/A</v>
      </c>
    </row>
    <row r="23" spans="1:37" s="1844" customFormat="1" ht="18" customHeight="1">
      <c r="A23" s="1194" t="s">
        <v>1034</v>
      </c>
      <c r="B23" s="345" t="s">
        <v>1453</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t="e">
        <f ca="1">ROUND(J13*M23,1)</f>
        <v>#N/A</v>
      </c>
      <c r="K23" s="2925" t="s">
        <v>1456</v>
      </c>
      <c r="L23" s="345" t="s">
        <v>1424</v>
      </c>
      <c r="M23" s="374" t="e">
        <f ca="1">INDIRECT("'数据-取费表'!Al"&amp;$G$1)</f>
        <v>#N/A</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1036</v>
      </c>
      <c r="B24" s="345" t="s">
        <v>1459</v>
      </c>
      <c r="C24" s="24">
        <f ca="1">ROUND(IF('数据-取费表'!B22&lt;=1,F21*F24*F23/2,F21*(POWER((1+F24),F23/2)-1)),4)</f>
        <v>1.1999999999999999E-3</v>
      </c>
      <c r="D24" s="373" t="str">
        <f>IF(F23&lt;=1,"销售费用×利率×(建设周期÷2)","销售费用×((1+利率)^(建设周期÷2)-1)")</f>
        <v>销售费用×((1+利率)^(建设周期÷2)-1)</v>
      </c>
      <c r="E24" s="345" t="s">
        <v>1460</v>
      </c>
      <c r="F24" s="375">
        <f ca="1">'数据-取费表'!B40</f>
        <v>4.7500000000000001E-2</v>
      </c>
      <c r="G24" s="1840"/>
      <c r="H24" s="1324" t="s">
        <v>1393</v>
      </c>
      <c r="I24" s="1325" t="s">
        <v>1441</v>
      </c>
      <c r="J24" s="1326" t="e">
        <f ca="1">ROUND(J5*M24,1)</f>
        <v>#N/A</v>
      </c>
      <c r="K24" s="1327" t="s">
        <v>1461</v>
      </c>
      <c r="L24" s="1325" t="s">
        <v>1424</v>
      </c>
      <c r="M24" s="1321" t="e">
        <f ca="1">INDIRECT("'数据-取费表'!Am"&amp;$G$1)</f>
        <v>#N/A</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4" t="s">
        <v>1462</v>
      </c>
      <c r="B25" s="345" t="s">
        <v>1463</v>
      </c>
      <c r="C25" s="24"/>
      <c r="D25" s="138" t="s">
        <v>1464</v>
      </c>
      <c r="E25" s="2911"/>
      <c r="F25" s="26"/>
      <c r="G25" s="1837"/>
      <c r="H25" s="1314" t="s">
        <v>1031</v>
      </c>
      <c r="I25" s="1329" t="s">
        <v>1465</v>
      </c>
      <c r="J25" s="353" t="e">
        <f ca="1">J5-J16</f>
        <v>#N/A</v>
      </c>
      <c r="K25" s="1330" t="s">
        <v>1466</v>
      </c>
      <c r="L25" s="1331"/>
      <c r="M25" s="1332"/>
    </row>
    <row r="26" spans="1:37">
      <c r="A26" s="1194" t="s">
        <v>1034</v>
      </c>
      <c r="B26" s="345" t="s">
        <v>1467</v>
      </c>
      <c r="C26" s="24" t="e">
        <f ca="1">ROUND((C19+C20)*F26,0)</f>
        <v>#N/A</v>
      </c>
      <c r="D26" s="367" t="s">
        <v>1468</v>
      </c>
      <c r="E26" s="356" t="s">
        <v>1469</v>
      </c>
      <c r="F26" s="355" t="e">
        <f ca="1">INDIRECT("'数据-取费表'!q"&amp;$G$1)</f>
        <v>#N/A</v>
      </c>
      <c r="G26" s="1837"/>
      <c r="H26" s="342" t="s">
        <v>1032</v>
      </c>
      <c r="I26" s="343" t="s">
        <v>1470</v>
      </c>
      <c r="J26" s="344" t="e">
        <f ca="1">IF(J5&lt;&gt;0,ROUND(J25*(1-((1+M28)/(1+M26))^M27)/(M26-M28),0),0)</f>
        <v>#N/A</v>
      </c>
      <c r="K26" s="368" t="s">
        <v>1471</v>
      </c>
      <c r="L26" s="345" t="s">
        <v>1472</v>
      </c>
      <c r="M26" s="355" t="e">
        <f ca="1">INDIRECT("'数据-取费表'!I"&amp;$G$1)</f>
        <v>#N/A</v>
      </c>
    </row>
    <row r="27" spans="1:37" ht="18" customHeight="1">
      <c r="A27" s="1194" t="s">
        <v>1036</v>
      </c>
      <c r="B27" s="345" t="s">
        <v>1473</v>
      </c>
      <c r="C27" s="24" t="e">
        <f ca="1">ROUND(F21*F26,4)</f>
        <v>#N/A</v>
      </c>
      <c r="D27" s="367" t="s">
        <v>1474</v>
      </c>
      <c r="E27" s="363"/>
      <c r="F27" s="364"/>
      <c r="G27" s="1837"/>
      <c r="H27" s="347"/>
      <c r="I27" s="348"/>
      <c r="J27" s="349"/>
      <c r="K27" s="376" t="s">
        <v>1475</v>
      </c>
      <c r="L27" s="345" t="s">
        <v>1476</v>
      </c>
      <c r="M27" s="377" t="e">
        <f ca="1">INDIRECT("'数据-取费表'!ag"&amp;$G$1)</f>
        <v>#N/A</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t="e">
        <f ca="1">INDIRECT("'数据-取费表'!aa"&amp;$G$1)</f>
        <v>#N/A</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t="e">
        <f ca="1">ROUND((C19+C20+C23+C26)/(1-F21-C24-C27-C28),0)</f>
        <v>#N/A</v>
      </c>
      <c r="D29" s="1327"/>
      <c r="E29" s="1325"/>
      <c r="F29" s="1328"/>
      <c r="G29" s="1840"/>
      <c r="H29" s="378" t="s">
        <v>1033</v>
      </c>
      <c r="I29" s="379" t="s">
        <v>1481</v>
      </c>
      <c r="J29" s="380" t="e">
        <f ca="1">ROUND(J26/(1+F40)^F41,0)</f>
        <v>#N/A</v>
      </c>
      <c r="K29" s="381" t="s">
        <v>1482</v>
      </c>
      <c r="L29" s="382"/>
      <c r="M29" s="383" t="e">
        <f ca="1">INDIRECT("'数据-取费表'!k"&amp;$G$1)</f>
        <v>#N/A</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t="e">
        <f ca="1">ROUND(C31+C36+C37+C38,0)</f>
        <v>#N/A</v>
      </c>
      <c r="D30" s="1322" t="s">
        <v>1427</v>
      </c>
      <c r="E30" s="2926"/>
      <c r="F30" s="1279"/>
      <c r="G30" s="1837"/>
      <c r="H30" s="742"/>
      <c r="I30" s="743"/>
      <c r="J30" s="744"/>
      <c r="K30" s="745"/>
      <c r="L30" s="746"/>
      <c r="M30" s="747"/>
    </row>
    <row r="31" spans="1:37" ht="18" customHeight="1">
      <c r="A31" s="1194" t="s">
        <v>1035</v>
      </c>
      <c r="B31" s="345" t="s">
        <v>1431</v>
      </c>
      <c r="C31" s="24" t="e">
        <f ca="1">ROUND(IF(项目基本情况!B11="自然人",C5*F31,C32+C33+C34),1)</f>
        <v>#N/A</v>
      </c>
      <c r="D31" s="2923" t="s">
        <v>1432</v>
      </c>
      <c r="E31" s="2925"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t="e">
        <f ca="1">IF(项目基本情况!B11="自然人","——",ROUND(C5*F32/(1+'数据-取费表'!C42),2))</f>
        <v>#N/A</v>
      </c>
      <c r="D32" s="2925" t="s">
        <v>1436</v>
      </c>
      <c r="E32" s="345" t="s">
        <v>1424</v>
      </c>
      <c r="F32" s="375">
        <f>'数据-取费表'!B41</f>
        <v>5.6500000000000002E-2</v>
      </c>
      <c r="G32" s="1837"/>
      <c r="H32" s="742"/>
      <c r="I32" s="743"/>
      <c r="J32" s="744"/>
      <c r="K32" s="745"/>
      <c r="L32" s="746"/>
      <c r="M32" s="747"/>
    </row>
    <row r="33" spans="1:18" ht="18" customHeight="1">
      <c r="A33" s="1194" t="s">
        <v>1036</v>
      </c>
      <c r="B33" s="345" t="s">
        <v>1439</v>
      </c>
      <c r="C33" s="24" t="e">
        <f ca="1">IF(项目基本情况!B11="自然人","——",IF(D33="按租金收入计税",ROUND(C5*F33,2),IF(D33="按房产原值计税",ROUND(C29*F33*0.7,2),INDIRECT("'数据-取费表'!Aj"&amp;$G$1))))</f>
        <v>#N/A</v>
      </c>
      <c r="D33" s="1814" t="s">
        <v>1440</v>
      </c>
      <c r="E33" s="345" t="s">
        <v>1424</v>
      </c>
      <c r="F33" s="365">
        <f>IF(D33="按票据","——",IF(D33="按租金收入计税",'数据-取费表'!B51,'数据-取费表'!B50))</f>
        <v>1.2E-2</v>
      </c>
      <c r="G33" s="1837"/>
      <c r="H33" s="1845"/>
      <c r="I33" s="1846"/>
      <c r="J33" s="1847"/>
      <c r="K33" s="1848"/>
      <c r="L33" s="1845"/>
      <c r="M33" s="1845"/>
    </row>
    <row r="34" spans="1:18" ht="18" customHeight="1">
      <c r="A34" s="1276" t="s">
        <v>1390</v>
      </c>
      <c r="B34" s="162" t="s">
        <v>1443</v>
      </c>
      <c r="C34" s="25" t="e">
        <f ca="1">IF(项目基本情况!B11="自然人","——",ROUND(F34*F35/10000,2))</f>
        <v>#N/A</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t="e">
        <f ca="1">INDIRECT("'数据-取费表'!r"&amp;$G$1)</f>
        <v>#N/A</v>
      </c>
      <c r="G35" s="1837"/>
      <c r="H35" s="742"/>
      <c r="I35" s="1846"/>
      <c r="J35" s="1847"/>
      <c r="K35" s="1848"/>
      <c r="L35" s="1845"/>
      <c r="M35" s="1845"/>
    </row>
    <row r="36" spans="1:18" ht="18" customHeight="1">
      <c r="A36" s="1337" t="s">
        <v>1039</v>
      </c>
      <c r="B36" s="345" t="s">
        <v>1451</v>
      </c>
      <c r="C36" s="24" t="e">
        <f ca="1">ROUND(C29*F36,1)</f>
        <v>#N/A</v>
      </c>
      <c r="D36" s="2925" t="s">
        <v>1484</v>
      </c>
      <c r="E36" s="345" t="s">
        <v>1424</v>
      </c>
      <c r="F36" s="372" t="e">
        <f ca="1">INDIRECT("'数据-取费表'!Ak"&amp;$G$1)</f>
        <v>#N/A</v>
      </c>
      <c r="G36" s="1837"/>
      <c r="H36" s="1845"/>
      <c r="I36" s="1846"/>
      <c r="J36" s="1847"/>
      <c r="K36" s="748"/>
      <c r="L36" s="1845"/>
      <c r="M36" s="1845"/>
    </row>
    <row r="37" spans="1:18" ht="18" customHeight="1">
      <c r="A37" s="1194" t="s">
        <v>1075</v>
      </c>
      <c r="B37" s="345" t="s">
        <v>1455</v>
      </c>
      <c r="C37" s="24" t="e">
        <f ca="1">ROUND(C13*F37,1)</f>
        <v>#N/A</v>
      </c>
      <c r="D37" s="2925" t="s">
        <v>1456</v>
      </c>
      <c r="E37" s="345" t="s">
        <v>1424</v>
      </c>
      <c r="F37" s="374" t="e">
        <f ca="1">INDIRECT("'数据-取费表'!Al"&amp;$G$1)</f>
        <v>#N/A</v>
      </c>
      <c r="G37" s="1837"/>
      <c r="H37" s="1845"/>
      <c r="I37" s="1846"/>
      <c r="J37" s="1847"/>
      <c r="K37" s="748"/>
      <c r="L37" s="1845"/>
      <c r="M37" s="1845"/>
    </row>
    <row r="38" spans="1:18" ht="18" customHeight="1" thickBot="1">
      <c r="A38" s="1324" t="s">
        <v>1393</v>
      </c>
      <c r="B38" s="1325" t="s">
        <v>1441</v>
      </c>
      <c r="C38" s="1326" t="e">
        <f ca="1">ROUND(C5*F38,1)</f>
        <v>#N/A</v>
      </c>
      <c r="D38" s="1327" t="s">
        <v>1461</v>
      </c>
      <c r="E38" s="1325" t="s">
        <v>1424</v>
      </c>
      <c r="F38" s="1321" t="e">
        <f ca="1">INDIRECT("'数据-取费表'!Am"&amp;$G$1)</f>
        <v>#N/A</v>
      </c>
      <c r="G38" s="1837"/>
      <c r="H38" s="1845"/>
      <c r="I38" s="1846"/>
      <c r="J38" s="1847"/>
      <c r="K38" s="1851"/>
      <c r="L38" s="1845"/>
      <c r="M38" s="1845"/>
    </row>
    <row r="39" spans="1:18" ht="24.6" customHeight="1" thickTop="1">
      <c r="A39" s="1314" t="s">
        <v>1031</v>
      </c>
      <c r="B39" s="1329" t="s">
        <v>1465</v>
      </c>
      <c r="C39" s="353" t="e">
        <f ca="1">C5-C30</f>
        <v>#N/A</v>
      </c>
      <c r="D39" s="1330" t="s">
        <v>1466</v>
      </c>
      <c r="E39" s="1331"/>
      <c r="F39" s="1332"/>
      <c r="G39" s="1837"/>
      <c r="H39" s="1845"/>
      <c r="I39" s="1846"/>
      <c r="J39" s="1847"/>
      <c r="K39" s="1851"/>
      <c r="L39" s="1845"/>
      <c r="M39" s="1845"/>
    </row>
    <row r="40" spans="1:18" ht="18" customHeight="1">
      <c r="A40" s="342" t="s">
        <v>1032</v>
      </c>
      <c r="B40" s="343" t="s">
        <v>1487</v>
      </c>
      <c r="C40" s="344" t="e">
        <f ca="1">ROUND(C39*(1-((1+F42)/(1+F40))^F41)/(F40-F42),0)</f>
        <v>#N/A</v>
      </c>
      <c r="D40" s="368" t="s">
        <v>1471</v>
      </c>
      <c r="E40" s="345" t="s">
        <v>1472</v>
      </c>
      <c r="F40" s="355" t="e">
        <f ca="1">INDIRECT("'数据-取费表'!I"&amp;$G$1)</f>
        <v>#N/A</v>
      </c>
      <c r="G40" s="1837"/>
      <c r="H40" s="1825"/>
      <c r="I40" s="1846"/>
      <c r="J40" s="1847"/>
      <c r="K40" s="1851"/>
      <c r="L40" s="1825"/>
      <c r="M40" s="1825"/>
    </row>
    <row r="41" spans="1:18" ht="18" customHeight="1">
      <c r="A41" s="347"/>
      <c r="B41" s="348"/>
      <c r="C41" s="349"/>
      <c r="D41" s="376" t="s">
        <v>1488</v>
      </c>
      <c r="E41" s="345" t="s">
        <v>1476</v>
      </c>
      <c r="F41" s="377" t="e">
        <f ca="1">IF(INDIRECT("'数据-取费表'!af"&amp;$G$1)=0,INDIRECT("'数据-取费表'!ae"&amp;$G$1),INDIRECT("'数据-取费表'!af"&amp;$G$1))</f>
        <v>#N/A</v>
      </c>
      <c r="G41" s="1837"/>
      <c r="H41" s="729"/>
      <c r="I41" s="1846"/>
      <c r="J41" s="1847"/>
      <c r="K41" s="748"/>
      <c r="L41" s="729"/>
      <c r="M41" s="729"/>
    </row>
    <row r="42" spans="1:18" ht="18" customHeight="1">
      <c r="A42" s="351"/>
      <c r="B42" s="352"/>
      <c r="C42" s="353"/>
      <c r="D42" s="371"/>
      <c r="E42" s="345" t="s">
        <v>1479</v>
      </c>
      <c r="F42" s="355" t="e">
        <f ca="1">INDIRECT("'数据-取费表'!v"&amp;$G$1)</f>
        <v>#N/A</v>
      </c>
      <c r="G42" s="1837"/>
      <c r="H42" s="729"/>
      <c r="I42" s="1846"/>
      <c r="J42" s="1847"/>
      <c r="K42" s="748"/>
      <c r="L42" s="729"/>
      <c r="M42" s="729"/>
    </row>
    <row r="43" spans="1:18" ht="18" customHeight="1" thickBot="1">
      <c r="A43" s="378" t="s">
        <v>1033</v>
      </c>
      <c r="B43" s="379" t="s">
        <v>1489</v>
      </c>
      <c r="C43" s="380" t="e">
        <f ca="1">ROUND(C40*10000/F43,0)</f>
        <v>#N/A</v>
      </c>
      <c r="D43" s="381" t="s">
        <v>1490</v>
      </c>
      <c r="E43" s="382" t="s">
        <v>1491</v>
      </c>
      <c r="F43" s="383" t="e">
        <f ca="1">INDIRECT("'数据-取费表'!k"&amp;$G$1)</f>
        <v>#N/A</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3"/>
      <c r="O45" s="1855" t="s">
        <v>1521</v>
      </c>
      <c r="P45" s="1825"/>
      <c r="Q45" s="1825"/>
      <c r="R45" s="1825"/>
    </row>
    <row r="46" spans="1:18" s="1828" customFormat="1" ht="13.5" thickBot="1">
      <c r="A46" s="1856" t="s">
        <v>1522</v>
      </c>
      <c r="C46" s="1857" t="e">
        <f ca="1">C68-C40</f>
        <v>#N/A</v>
      </c>
      <c r="D46" s="1858" t="str">
        <f>C2</f>
        <v>万元</v>
      </c>
      <c r="E46" s="1852"/>
      <c r="F46" s="1852"/>
      <c r="I46" s="1859" t="s">
        <v>1523</v>
      </c>
      <c r="J46" s="1860"/>
      <c r="K46" s="1861"/>
      <c r="L46" s="1862" t="e">
        <f ca="1">IF(M47="住宅",0,IF(L48&gt;J51,L60,J60))</f>
        <v>#N/A</v>
      </c>
      <c r="O46" s="1863" t="s">
        <v>1524</v>
      </c>
      <c r="P46" s="1864" t="s">
        <v>1525</v>
      </c>
      <c r="Q46" s="1865" t="s">
        <v>1526</v>
      </c>
      <c r="R46" s="1865" t="s">
        <v>1527</v>
      </c>
    </row>
    <row r="47" spans="1:18" s="1828" customFormat="1" ht="13.5" thickBot="1">
      <c r="A47" s="1158" t="s">
        <v>1397</v>
      </c>
      <c r="B47" s="1190" t="s">
        <v>1398</v>
      </c>
      <c r="C47" s="1352" t="s">
        <v>1399</v>
      </c>
      <c r="D47" s="1190" t="s">
        <v>1400</v>
      </c>
      <c r="E47" s="1264" t="s">
        <v>1401</v>
      </c>
      <c r="F47" s="1265"/>
      <c r="G47" s="789"/>
      <c r="I47" s="1866" t="s">
        <v>1528</v>
      </c>
      <c r="J47" s="1867" t="s">
        <v>3061</v>
      </c>
      <c r="K47" s="1868" t="s">
        <v>1529</v>
      </c>
      <c r="L47" s="1869" t="e">
        <f ca="1">INDIRECT("'数据-取费表'!d"&amp;$G$1)</f>
        <v>#N/A</v>
      </c>
      <c r="M47" s="1824" t="str">
        <f>IF(ISNUMBER(FIND("住宅",C1)),"住宅","非住宅")</f>
        <v>非住宅</v>
      </c>
      <c r="O47" s="1870" t="s">
        <v>1040</v>
      </c>
      <c r="P47" s="1871" t="s">
        <v>1530</v>
      </c>
      <c r="Q47" s="1872" t="e">
        <f ca="1">C40+J29</f>
        <v>#N/A</v>
      </c>
      <c r="R47" s="1872" t="s">
        <v>1531</v>
      </c>
    </row>
    <row r="48" spans="1:18" s="1828" customFormat="1" ht="28.5" thickBot="1">
      <c r="A48" s="1345" t="s">
        <v>1135</v>
      </c>
      <c r="B48" s="343" t="s">
        <v>1402</v>
      </c>
      <c r="C48" s="2910" t="e">
        <f ca="1">C49+C53+C55</f>
        <v>#N/A</v>
      </c>
      <c r="D48" s="1347"/>
      <c r="E48" s="1348"/>
      <c r="F48" s="1174"/>
      <c r="G48" s="789"/>
      <c r="H48" s="790"/>
      <c r="I48" s="1873" t="s">
        <v>1532</v>
      </c>
      <c r="J48" s="1874" t="s">
        <v>3062</v>
      </c>
      <c r="K48" s="1875" t="s">
        <v>1533</v>
      </c>
      <c r="L48" s="1876" t="e">
        <f ca="1">INDIRECT("'数据-取费表'!f"&amp;$G$1)</f>
        <v>#N/A</v>
      </c>
      <c r="O48" s="1870" t="s">
        <v>1041</v>
      </c>
      <c r="P48" s="1871" t="s">
        <v>1534</v>
      </c>
      <c r="Q48" s="1872" t="e">
        <f ca="1">J60</f>
        <v>#N/A</v>
      </c>
      <c r="R48" s="1872" t="s">
        <v>1535</v>
      </c>
    </row>
    <row r="49" spans="1:18" s="1828" customFormat="1" ht="13.5" thickBot="1">
      <c r="A49" s="1187" t="s">
        <v>1136</v>
      </c>
      <c r="B49" s="1815" t="s">
        <v>1492</v>
      </c>
      <c r="C49" s="1349" t="e">
        <f ca="1">ROUND(F49*F51*F50*(1-F52)/10000,0)</f>
        <v>#N/A</v>
      </c>
      <c r="D49" s="1261" t="s">
        <v>3028</v>
      </c>
      <c r="E49" s="1816" t="s">
        <v>1493</v>
      </c>
      <c r="F49" s="1266"/>
      <c r="G49" s="1877"/>
      <c r="H49" s="790"/>
      <c r="I49" s="1873" t="s">
        <v>1536</v>
      </c>
      <c r="J49" s="1878">
        <v>2017</v>
      </c>
      <c r="K49" s="1875" t="s">
        <v>1537</v>
      </c>
      <c r="L49" s="1879"/>
      <c r="O49" s="1880" t="s">
        <v>1042</v>
      </c>
      <c r="P49" s="1871" t="s">
        <v>1538</v>
      </c>
      <c r="Q49" s="1872" t="e">
        <f ca="1">C29</f>
        <v>#N/A</v>
      </c>
      <c r="R49" s="1872" t="s">
        <v>1531</v>
      </c>
    </row>
    <row r="50" spans="1:18" s="1828" customFormat="1" ht="13.5" thickBot="1">
      <c r="A50" s="1188"/>
      <c r="B50" s="1191"/>
      <c r="C50" s="1353"/>
      <c r="D50" s="1165"/>
      <c r="E50" s="1262" t="s">
        <v>1407</v>
      </c>
      <c r="F50" s="1263" t="e">
        <f ca="1">F7</f>
        <v>#N/A</v>
      </c>
      <c r="H50" s="790"/>
      <c r="I50" s="1873" t="s">
        <v>1539</v>
      </c>
      <c r="J50" s="1881">
        <f>SUMPRODUCT((I63:I65=J47)*(J62:L62=J48)*(J63:L65))</f>
        <v>60</v>
      </c>
      <c r="K50" s="1875" t="s">
        <v>1540</v>
      </c>
      <c r="L50" s="1879"/>
      <c r="M50" s="1882"/>
      <c r="O50" s="1880" t="s">
        <v>1043</v>
      </c>
      <c r="P50" s="1871" t="s">
        <v>1541</v>
      </c>
      <c r="Q50" s="1883" t="e">
        <f ca="1">J58</f>
        <v>#N/A</v>
      </c>
      <c r="R50" s="1872"/>
    </row>
    <row r="51" spans="1:18" s="1828" customFormat="1" ht="13.5" thickBot="1">
      <c r="A51" s="1189"/>
      <c r="B51" s="1191"/>
      <c r="C51" s="1192"/>
      <c r="D51" s="1165"/>
      <c r="E51" s="1193" t="s">
        <v>1408</v>
      </c>
      <c r="F51" s="346" t="e">
        <f ca="1">F8</f>
        <v>#N/A</v>
      </c>
      <c r="I51" s="1884" t="s">
        <v>1542</v>
      </c>
      <c r="J51" s="1885">
        <f>IF(J49="",J50,J49+J50-YEAR('数据-取费表'!B2))</f>
        <v>60</v>
      </c>
      <c r="K51" s="1886" t="s">
        <v>1543</v>
      </c>
      <c r="L51" s="1887" t="e">
        <f ca="1">ROUND(-PV(INDIRECT("'数据-取费表'!h"&amp;$G$1),L48,(C39-C13*C76),0),0)</f>
        <v>#N/A</v>
      </c>
      <c r="M51" s="1888"/>
      <c r="O51" s="1880" t="s">
        <v>1044</v>
      </c>
      <c r="P51" s="1871" t="s">
        <v>1544</v>
      </c>
      <c r="Q51" s="1883">
        <f>J52</f>
        <v>0.09</v>
      </c>
      <c r="R51" s="1872"/>
    </row>
    <row r="52" spans="1:18" s="1828" customFormat="1" ht="13.5" thickBot="1">
      <c r="A52" s="1189"/>
      <c r="B52" s="1191"/>
      <c r="C52" s="1192"/>
      <c r="D52" s="1165"/>
      <c r="E52" s="1193" t="s">
        <v>1409</v>
      </c>
      <c r="F52" s="1260"/>
      <c r="I52" s="1889" t="s">
        <v>1545</v>
      </c>
      <c r="J52" s="1890">
        <v>0.09</v>
      </c>
      <c r="K52" s="1889" t="s">
        <v>1546</v>
      </c>
      <c r="L52" s="1890">
        <v>0.05</v>
      </c>
      <c r="O52" s="1880" t="s">
        <v>1045</v>
      </c>
      <c r="P52" s="1871" t="s">
        <v>1547</v>
      </c>
      <c r="Q52" s="1872" t="e">
        <f ca="1">J53</f>
        <v>#N/A</v>
      </c>
      <c r="R52" s="1872" t="s">
        <v>1548</v>
      </c>
    </row>
    <row r="53" spans="1:18" s="1828" customFormat="1" ht="24.75" thickBot="1">
      <c r="A53" s="1390" t="s">
        <v>1137</v>
      </c>
      <c r="B53" s="1817" t="s">
        <v>1410</v>
      </c>
      <c r="C53" s="359">
        <f ca="1">ROUND(IF(F53="押一",F49*F51*F50/12*F11,IF(F53="押二",F49*F51*F50/12*2*F11,IF(F53="押三",F49*F51*F50/12*3*F11,C54*F11)))/10000,0)</f>
        <v>0</v>
      </c>
      <c r="D53" s="1810" t="s">
        <v>3025</v>
      </c>
      <c r="E53" s="356" t="s">
        <v>1412</v>
      </c>
      <c r="F53" s="1351"/>
      <c r="I53" s="1891" t="s">
        <v>1549</v>
      </c>
      <c r="J53" s="1892" t="e">
        <f ca="1">IF(M47="住宅",J51,IF(D1="——",MIN(J51,L48),IF(D1="在建（套用方法）",MIN(J51,L48-'数据-取费表'!B24),IF(D1="土地（套用方法）",MIN(J51,L48-'数据-取费表'!B20)))))</f>
        <v>#N/A</v>
      </c>
      <c r="K53" s="3202" t="s">
        <v>1550</v>
      </c>
      <c r="L53" s="3203"/>
      <c r="O53" s="1870" t="s">
        <v>1046</v>
      </c>
      <c r="P53" s="1871" t="s">
        <v>1551</v>
      </c>
      <c r="Q53" s="1872" t="e">
        <f ca="1">Q47+Q48</f>
        <v>#N/A</v>
      </c>
      <c r="R53" s="1872" t="s">
        <v>1047</v>
      </c>
    </row>
    <row r="54" spans="1:18" s="1828" customFormat="1" ht="13.5" thickBot="1">
      <c r="A54" s="1391"/>
      <c r="B54" s="1811" t="s">
        <v>1389</v>
      </c>
      <c r="C54" s="1171"/>
      <c r="D54" s="1810"/>
      <c r="E54" s="2915"/>
      <c r="F54" s="1893"/>
      <c r="I54" s="18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5"/>
      <c r="K54" s="1895"/>
      <c r="L54" s="1895"/>
      <c r="M54" s="1877"/>
      <c r="O54" s="1855" t="s">
        <v>1552</v>
      </c>
      <c r="P54" s="1825"/>
      <c r="Q54" s="1825"/>
      <c r="R54" s="1825"/>
    </row>
    <row r="55" spans="1:18" s="1828" customFormat="1" ht="13.5" thickBot="1">
      <c r="A55" s="1318" t="s">
        <v>1075</v>
      </c>
      <c r="B55" s="1813" t="s">
        <v>1415</v>
      </c>
      <c r="C55" s="1319"/>
      <c r="D55" s="1810"/>
      <c r="E55" s="2915"/>
      <c r="F55" s="1893"/>
      <c r="I55" s="1896" t="s">
        <v>1553</v>
      </c>
      <c r="J55" s="1897" t="e">
        <f ca="1">ROUND(IF(J47="钢混",J57/J50,1-(1-2%)*(J50-J57)/J50),3)</f>
        <v>#N/A</v>
      </c>
      <c r="K55" s="1898" t="s">
        <v>1554</v>
      </c>
      <c r="L55" s="1899" t="s">
        <v>1555</v>
      </c>
      <c r="O55" s="1863" t="s">
        <v>1524</v>
      </c>
      <c r="P55" s="1864" t="s">
        <v>1525</v>
      </c>
      <c r="Q55" s="1865" t="s">
        <v>1526</v>
      </c>
      <c r="R55" s="1865" t="s">
        <v>1527</v>
      </c>
    </row>
    <row r="56" spans="1:18" s="1828" customFormat="1" ht="25.5" thickTop="1" thickBot="1">
      <c r="A56" s="1169">
        <v>2</v>
      </c>
      <c r="B56" s="1170" t="s">
        <v>1416</v>
      </c>
      <c r="C56" s="274" t="e">
        <f ca="1">C13</f>
        <v>#N/A</v>
      </c>
      <c r="D56" s="1900"/>
      <c r="E56" s="1901"/>
      <c r="F56" s="1893"/>
      <c r="I56" s="1902" t="s">
        <v>1556</v>
      </c>
      <c r="J56" s="1903" t="s">
        <v>3045</v>
      </c>
      <c r="K56" s="1873" t="s">
        <v>1557</v>
      </c>
      <c r="L56" s="1876" t="e">
        <f ca="1">IF(L48&lt;J51,"——",L48-J53)</f>
        <v>#N/A</v>
      </c>
      <c r="O56" s="1870" t="s">
        <v>1040</v>
      </c>
      <c r="P56" s="1871" t="s">
        <v>1530</v>
      </c>
      <c r="Q56" s="1872" t="e">
        <f ca="1">C40+J29</f>
        <v>#N/A</v>
      </c>
      <c r="R56" s="1872" t="s">
        <v>1531</v>
      </c>
    </row>
    <row r="57" spans="1:18" s="1828" customFormat="1" ht="24.75" thickBot="1">
      <c r="A57" s="1904"/>
      <c r="B57" s="1162" t="s">
        <v>1480</v>
      </c>
      <c r="C57" s="280" t="e">
        <f ca="1">C29</f>
        <v>#N/A</v>
      </c>
      <c r="D57" s="1905"/>
      <c r="E57" s="1906"/>
      <c r="F57" s="1907"/>
      <c r="I57" s="1908" t="s">
        <v>1558</v>
      </c>
      <c r="J57" s="1909" t="e">
        <f ca="1">IF(OR(M47="住宅",J51&lt;L48,J56="是"),"——",J51-L48)</f>
        <v>#N/A</v>
      </c>
      <c r="K57" s="1873" t="s">
        <v>1559</v>
      </c>
      <c r="L57" s="1876" t="e">
        <f ca="1">IF(L48&lt;J51,"——",IF(L55="比较法",L49,IF(L55="基准地价",L50,L51)))</f>
        <v>#N/A</v>
      </c>
      <c r="O57" s="1870" t="s">
        <v>1041</v>
      </c>
      <c r="P57" s="1871" t="s">
        <v>1560</v>
      </c>
      <c r="Q57" s="1872" t="e">
        <f ca="1">L60</f>
        <v>#N/A</v>
      </c>
      <c r="R57" s="1872" t="s">
        <v>1561</v>
      </c>
    </row>
    <row r="58" spans="1:18" s="1828" customFormat="1" ht="24.75" thickBot="1">
      <c r="A58" s="358" t="s">
        <v>1030</v>
      </c>
      <c r="B58" s="1170" t="s">
        <v>1426</v>
      </c>
      <c r="C58" s="359" t="e">
        <f ca="1">ROUND(C59+C64+C65+C66,0)</f>
        <v>#N/A</v>
      </c>
      <c r="D58" s="1172" t="s">
        <v>1427</v>
      </c>
      <c r="E58" s="1173"/>
      <c r="F58" s="1174"/>
      <c r="I58" s="1908" t="s">
        <v>1562</v>
      </c>
      <c r="J58" s="1910" t="e">
        <f ca="1">IF(J55&lt;0.4,0.4,J55)</f>
        <v>#N/A</v>
      </c>
      <c r="K58" s="1886" t="s">
        <v>1563</v>
      </c>
      <c r="L58" s="1876" t="e">
        <f ca="1">ROUND(POWER(1+L52,L47-L48)*(POWER(1+L52,L48)-1)/(POWER(1+L52,L47)-1),4)</f>
        <v>#N/A</v>
      </c>
      <c r="O58" s="1880" t="s">
        <v>1042</v>
      </c>
      <c r="P58" s="1871" t="s">
        <v>1564</v>
      </c>
      <c r="Q58" s="1872">
        <f>IF(L55="比较法",L49,IF(L55="基准地价",L50,0))</f>
        <v>0</v>
      </c>
      <c r="R58" s="1872" t="s">
        <v>1531</v>
      </c>
    </row>
    <row r="59" spans="1:18" s="1828" customFormat="1" ht="24.75" thickBot="1">
      <c r="A59" s="1194" t="s">
        <v>1035</v>
      </c>
      <c r="B59" s="1162" t="s">
        <v>1431</v>
      </c>
      <c r="C59" s="24" t="e">
        <f ca="1">ROUND(IF(项目基本情况!B11="自然人",C48*F59,C60+C61+C62),1)</f>
        <v>#N/A</v>
      </c>
      <c r="D59" s="1175" t="s">
        <v>1432</v>
      </c>
      <c r="E59" s="1176" t="s">
        <v>1433</v>
      </c>
      <c r="F59" s="366" t="str">
        <f ca="1">IF(项目基本情况!B11="企业","",IF(INDIRECT("'数据-取费表'!c"&amp;$G$1)="住宅",5%,IF(F49*F50*F51/12/(1+'数据-取费表'!C42)&gt;20000,12%,7%)))</f>
        <v/>
      </c>
      <c r="I59" s="1908" t="s">
        <v>1565</v>
      </c>
      <c r="J59" s="1909" t="e">
        <f ca="1">IF(OR(M47="住宅",J51&lt;L48,J56="是"),"——",ROUND(C29*J58,0))</f>
        <v>#N/A</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#N/A</v>
      </c>
      <c r="M59" s="1824" t="e">
        <f ca="1">ROUND(POWER(1+L52,L47-(J51+'数据-取费表'!B24))*(POWER(1+L52,(J51+'数据-取费表'!B24))-1)/(POWER(1+L52,L47)-1),4)</f>
        <v>#N/A</v>
      </c>
      <c r="N59" s="1824" t="e">
        <f ca="1">ROUND(POWER(1+L52,L47-(J51+'数据-取费表'!B20))*(POWER(1+L52,(J51+'数据-取费表'!B20))-1)/(POWER(1+L52,L47)-1),4)</f>
        <v>#N/A</v>
      </c>
      <c r="O59" s="1880" t="s">
        <v>1043</v>
      </c>
      <c r="P59" s="1871" t="s">
        <v>1566</v>
      </c>
      <c r="Q59" s="1883">
        <f>L52</f>
        <v>0.05</v>
      </c>
      <c r="R59" s="1872"/>
    </row>
    <row r="60" spans="1:18" s="1828" customFormat="1" ht="16.5" thickBot="1">
      <c r="A60" s="1194" t="s">
        <v>1034</v>
      </c>
      <c r="B60" s="1162" t="s">
        <v>1435</v>
      </c>
      <c r="C60" s="24" t="e">
        <f ca="1">IF(项目基本情况!B11="自然人","——",ROUND(C48*F60/(1+'数据-取费表'!C42),2))</f>
        <v>#N/A</v>
      </c>
      <c r="D60" s="1176" t="s">
        <v>1436</v>
      </c>
      <c r="E60" s="1162" t="s">
        <v>1424</v>
      </c>
      <c r="F60" s="375">
        <f t="shared" ref="F60:F66" si="0">F32</f>
        <v>5.6500000000000002E-2</v>
      </c>
      <c r="I60" s="1911" t="s">
        <v>1567</v>
      </c>
      <c r="J60" s="1912" t="e">
        <f ca="1">IF(OR(M47="住宅",J51&lt;L48,J56="是"),"0",ROUND(J59/(1+J52)^J53,0))</f>
        <v>#N/A</v>
      </c>
      <c r="K60" s="1913" t="s">
        <v>1568</v>
      </c>
      <c r="L60" s="1912" t="e">
        <f ca="1">IF(OR(M47="住宅",L48&lt;J51),0,ROUND(L57*(L58/L59-1),0))</f>
        <v>#N/A</v>
      </c>
      <c r="O60" s="1880" t="s">
        <v>1044</v>
      </c>
      <c r="P60" s="1871" t="s">
        <v>1569</v>
      </c>
      <c r="Q60" s="1872" t="e">
        <f ca="1">L58</f>
        <v>#N/A</v>
      </c>
      <c r="R60" s="1872" t="s">
        <v>1570</v>
      </c>
    </row>
    <row r="61" spans="1:18" s="1828" customFormat="1" ht="13.5" thickBot="1">
      <c r="A61" s="1194" t="s">
        <v>1494</v>
      </c>
      <c r="B61" s="1162" t="s">
        <v>1439</v>
      </c>
      <c r="C61" s="24" t="e">
        <f ca="1">IF(项目基本情况!B11="自然人","——",IF(D61="按租金收入计税",ROUND(C48*F61,2),IF(D61="按房产原值计税",ROUND(C57*F61*0.7,2),INDIRECT("'数据-取费表'!Aj"&amp;$G$1))))</f>
        <v>#N/A</v>
      </c>
      <c r="D61" s="1814" t="s">
        <v>1440</v>
      </c>
      <c r="E61" s="1162" t="s">
        <v>1424</v>
      </c>
      <c r="F61" s="365">
        <f t="shared" si="0"/>
        <v>1.2E-2</v>
      </c>
      <c r="I61" s="1914"/>
      <c r="J61" s="1914"/>
      <c r="K61" s="1914"/>
      <c r="L61" s="1914"/>
      <c r="O61" s="1880" t="s">
        <v>1045</v>
      </c>
      <c r="P61" s="1871" t="str">
        <f>K59</f>
        <v>建筑物剩余耐用年限下的土地年期修正系数Kn</v>
      </c>
      <c r="Q61" s="1872" t="e">
        <f ca="1">L59</f>
        <v>#N/A</v>
      </c>
      <c r="R61" s="1872" t="s">
        <v>1571</v>
      </c>
    </row>
    <row r="62" spans="1:18" s="1828" customFormat="1" ht="13.5" thickBot="1">
      <c r="A62" s="1194" t="s">
        <v>1497</v>
      </c>
      <c r="B62" s="1161" t="s">
        <v>1443</v>
      </c>
      <c r="C62" s="25" t="e">
        <f ca="1">IF(项目基本情况!B11="自然人","——",ROUND(F62*F63/10000,2))</f>
        <v>#N/A</v>
      </c>
      <c r="D62" s="1177" t="s">
        <v>1444</v>
      </c>
      <c r="E62" s="1162" t="s">
        <v>1445</v>
      </c>
      <c r="F62" s="369">
        <f t="shared" si="0"/>
        <v>5</v>
      </c>
      <c r="I62" s="1915" t="s">
        <v>1572</v>
      </c>
      <c r="J62" s="1916" t="s">
        <v>1573</v>
      </c>
      <c r="K62" s="1916" t="s">
        <v>1574</v>
      </c>
      <c r="L62" s="1916" t="s">
        <v>1575</v>
      </c>
      <c r="M62" s="1917" t="s">
        <v>1576</v>
      </c>
      <c r="O62" s="1870" t="s">
        <v>1046</v>
      </c>
      <c r="P62" s="1871" t="s">
        <v>1551</v>
      </c>
      <c r="Q62" s="1872" t="e">
        <f ca="1">Q56+Q57</f>
        <v>#N/A</v>
      </c>
      <c r="R62" s="1872" t="s">
        <v>1047</v>
      </c>
    </row>
    <row r="63" spans="1:18" s="1828" customFormat="1" ht="13.5" thickBot="1">
      <c r="A63" s="370"/>
      <c r="B63" s="1168"/>
      <c r="C63" s="29"/>
      <c r="D63" s="1178"/>
      <c r="E63" s="1162" t="s">
        <v>1449</v>
      </c>
      <c r="F63" s="346" t="e">
        <f t="shared" ca="1" si="0"/>
        <v>#N/A</v>
      </c>
      <c r="I63" s="1915" t="s">
        <v>1578</v>
      </c>
      <c r="J63" s="1916">
        <v>70</v>
      </c>
      <c r="K63" s="1916">
        <v>50</v>
      </c>
      <c r="L63" s="1916">
        <v>80</v>
      </c>
      <c r="M63" s="1918">
        <v>0.02</v>
      </c>
      <c r="O63" s="1855" t="s">
        <v>1579</v>
      </c>
      <c r="P63" s="1825"/>
      <c r="Q63" s="1825"/>
      <c r="R63" s="1825"/>
    </row>
    <row r="64" spans="1:18" s="1828" customFormat="1" ht="13.5" thickBot="1">
      <c r="A64" s="1194" t="s">
        <v>1039</v>
      </c>
      <c r="B64" s="1162" t="s">
        <v>1451</v>
      </c>
      <c r="C64" s="24" t="e">
        <f ca="1">ROUND(C57*F64,1)</f>
        <v>#N/A</v>
      </c>
      <c r="D64" s="1176" t="s">
        <v>1484</v>
      </c>
      <c r="E64" s="1162" t="s">
        <v>1424</v>
      </c>
      <c r="F64" s="372" t="e">
        <f t="shared" ca="1" si="0"/>
        <v>#N/A</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t="e">
        <f ca="1">ROUND(C56*F65,1)</f>
        <v>#N/A</v>
      </c>
      <c r="D65" s="1176" t="s">
        <v>1456</v>
      </c>
      <c r="E65" s="1162" t="s">
        <v>1424</v>
      </c>
      <c r="F65" s="374" t="e">
        <f t="shared" ca="1" si="0"/>
        <v>#N/A</v>
      </c>
      <c r="I65" s="1915" t="s">
        <v>1581</v>
      </c>
      <c r="J65" s="1916">
        <v>40</v>
      </c>
      <c r="K65" s="1916">
        <v>30</v>
      </c>
      <c r="L65" s="1916">
        <v>50</v>
      </c>
      <c r="M65" s="1918">
        <v>0.02</v>
      </c>
      <c r="O65" s="1870" t="s">
        <v>1040</v>
      </c>
      <c r="P65" s="1871" t="s">
        <v>1530</v>
      </c>
      <c r="Q65" s="1872" t="e">
        <f ca="1">C40+J29</f>
        <v>#N/A</v>
      </c>
      <c r="R65" s="1872" t="s">
        <v>1531</v>
      </c>
    </row>
    <row r="66" spans="1:18" s="1828" customFormat="1" ht="16.5" thickBot="1">
      <c r="A66" s="1194" t="s">
        <v>1506</v>
      </c>
      <c r="B66" s="1162" t="s">
        <v>1441</v>
      </c>
      <c r="C66" s="24" t="e">
        <f ca="1">ROUND(C48*F66,1)</f>
        <v>#N/A</v>
      </c>
      <c r="D66" s="1176" t="s">
        <v>1461</v>
      </c>
      <c r="E66" s="1162" t="s">
        <v>1424</v>
      </c>
      <c r="F66" s="355" t="e">
        <f t="shared" ca="1" si="0"/>
        <v>#N/A</v>
      </c>
      <c r="O66" s="1870" t="s">
        <v>1041</v>
      </c>
      <c r="P66" s="1871" t="s">
        <v>1560</v>
      </c>
      <c r="Q66" s="1872" t="e">
        <f ca="1">L60</f>
        <v>#N/A</v>
      </c>
      <c r="R66" s="1872" t="s">
        <v>1583</v>
      </c>
    </row>
    <row r="67" spans="1:18" s="1828" customFormat="1" ht="16.5" thickBot="1">
      <c r="A67" s="1169" t="s">
        <v>1031</v>
      </c>
      <c r="B67" s="1179" t="s">
        <v>1465</v>
      </c>
      <c r="C67" s="359" t="e">
        <f ca="1">C48-C58</f>
        <v>#N/A</v>
      </c>
      <c r="D67" s="1175" t="s">
        <v>1466</v>
      </c>
      <c r="E67" s="1180"/>
      <c r="F67" s="1181"/>
      <c r="O67" s="1880" t="s">
        <v>1042</v>
      </c>
      <c r="P67" s="1871" t="s">
        <v>1564</v>
      </c>
      <c r="Q67" s="1919" t="e">
        <f ca="1">L51</f>
        <v>#N/A</v>
      </c>
      <c r="R67" s="1872" t="s">
        <v>1584</v>
      </c>
    </row>
    <row r="68" spans="1:18" s="1828" customFormat="1" ht="16.5" thickBot="1">
      <c r="A68" s="1159" t="s">
        <v>1032</v>
      </c>
      <c r="B68" s="1160" t="s">
        <v>1487</v>
      </c>
      <c r="C68" s="344" t="e">
        <f ca="1">ROUND(C67*(1-((1+F70)/(1+F68))^F69)/(F68-F70),0)</f>
        <v>#N/A</v>
      </c>
      <c r="D68" s="1177" t="s">
        <v>1471</v>
      </c>
      <c r="E68" s="1162" t="s">
        <v>1472</v>
      </c>
      <c r="F68" s="355" t="e">
        <f ca="1">F40</f>
        <v>#N/A</v>
      </c>
      <c r="O68" s="1880" t="s">
        <v>1043</v>
      </c>
      <c r="P68" s="1920" t="s">
        <v>1585</v>
      </c>
      <c r="Q68" s="1872" t="e">
        <f ca="1">ROUND(Q69-Q70*Q71,0)</f>
        <v>#N/A</v>
      </c>
      <c r="R68" s="1872" t="s">
        <v>1051</v>
      </c>
    </row>
    <row r="69" spans="1:18" s="1828" customFormat="1" ht="13.5" thickBot="1">
      <c r="A69" s="1163"/>
      <c r="B69" s="1164"/>
      <c r="C69" s="349"/>
      <c r="D69" s="1182" t="s">
        <v>1475</v>
      </c>
      <c r="E69" s="1162" t="s">
        <v>1476</v>
      </c>
      <c r="F69" s="377" t="e">
        <f ca="1">F41</f>
        <v>#N/A</v>
      </c>
      <c r="O69" s="1880" t="s">
        <v>1048</v>
      </c>
      <c r="P69" s="1920" t="s">
        <v>1586</v>
      </c>
      <c r="Q69" s="1872" t="e">
        <f ca="1">C39</f>
        <v>#N/A</v>
      </c>
      <c r="R69" s="1872" t="s">
        <v>1531</v>
      </c>
    </row>
    <row r="70" spans="1:18" s="1828" customFormat="1" ht="13.5" thickBot="1">
      <c r="A70" s="1166"/>
      <c r="B70" s="1167"/>
      <c r="C70" s="353"/>
      <c r="D70" s="1178"/>
      <c r="E70" s="1162" t="s">
        <v>1479</v>
      </c>
      <c r="F70" s="1260"/>
      <c r="O70" s="1880" t="s">
        <v>1049</v>
      </c>
      <c r="P70" s="1920" t="s">
        <v>1587</v>
      </c>
      <c r="Q70" s="1872" t="e">
        <f ca="1">C13</f>
        <v>#N/A</v>
      </c>
      <c r="R70" s="1872" t="s">
        <v>1531</v>
      </c>
    </row>
    <row r="71" spans="1:18" s="1828" customFormat="1" ht="13.5" thickBot="1">
      <c r="A71" s="1183" t="s">
        <v>1033</v>
      </c>
      <c r="B71" s="1184" t="s">
        <v>1489</v>
      </c>
      <c r="C71" s="380" t="e">
        <f ca="1">ROUND(C68*10000/F71,0)</f>
        <v>#N/A</v>
      </c>
      <c r="D71" s="1185" t="s">
        <v>1490</v>
      </c>
      <c r="E71" s="1186" t="s">
        <v>1491</v>
      </c>
      <c r="F71" s="383" t="e">
        <f ca="1">F43</f>
        <v>#N/A</v>
      </c>
      <c r="O71" s="1880" t="s">
        <v>1050</v>
      </c>
      <c r="P71" s="1920" t="s">
        <v>1588</v>
      </c>
      <c r="Q71" s="1883" t="e">
        <f ca="1">C76</f>
        <v>#N/A</v>
      </c>
      <c r="R71" s="1872"/>
    </row>
    <row r="72" spans="1:18" s="1828" customFormat="1" ht="13.5" thickBot="1">
      <c r="B72" s="793"/>
      <c r="C72" s="793"/>
      <c r="O72" s="1880" t="s">
        <v>1044</v>
      </c>
      <c r="P72" s="1871" t="s">
        <v>1566</v>
      </c>
      <c r="Q72" s="1883">
        <f>L52</f>
        <v>0.05</v>
      </c>
      <c r="R72" s="1872"/>
    </row>
    <row r="73" spans="1:18" ht="16.5" thickBot="1">
      <c r="A73" s="1828"/>
      <c r="B73" s="793"/>
      <c r="C73" s="793"/>
      <c r="D73" s="1828"/>
      <c r="E73" s="1828"/>
      <c r="F73" s="1828"/>
      <c r="O73" s="1880" t="s">
        <v>1045</v>
      </c>
      <c r="P73" s="1871" t="s">
        <v>1569</v>
      </c>
      <c r="Q73" s="1872" t="e">
        <f ca="1">L58</f>
        <v>#N/A</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t="e">
        <f ca="1">L59</f>
        <v>#N/A</v>
      </c>
      <c r="R74" s="1872" t="s">
        <v>1571</v>
      </c>
    </row>
    <row r="75" spans="1:18" ht="13.5" thickBot="1">
      <c r="A75" s="1828"/>
      <c r="B75" s="384" t="s">
        <v>1508</v>
      </c>
      <c r="C75" s="385" t="e">
        <f ca="1">ROUND(C13*C76,0)</f>
        <v>#N/A</v>
      </c>
      <c r="D75" s="1828"/>
      <c r="E75" s="1828"/>
      <c r="F75" s="1828"/>
      <c r="K75" s="1854"/>
      <c r="L75" s="1828"/>
      <c r="O75" s="1870" t="s">
        <v>1046</v>
      </c>
      <c r="P75" s="1871" t="s">
        <v>1551</v>
      </c>
      <c r="Q75" s="1872" t="e">
        <f ca="1">Q65+Q66</f>
        <v>#N/A</v>
      </c>
      <c r="R75" s="1872" t="s">
        <v>1047</v>
      </c>
    </row>
    <row r="76" spans="1:18">
      <c r="B76" s="386" t="s">
        <v>1509</v>
      </c>
      <c r="C76" s="387" t="e">
        <f ca="1">INDIRECT("'数据-取费表'!j"&amp;$G$1)</f>
        <v>#N/A</v>
      </c>
      <c r="I76" s="1828"/>
      <c r="J76" s="1828"/>
      <c r="K76" s="1854"/>
      <c r="L76" s="1828"/>
    </row>
    <row r="77" spans="1:18">
      <c r="B77" s="388" t="s">
        <v>1510</v>
      </c>
      <c r="C77" s="389"/>
      <c r="I77" s="1828"/>
      <c r="J77" s="1828"/>
      <c r="K77" s="1854"/>
      <c r="L77" s="182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43035</v>
      </c>
      <c r="C2" s="2" t="s">
        <v>133</v>
      </c>
      <c r="D2" s="241"/>
      <c r="E2" s="241"/>
      <c r="F2" s="241"/>
      <c r="G2" s="241"/>
    </row>
    <row r="3" spans="1:7" s="242" customFormat="1" ht="18" customHeight="1" thickBot="1">
      <c r="A3" s="245" t="s">
        <v>85</v>
      </c>
      <c r="B3" s="246">
        <f ca="1">ROUND(B2*10000/'数据-汇总表'!E3,0)</f>
        <v>14993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1148</v>
      </c>
    </row>
    <row r="9" spans="1:7" s="256" customFormat="1" ht="13.5" customHeight="1">
      <c r="A9" s="943" t="s">
        <v>800</v>
      </c>
      <c r="B9" s="266" t="s">
        <v>93</v>
      </c>
      <c r="C9" s="267">
        <f>ROUND(D9*E9/10000,0)</f>
        <v>0</v>
      </c>
      <c r="D9" s="1025">
        <f>'数据-汇总表'!E5</f>
        <v>0</v>
      </c>
      <c r="E9" s="267">
        <f>'数据-取费表'!B27</f>
        <v>165</v>
      </c>
      <c r="F9" s="263"/>
      <c r="G9" s="268"/>
    </row>
    <row r="10" spans="1:7" s="256" customFormat="1" ht="13.5" customHeight="1">
      <c r="A10" s="943" t="s">
        <v>801</v>
      </c>
      <c r="B10" s="266" t="s">
        <v>94</v>
      </c>
      <c r="C10" s="267">
        <f>ROUND(D10*E10/10000,0)</f>
        <v>631</v>
      </c>
      <c r="D10" s="1025">
        <f>'数据-汇总表'!E6</f>
        <v>28703.600000000002</v>
      </c>
      <c r="E10" s="267">
        <f>'数据-取费表'!B28</f>
        <v>220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1055</v>
      </c>
      <c r="B19" s="252" t="s">
        <v>111</v>
      </c>
      <c r="C19" s="253">
        <f>IF(G19="已包含在土地取得成本中","0",ROUND(D19*E19/10000,0))</f>
        <v>574</v>
      </c>
      <c r="D19" s="1029">
        <f>'数据-汇总表'!E3</f>
        <v>28703.600000000002</v>
      </c>
      <c r="E19" s="253">
        <f>'数据-取费表'!B31</f>
        <v>200</v>
      </c>
      <c r="F19" s="273"/>
      <c r="G19" s="1" t="s">
        <v>1074</v>
      </c>
    </row>
    <row r="20" spans="1:7" s="256" customFormat="1" ht="13.5" customHeight="1">
      <c r="A20" s="941" t="s">
        <v>1057</v>
      </c>
      <c r="B20" s="252" t="s">
        <v>104</v>
      </c>
      <c r="C20" s="274">
        <f>ROUND((C5+C19)*F20,0)</f>
        <v>318</v>
      </c>
      <c r="D20" s="274"/>
      <c r="E20" s="274"/>
      <c r="F20" s="275">
        <f>'数据-取费表'!B37</f>
        <v>1.4999999999999999E-2</v>
      </c>
      <c r="G20" s="1274" t="s">
        <v>1068</v>
      </c>
    </row>
    <row r="21" spans="1:7" s="256" customFormat="1" ht="13.5" customHeight="1">
      <c r="A21" s="941" t="s">
        <v>1059</v>
      </c>
      <c r="B21" s="252" t="s">
        <v>105</v>
      </c>
      <c r="C21" s="277">
        <f>F21</f>
        <v>2.5000000000000001E-2</v>
      </c>
      <c r="D21" s="278" t="s">
        <v>126</v>
      </c>
      <c r="E21" s="274"/>
      <c r="F21" s="275">
        <f>'数据-取费表'!B38</f>
        <v>2.5000000000000001E-2</v>
      </c>
      <c r="G21" s="276" t="s">
        <v>106</v>
      </c>
    </row>
    <row r="22" spans="1:7" s="256" customFormat="1" ht="13.5" customHeight="1">
      <c r="A22" s="941" t="s">
        <v>786</v>
      </c>
      <c r="B22" s="252" t="s">
        <v>107</v>
      </c>
      <c r="C22" s="1339">
        <f ca="1">ROUND(SUM(C23:C25),0)</f>
        <v>2075</v>
      </c>
      <c r="D22" s="277">
        <f ca="1">C26</f>
        <v>1.1999999999999999E-3</v>
      </c>
      <c r="E22" s="278" t="s">
        <v>126</v>
      </c>
      <c r="F22" s="279">
        <f ca="1">'数据-取费表'!B40</f>
        <v>4.7500000000000001E-2</v>
      </c>
      <c r="G22" s="1274" t="str">
        <f>IF('数据-取费表'!B22&lt;=1,"单利计息","复利计息")</f>
        <v>复利计息</v>
      </c>
    </row>
    <row r="23" spans="1:7" s="256" customFormat="1" ht="13.5" customHeight="1">
      <c r="A23" s="944" t="s">
        <v>794</v>
      </c>
      <c r="B23" s="257" t="s">
        <v>1061</v>
      </c>
      <c r="C23" s="1340">
        <f ca="1">ROUND(IF('数据-取费表'!B22&lt;=1,C5*F22*'数据-取费表'!B23,C5*(POWER((1+F22),'数据-取费表'!B23)-1)),0)</f>
        <v>2004</v>
      </c>
      <c r="D23" s="280"/>
      <c r="E23" s="280"/>
      <c r="F23" s="281"/>
      <c r="G23" s="282" t="s">
        <v>108</v>
      </c>
    </row>
    <row r="24" spans="1:7" s="256" customFormat="1" ht="13.5" customHeight="1">
      <c r="A24" s="944" t="s">
        <v>792</v>
      </c>
      <c r="B24" s="257" t="s">
        <v>1056</v>
      </c>
      <c r="C24" s="1340">
        <f ca="1">ROUND(IF('数据-取费表'!B22&lt;=1,C19*F22*('数据-取费表'!B19/2+'数据-取费表'!B21),C19*(POWER((1+F22),('数据-取费表'!B19/2+'数据-取费表'!B21))-1)),0)</f>
        <v>56</v>
      </c>
      <c r="D24" s="280"/>
      <c r="E24" s="280"/>
      <c r="F24" s="281"/>
      <c r="G24" s="282" t="s">
        <v>109</v>
      </c>
    </row>
    <row r="25" spans="1:7" s="256" customFormat="1" ht="24">
      <c r="A25" s="944" t="s">
        <v>793</v>
      </c>
      <c r="B25" s="257" t="s">
        <v>1058</v>
      </c>
      <c r="C25" s="1340">
        <f ca="1">ROUND(IF('数据-取费表'!B22&lt;=1,C20*F22*'数据-取费表'!B23/2,C20*(POWER((1+F22),'数据-取费表'!B23/2)-1)),0)</f>
        <v>15</v>
      </c>
      <c r="D25" s="280"/>
      <c r="E25" s="283"/>
      <c r="F25" s="281"/>
      <c r="G25" s="284" t="s">
        <v>110</v>
      </c>
    </row>
    <row r="26" spans="1:7" s="256" customFormat="1">
      <c r="A26" s="944" t="s">
        <v>795</v>
      </c>
      <c r="B26" s="257" t="s">
        <v>1060</v>
      </c>
      <c r="C26" s="280">
        <f ca="1">ROUND(IF('数据-取费表'!B22&lt;=1,F21*F22*'数据-取费表'!B23/2,F21*(POWER((1+F22),'数据-取费表'!B23/2)-1)),4)</f>
        <v>1.1999999999999999E-3</v>
      </c>
      <c r="D26" s="280"/>
      <c r="E26" s="283"/>
      <c r="F26" s="281"/>
      <c r="G26" s="285"/>
    </row>
    <row r="27" spans="1:7" s="256" customFormat="1" ht="24.75">
      <c r="A27" s="941" t="s">
        <v>787</v>
      </c>
      <c r="B27" s="286" t="s">
        <v>112</v>
      </c>
      <c r="C27" s="287">
        <f>C28</f>
        <v>4515</v>
      </c>
      <c r="D27" s="277">
        <f>C29</f>
        <v>5.3E-3</v>
      </c>
      <c r="E27" s="278" t="s">
        <v>126</v>
      </c>
      <c r="F27" s="288">
        <f>'数据-取费表'!Q16</f>
        <v>0.21</v>
      </c>
      <c r="G27" s="289" t="s">
        <v>1069</v>
      </c>
    </row>
    <row r="28" spans="1:7" s="256" customFormat="1" ht="13.5" customHeight="1">
      <c r="A28" s="944" t="s">
        <v>794</v>
      </c>
      <c r="B28" s="290" t="s">
        <v>1062</v>
      </c>
      <c r="C28" s="291">
        <f>ROUND((C5+C19+C20)*F27*'数据-取费表'!B21/'数据-取费表'!B20,0)</f>
        <v>4515</v>
      </c>
      <c r="D28" s="277"/>
      <c r="E28" s="278"/>
      <c r="F28" s="288"/>
      <c r="G28" s="289"/>
    </row>
    <row r="29" spans="1:7" s="256" customFormat="1" ht="13.5" customHeight="1">
      <c r="A29" s="944" t="s">
        <v>792</v>
      </c>
      <c r="B29" s="290" t="s">
        <v>1063</v>
      </c>
      <c r="C29" s="280">
        <f>ROUND(C21*F27*'数据-取费表'!B21/'数据-取费表'!B20,4)</f>
        <v>5.3E-3</v>
      </c>
      <c r="D29" s="277"/>
      <c r="E29" s="278"/>
      <c r="F29" s="288"/>
      <c r="G29" s="289"/>
    </row>
    <row r="30" spans="1:7" s="256" customFormat="1" ht="13.5" customHeight="1">
      <c r="A30" s="941" t="s">
        <v>788</v>
      </c>
      <c r="B30" s="252" t="s">
        <v>58</v>
      </c>
      <c r="C30" s="277">
        <f>F30</f>
        <v>5.6500000000000002E-2</v>
      </c>
      <c r="D30" s="278" t="s">
        <v>127</v>
      </c>
      <c r="E30" s="283"/>
      <c r="F30" s="279">
        <f>'数据-取费表'!B41</f>
        <v>5.6500000000000002E-2</v>
      </c>
      <c r="G30" s="276" t="s">
        <v>113</v>
      </c>
    </row>
    <row r="31" spans="1:7" ht="16.5" customHeight="1">
      <c r="A31" s="251">
        <v>1</v>
      </c>
      <c r="B31" s="252" t="s">
        <v>128</v>
      </c>
      <c r="C31" s="253">
        <f ca="1">ROUND((C5+C19+C20+C22+C27)/(1-C21-D22-D27-C30/(1+'数据-取费表'!B42)),0)</f>
        <v>30712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9496</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8538</v>
      </c>
      <c r="D34" s="259"/>
      <c r="E34" s="262"/>
      <c r="F34" s="299">
        <f>IF('数据-取费表'!B24=0,1,'数据-取费表'!N16)</f>
        <v>1</v>
      </c>
      <c r="G34" s="261" t="s">
        <v>116</v>
      </c>
    </row>
    <row r="35" spans="1:7" ht="13.5" customHeight="1">
      <c r="A35" s="944" t="s">
        <v>796</v>
      </c>
      <c r="B35" s="257" t="s">
        <v>60</v>
      </c>
      <c r="C35" s="262">
        <f>ROUND(C34*F35,0)</f>
        <v>256</v>
      </c>
      <c r="D35" s="262"/>
      <c r="E35" s="262"/>
      <c r="F35" s="301">
        <f>'数据-取费表'!B33</f>
        <v>0.03</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4" t="s">
        <v>798</v>
      </c>
      <c r="B37" s="257" t="s">
        <v>118</v>
      </c>
      <c r="C37" s="291">
        <f>ROUND(E37*D37*F34/10000,0)</f>
        <v>574</v>
      </c>
      <c r="D37" s="259">
        <f>'数据-汇总表'!E3</f>
        <v>28703.600000000002</v>
      </c>
      <c r="E37" s="291">
        <f>'数据-取费表'!B35</f>
        <v>200</v>
      </c>
      <c r="F37" s="301"/>
      <c r="G37" s="303" t="s">
        <v>119</v>
      </c>
    </row>
    <row r="38" spans="1:7" ht="13.5" customHeight="1">
      <c r="A38" s="944" t="s">
        <v>799</v>
      </c>
      <c r="B38" s="257" t="s">
        <v>63</v>
      </c>
      <c r="C38" s="262">
        <f>ROUND(C34*F38,0)</f>
        <v>128</v>
      </c>
      <c r="D38" s="262"/>
      <c r="E38" s="262"/>
      <c r="F38" s="301">
        <f>'数据-取费表'!B36</f>
        <v>1.4999999999999999E-2</v>
      </c>
      <c r="G38" s="261" t="s">
        <v>117</v>
      </c>
    </row>
    <row r="39" spans="1:7" s="256" customFormat="1" ht="13.5" customHeight="1">
      <c r="A39" s="941" t="s">
        <v>783</v>
      </c>
      <c r="B39" s="252" t="s">
        <v>104</v>
      </c>
      <c r="C39" s="274">
        <f>ROUND(C33*F20,0)</f>
        <v>142</v>
      </c>
      <c r="D39" s="274"/>
      <c r="E39" s="274"/>
      <c r="F39" s="275"/>
      <c r="G39" s="1274" t="s">
        <v>1071</v>
      </c>
    </row>
    <row r="40" spans="1:7" s="256" customFormat="1" ht="13.5" customHeight="1">
      <c r="A40" s="941" t="s">
        <v>784</v>
      </c>
      <c r="B40" s="252" t="s">
        <v>105</v>
      </c>
      <c r="C40" s="304">
        <f>F21</f>
        <v>2.5000000000000001E-2</v>
      </c>
      <c r="D40" s="278" t="s">
        <v>129</v>
      </c>
      <c r="E40" s="274"/>
      <c r="F40" s="275"/>
      <c r="G40" s="276" t="s">
        <v>120</v>
      </c>
    </row>
    <row r="41" spans="1:7" s="256" customFormat="1" ht="13.5" customHeight="1">
      <c r="A41" s="941" t="s">
        <v>785</v>
      </c>
      <c r="B41" s="252" t="s">
        <v>107</v>
      </c>
      <c r="C41" s="274">
        <f ca="1">ROUND(SUM(C42:C43),0)</f>
        <v>458</v>
      </c>
      <c r="D41" s="277">
        <f ca="1">C44</f>
        <v>1.1999999999999999E-3</v>
      </c>
      <c r="E41" s="278" t="s">
        <v>129</v>
      </c>
      <c r="F41" s="279"/>
      <c r="G41" s="1274" t="str">
        <f>IF('数据-取费表'!B22&lt;=1,"单利计息","复利计息")</f>
        <v>复利计息</v>
      </c>
    </row>
    <row r="42" spans="1:7" ht="13.5" customHeight="1">
      <c r="A42" s="944" t="s">
        <v>794</v>
      </c>
      <c r="B42" s="257" t="s">
        <v>1061</v>
      </c>
      <c r="C42" s="280">
        <f ca="1">ROUND(IF('数据-取费表'!B22&lt;=1,C33*F22*'数据-取费表'!B21/2,C33*(POWER((1+F22),'数据-取费表'!B21/2)-1)),0)</f>
        <v>451</v>
      </c>
      <c r="D42" s="280"/>
      <c r="E42" s="280"/>
      <c r="F42" s="281"/>
      <c r="G42" s="3149" t="s">
        <v>121</v>
      </c>
    </row>
    <row r="43" spans="1:7" ht="13.5" customHeight="1">
      <c r="A43" s="944" t="s">
        <v>792</v>
      </c>
      <c r="B43" s="257" t="s">
        <v>1064</v>
      </c>
      <c r="C43" s="280">
        <f ca="1">ROUND(IF('数据-取费表'!B22&lt;=1,C39*F22*'数据-取费表'!B21/2,C39*(POWER((1+F22),'数据-取费表'!B21/2)-1)),0)</f>
        <v>7</v>
      </c>
      <c r="D43" s="280"/>
      <c r="E43" s="280"/>
      <c r="F43" s="281"/>
      <c r="G43" s="3150"/>
    </row>
    <row r="44" spans="1:7" ht="13.5" customHeight="1">
      <c r="A44" s="944" t="s">
        <v>793</v>
      </c>
      <c r="B44" s="257" t="s">
        <v>1066</v>
      </c>
      <c r="C44" s="280">
        <f ca="1">ROUND(IF('数据-取费表'!B22&lt;=1,C40*F22*'数据-取费表'!B21/2,C40*(POWER((1+F22),'数据-取费表'!B21/2)-1)),4)</f>
        <v>1.1999999999999999E-3</v>
      </c>
      <c r="D44" s="280"/>
      <c r="E44" s="280"/>
      <c r="F44" s="281"/>
      <c r="G44" s="3151"/>
    </row>
    <row r="45" spans="1:7" s="256" customFormat="1" ht="13.5" customHeight="1">
      <c r="A45" s="941" t="s">
        <v>786</v>
      </c>
      <c r="B45" s="286" t="s">
        <v>112</v>
      </c>
      <c r="C45" s="287">
        <f>C46</f>
        <v>2024</v>
      </c>
      <c r="D45" s="277">
        <f>C47</f>
        <v>5.3E-3</v>
      </c>
      <c r="E45" s="278" t="s">
        <v>129</v>
      </c>
      <c r="F45" s="288"/>
      <c r="G45" s="289" t="s">
        <v>1072</v>
      </c>
    </row>
    <row r="46" spans="1:7" s="256" customFormat="1" ht="13.5" customHeight="1">
      <c r="A46" s="944" t="s">
        <v>794</v>
      </c>
      <c r="B46" s="290" t="s">
        <v>1065</v>
      </c>
      <c r="C46" s="291">
        <f>ROUND((C33+C39)*F27,0)</f>
        <v>2024</v>
      </c>
      <c r="D46" s="305"/>
      <c r="E46" s="278"/>
      <c r="F46" s="288"/>
      <c r="G46" s="289"/>
    </row>
    <row r="47" spans="1:7" s="256" customFormat="1" ht="13.5" customHeight="1">
      <c r="A47" s="944" t="s">
        <v>792</v>
      </c>
      <c r="B47" s="290" t="s">
        <v>1067</v>
      </c>
      <c r="C47" s="280">
        <f>ROUND(C40*F27,4)</f>
        <v>5.3E-3</v>
      </c>
      <c r="D47" s="305"/>
      <c r="E47" s="278"/>
      <c r="F47" s="288"/>
      <c r="G47" s="289"/>
    </row>
    <row r="48" spans="1:7" s="256" customFormat="1" ht="13.5" customHeight="1">
      <c r="A48" s="941" t="s">
        <v>787</v>
      </c>
      <c r="B48" s="252" t="s">
        <v>122</v>
      </c>
      <c r="C48" s="304">
        <f>F30</f>
        <v>5.6500000000000002E-2</v>
      </c>
      <c r="D48" s="278" t="s">
        <v>130</v>
      </c>
      <c r="E48" s="274"/>
      <c r="F48" s="279"/>
      <c r="G48" s="276" t="s">
        <v>123</v>
      </c>
    </row>
    <row r="49" spans="1:7" ht="16.5" customHeight="1">
      <c r="A49" s="941" t="s">
        <v>788</v>
      </c>
      <c r="B49" s="252" t="s">
        <v>131</v>
      </c>
      <c r="C49" s="274">
        <f ca="1">ROUND((C33+C39+C41+C45)/(1-C40-D41-D45-C48/(1+'数据-取费表'!B42)),0)</f>
        <v>13250</v>
      </c>
      <c r="D49" s="274"/>
      <c r="E49" s="274"/>
      <c r="F49" s="306"/>
      <c r="G49" s="276" t="s">
        <v>1073</v>
      </c>
    </row>
    <row r="50" spans="1:7" s="300" customFormat="1" ht="24">
      <c r="A50" s="941" t="s">
        <v>789</v>
      </c>
      <c r="B50" s="252" t="s">
        <v>124</v>
      </c>
      <c r="C50" s="274"/>
      <c r="D50" s="274"/>
      <c r="E50" s="274"/>
      <c r="F50" s="306">
        <f>IF('数据-取费表'!B24=0,'数据-取费表'!N16,1)</f>
        <v>0.93</v>
      </c>
      <c r="G50" s="289" t="s">
        <v>125</v>
      </c>
    </row>
    <row r="51" spans="1:7" ht="16.5" customHeight="1">
      <c r="A51" s="941" t="s">
        <v>790</v>
      </c>
      <c r="B51" s="252" t="s">
        <v>132</v>
      </c>
      <c r="C51" s="274">
        <f ca="1">ROUND(C49*F50,0)</f>
        <v>12323</v>
      </c>
      <c r="D51" s="274"/>
      <c r="E51" s="274"/>
      <c r="F51" s="306"/>
      <c r="G51" s="276" t="s">
        <v>64</v>
      </c>
    </row>
    <row r="52" spans="1:7" s="250" customFormat="1" ht="16.5" thickBot="1">
      <c r="A52" s="307" t="s">
        <v>65</v>
      </c>
      <c r="B52" s="308"/>
      <c r="C52" s="309">
        <f ca="1">C31+C51</f>
        <v>43035</v>
      </c>
      <c r="D52" s="308"/>
      <c r="E52" s="308"/>
      <c r="F52" s="308"/>
      <c r="G52" s="310"/>
    </row>
    <row r="55" spans="1:7" ht="15">
      <c r="B55" s="312" t="s">
        <v>66</v>
      </c>
      <c r="C55" s="313"/>
    </row>
    <row r="56" spans="1:7">
      <c r="B56" s="315" t="s">
        <v>67</v>
      </c>
      <c r="C56" s="316">
        <f ca="1">ROUND(C51/C52,3)</f>
        <v>0.28599999999999998</v>
      </c>
    </row>
    <row r="57" spans="1:7">
      <c r="B57" s="315" t="s">
        <v>68</v>
      </c>
      <c r="C57" s="317">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289" t="s">
        <v>156</v>
      </c>
      <c r="B1" s="3289"/>
      <c r="C1" s="3289"/>
      <c r="D1" s="3289"/>
      <c r="E1" s="3289"/>
      <c r="F1" s="3289"/>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290" t="s">
        <v>169</v>
      </c>
      <c r="B2" s="3290"/>
      <c r="C2" s="3290"/>
      <c r="D2" s="3290"/>
      <c r="E2" s="3290"/>
      <c r="F2" s="3290"/>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291"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292"/>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289" t="s">
        <v>871</v>
      </c>
      <c r="B1" s="3289"/>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1301</v>
      </c>
      <c r="C1" s="1680">
        <f>项目基本情况!D3</f>
        <v>43061</v>
      </c>
      <c r="D1" s="1686" t="s">
        <v>1302</v>
      </c>
      <c r="E1" s="1681">
        <f>'数据-取费表'!B22</f>
        <v>2</v>
      </c>
      <c r="F1" s="1686" t="s">
        <v>1303</v>
      </c>
      <c r="G1" s="1682">
        <f ca="1">INDIRECT("d"&amp;$K$1)/100</f>
        <v>4.7500000000000001E-2</v>
      </c>
      <c r="H1" s="1686" t="s">
        <v>1333</v>
      </c>
      <c r="I1" s="1682">
        <f ca="1">F4/100</f>
        <v>1.4999999999999999E-2</v>
      </c>
      <c r="J1" s="1687">
        <f>IF(C1&gt;C13,0,MATCH(C1,C$13:C$100,-1))+IF(SUMIF(C13:C100,C1,D13:D100)=0,13,12)</f>
        <v>13</v>
      </c>
      <c r="K1" s="1687">
        <f>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1304</v>
      </c>
      <c r="E2" s="1622"/>
      <c r="F2" s="1622" t="s">
        <v>1305</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1306</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1307</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1308</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1309</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1310</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1311</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1312</v>
      </c>
      <c r="C10" s="1650"/>
      <c r="D10" s="1650"/>
      <c r="E10" s="1650"/>
      <c r="F10" s="1650"/>
      <c r="G10" s="1650"/>
      <c r="H10" s="1650"/>
      <c r="I10" s="1624"/>
      <c r="J10" s="1624"/>
      <c r="K10" s="1650"/>
      <c r="L10" s="1651" t="s">
        <v>1313</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1314</v>
      </c>
      <c r="C11" s="1655" t="s">
        <v>1315</v>
      </c>
      <c r="D11" s="1656" t="s">
        <v>1316</v>
      </c>
      <c r="E11" s="1657"/>
      <c r="F11" s="1656" t="s">
        <v>1317</v>
      </c>
      <c r="G11" s="1658"/>
      <c r="H11" s="1657"/>
      <c r="I11" s="1656" t="s">
        <v>1318</v>
      </c>
      <c r="J11" s="1657"/>
      <c r="K11" s="1653"/>
      <c r="L11" s="1654" t="s">
        <v>1314</v>
      </c>
      <c r="M11" s="1655" t="s">
        <v>1315</v>
      </c>
      <c r="N11" s="1654" t="s">
        <v>1319</v>
      </c>
      <c r="O11" s="1656" t="s">
        <v>1320</v>
      </c>
      <c r="P11" s="1658"/>
      <c r="Q11" s="1658"/>
      <c r="R11" s="1658"/>
      <c r="S11" s="1658"/>
      <c r="T11" s="1657"/>
      <c r="U11" s="1656" t="s">
        <v>1321</v>
      </c>
      <c r="V11" s="1658"/>
      <c r="W11" s="1657"/>
      <c r="X11" s="1654" t="s">
        <v>1322</v>
      </c>
      <c r="Y11" s="1654" t="s">
        <v>1323</v>
      </c>
      <c r="Z11" s="1654" t="s">
        <v>1324</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1325</v>
      </c>
      <c r="E12" s="1663" t="s">
        <v>1326</v>
      </c>
      <c r="F12" s="1663" t="s">
        <v>1327</v>
      </c>
      <c r="G12" s="1663" t="s">
        <v>1328</v>
      </c>
      <c r="H12" s="1663" t="s">
        <v>1310</v>
      </c>
      <c r="I12" s="1664" t="s">
        <v>1329</v>
      </c>
      <c r="J12" s="1664" t="s">
        <v>1329</v>
      </c>
      <c r="K12" s="1660"/>
      <c r="L12" s="1661"/>
      <c r="M12" s="1662"/>
      <c r="N12" s="1661"/>
      <c r="O12" s="1664" t="s">
        <v>1330</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1331</v>
      </c>
      <c r="C13" s="1668">
        <v>42301</v>
      </c>
      <c r="D13" s="1669">
        <v>4.3499999999999996</v>
      </c>
      <c r="E13" s="1669">
        <v>4.3499999999999996</v>
      </c>
      <c r="F13" s="1669">
        <v>4.75</v>
      </c>
      <c r="G13" s="1669">
        <v>4.75</v>
      </c>
      <c r="H13" s="1669">
        <v>4.9000000000000004</v>
      </c>
      <c r="I13" s="1669">
        <v>2.75</v>
      </c>
      <c r="J13" s="1669">
        <v>3.25</v>
      </c>
      <c r="K13" s="1666"/>
      <c r="L13" s="1667" t="s">
        <v>1331</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1332</v>
      </c>
      <c r="Y42" s="1673" t="s">
        <v>1332</v>
      </c>
      <c r="Z42" s="1673" t="s">
        <v>1332</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1332</v>
      </c>
      <c r="Y43" s="1673" t="s">
        <v>1332</v>
      </c>
      <c r="Z43" s="1673" t="s">
        <v>1332</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1332</v>
      </c>
      <c r="Y44" s="1673" t="s">
        <v>1332</v>
      </c>
      <c r="Z44" s="1673" t="s">
        <v>1332</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1332</v>
      </c>
      <c r="Y45" s="1673" t="s">
        <v>1332</v>
      </c>
      <c r="Z45" s="1673" t="s">
        <v>1332</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1332</v>
      </c>
      <c r="Y46" s="1673" t="s">
        <v>1332</v>
      </c>
      <c r="Z46" s="1673" t="s">
        <v>1332</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1332</v>
      </c>
      <c r="Y47" s="1673" t="s">
        <v>1332</v>
      </c>
      <c r="Z47" s="1673" t="s">
        <v>1332</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1332</v>
      </c>
      <c r="Y48" s="1673" t="s">
        <v>1332</v>
      </c>
      <c r="Z48" s="1673" t="s">
        <v>1332</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1332</v>
      </c>
      <c r="Y49" s="1673" t="s">
        <v>1332</v>
      </c>
      <c r="Z49" s="1673" t="s">
        <v>1332</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1332</v>
      </c>
      <c r="Y50" s="1673" t="s">
        <v>1332</v>
      </c>
      <c r="Z50" s="1673" t="s">
        <v>1332</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1332</v>
      </c>
      <c r="V51" s="1673" t="s">
        <v>1332</v>
      </c>
      <c r="W51" s="1673" t="s">
        <v>1332</v>
      </c>
      <c r="X51" s="1673" t="s">
        <v>1332</v>
      </c>
      <c r="Y51" s="1673" t="s">
        <v>1332</v>
      </c>
      <c r="Z51" s="1673" t="s">
        <v>1332</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1332</v>
      </c>
      <c r="J55" s="1673" t="s">
        <v>1332</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68" t="s">
        <v>1373</v>
      </c>
      <c r="E1" s="1762" t="s">
        <v>1377</v>
      </c>
      <c r="F1" s="1763" t="s">
        <v>1381</v>
      </c>
    </row>
    <row r="2" spans="1:13" ht="20.25">
      <c r="A2" s="1769" t="s">
        <v>1374</v>
      </c>
    </row>
    <row r="3" spans="1:13" ht="16.5">
      <c r="A3" s="1770" t="s">
        <v>1375</v>
      </c>
    </row>
    <row r="4" spans="1:13" ht="14.25">
      <c r="A4" s="1760" t="s">
        <v>1376</v>
      </c>
      <c r="B4" s="1765" t="s">
        <v>1378</v>
      </c>
      <c r="C4" s="1766"/>
      <c r="D4" s="1767"/>
      <c r="E4" s="1765" t="s">
        <v>27</v>
      </c>
      <c r="F4" s="1766"/>
      <c r="G4" s="1767"/>
      <c r="H4" s="1765" t="s">
        <v>1379</v>
      </c>
      <c r="I4" s="1766"/>
      <c r="J4" s="1767"/>
      <c r="K4" s="1765" t="s">
        <v>6</v>
      </c>
      <c r="L4" s="1766"/>
      <c r="M4" s="1767"/>
    </row>
    <row r="5" spans="1:13" ht="14.25">
      <c r="A5" s="1761" t="s">
        <v>1380</v>
      </c>
      <c r="B5" s="1760" t="s">
        <v>1382</v>
      </c>
      <c r="C5" s="1760" t="s">
        <v>1383</v>
      </c>
      <c r="D5" s="1760" t="s">
        <v>1384</v>
      </c>
      <c r="E5" s="1760" t="s">
        <v>1382</v>
      </c>
      <c r="F5" s="1760" t="s">
        <v>1383</v>
      </c>
      <c r="G5" s="1760" t="s">
        <v>1384</v>
      </c>
      <c r="H5" s="1760" t="s">
        <v>1382</v>
      </c>
      <c r="I5" s="1760" t="s">
        <v>1383</v>
      </c>
      <c r="J5" s="1760" t="s">
        <v>1384</v>
      </c>
      <c r="K5" s="1760" t="s">
        <v>1382</v>
      </c>
      <c r="L5" s="1760" t="s">
        <v>1383</v>
      </c>
      <c r="M5" s="1760" t="s">
        <v>1384</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1643</v>
      </c>
      <c r="B2" s="2975" t="s">
        <v>1644</v>
      </c>
      <c r="C2" s="2975" t="s">
        <v>1645</v>
      </c>
      <c r="D2" s="2975" t="str">
        <f>'结果表-公寓'!D116</f>
        <v>出让国有建设用地使用权价值</v>
      </c>
      <c r="E2" s="2975"/>
      <c r="F2" s="2975" t="str">
        <f>'结果表-公寓'!F116</f>
        <v>建筑物价值</v>
      </c>
      <c r="G2" s="2975"/>
      <c r="H2" s="2975" t="str">
        <f>IF(项目基本情况!B9="房地产市场价值","房地产市场价值","房地产价值")</f>
        <v>房地产价值</v>
      </c>
      <c r="I2" s="2975"/>
    </row>
    <row r="3" spans="1:9" ht="15">
      <c r="A3" s="2976"/>
      <c r="B3" s="2976"/>
      <c r="C3" s="2976"/>
      <c r="D3" s="1037" t="s">
        <v>1640</v>
      </c>
      <c r="E3" s="1037" t="s">
        <v>1646</v>
      </c>
      <c r="F3" s="1037" t="s">
        <v>1640</v>
      </c>
      <c r="G3" s="1037" t="s">
        <v>1641</v>
      </c>
      <c r="H3" s="1037" t="s">
        <v>1640</v>
      </c>
      <c r="I3" s="1037" t="s">
        <v>1641</v>
      </c>
    </row>
    <row r="4" spans="1:9" ht="30">
      <c r="A4" s="1959" t="str">
        <f>项目基本情况!S2</f>
        <v>天津市南开区红旗路与楚雄道交口西北侧房地产</v>
      </c>
      <c r="B4" s="1037">
        <f>项目基本情况!C17</f>
        <v>28703.600000000002</v>
      </c>
      <c r="C4" s="1037">
        <f>项目基本情况!C18</f>
        <v>2337.9</v>
      </c>
      <c r="D4" s="1037">
        <f ca="1">'结果表-公寓'!D118</f>
        <v>72</v>
      </c>
      <c r="E4" s="1037">
        <f ca="1">'结果表-公寓'!E118</f>
        <v>12085</v>
      </c>
      <c r="F4" s="1037">
        <f ca="1">'结果表-公寓'!F118</f>
        <v>62</v>
      </c>
      <c r="G4" s="1037">
        <f ca="1">'结果表-公寓'!G118</f>
        <v>10406</v>
      </c>
      <c r="H4" s="1037">
        <f ca="1">'结果表-公寓'!H118</f>
        <v>134</v>
      </c>
      <c r="I4" s="1037">
        <f ca="1">'结果表-公寓'!I118</f>
        <v>22491</v>
      </c>
    </row>
    <row r="5" spans="1:9" ht="30" customHeight="1">
      <c r="A5" s="2976" t="s">
        <v>1642</v>
      </c>
      <c r="B5" s="2976"/>
      <c r="C5" s="2976"/>
      <c r="D5" s="2977" t="str">
        <f ca="1">'结果表-公寓'!D119</f>
        <v>柒拾贰万元整</v>
      </c>
      <c r="E5" s="2977"/>
      <c r="F5" s="2977" t="str">
        <f ca="1">'结果表-公寓'!F119</f>
        <v>陆拾贰万元整</v>
      </c>
      <c r="G5" s="2977"/>
      <c r="H5" s="2977" t="str">
        <f ca="1">'结果表-公寓'!H119</f>
        <v>壹佰叁拾肆万元整</v>
      </c>
      <c r="I5" s="2977"/>
    </row>
    <row r="6" spans="1:9" ht="15.75">
      <c r="A6" s="2978" t="str">
        <f>'结果表-公寓'!A120</f>
        <v>估价师知悉的法定优先受偿款</v>
      </c>
      <c r="B6" s="2978"/>
      <c r="C6" s="2978"/>
      <c r="D6" s="2978">
        <f>'结果表-公寓'!D120</f>
        <v>0</v>
      </c>
      <c r="E6" s="2978"/>
      <c r="F6" s="2978"/>
      <c r="G6" s="2978"/>
      <c r="H6" s="2978"/>
      <c r="I6" s="2978"/>
    </row>
    <row r="7" spans="1:9" ht="15">
      <c r="A7" s="2976" t="s">
        <v>1642</v>
      </c>
      <c r="B7" s="2976"/>
      <c r="C7" s="2976"/>
      <c r="D7" s="2979" t="str">
        <f>'结果表-公寓'!D121</f>
        <v>零元整</v>
      </c>
      <c r="E7" s="2980"/>
      <c r="F7" s="2980"/>
      <c r="G7" s="2980"/>
      <c r="H7" s="2980"/>
      <c r="I7" s="2981"/>
    </row>
    <row r="8" spans="1:9" ht="15.75">
      <c r="A8" s="2978" t="str">
        <f>'结果表-公寓'!A122</f>
        <v>房地产抵押价值</v>
      </c>
      <c r="B8" s="2978"/>
      <c r="C8" s="2978"/>
      <c r="D8" s="2978">
        <f ca="1">'结果表-公寓'!D122</f>
        <v>134</v>
      </c>
      <c r="E8" s="2978"/>
      <c r="F8" s="2978"/>
      <c r="G8" s="2978"/>
      <c r="H8" s="2978"/>
      <c r="I8" s="2978"/>
    </row>
    <row r="9" spans="1:9" ht="15">
      <c r="A9" s="2976" t="s">
        <v>1642</v>
      </c>
      <c r="B9" s="2976"/>
      <c r="C9" s="2976"/>
      <c r="D9" s="2977" t="str">
        <f ca="1">'结果表-公寓'!D123</f>
        <v>壹佰叁拾肆万元整</v>
      </c>
      <c r="E9" s="2977"/>
      <c r="F9" s="2977"/>
      <c r="G9" s="2977"/>
      <c r="H9" s="2977"/>
      <c r="I9" s="2977"/>
    </row>
    <row r="10" spans="1:9" ht="15.75">
      <c r="A10" s="2978" t="str">
        <f>'结果表-公寓'!A124</f>
        <v/>
      </c>
      <c r="B10" s="2978"/>
      <c r="C10" s="2978"/>
      <c r="D10" s="2978" t="str">
        <f>'结果表-公寓'!D124</f>
        <v>——</v>
      </c>
      <c r="E10" s="2978"/>
      <c r="F10" s="2978"/>
      <c r="G10" s="2978"/>
      <c r="H10" s="2978"/>
      <c r="I10" s="2978"/>
    </row>
    <row r="11" spans="1:9" ht="15">
      <c r="A11" s="2976" t="s">
        <v>1642</v>
      </c>
      <c r="B11" s="2976"/>
      <c r="C11" s="2976"/>
      <c r="D11" s="2977" t="e">
        <f>'结果表-公寓'!D125</f>
        <v>#VALUE!</v>
      </c>
      <c r="E11" s="2977"/>
      <c r="F11" s="2977"/>
      <c r="G11" s="2977"/>
      <c r="H11" s="2977"/>
      <c r="I11" s="2977"/>
    </row>
    <row r="12" spans="1:9" ht="15.75">
      <c r="A12" s="2978" t="str">
        <f>'结果表-公寓'!A126</f>
        <v/>
      </c>
      <c r="B12" s="2978"/>
      <c r="C12" s="2978"/>
      <c r="D12" s="2978" t="str">
        <f>'结果表-公寓'!D126</f>
        <v>——</v>
      </c>
      <c r="E12" s="2978"/>
      <c r="F12" s="2978"/>
      <c r="G12" s="2978"/>
      <c r="H12" s="2978"/>
      <c r="I12" s="2978"/>
    </row>
    <row r="13" spans="1:9" ht="15.75" thickBot="1">
      <c r="A13" s="2982" t="s">
        <v>1642</v>
      </c>
      <c r="B13" s="2982"/>
      <c r="C13" s="2982"/>
      <c r="D13" s="2983" t="e">
        <f>'结果表-公寓'!D127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60" t="s">
        <v>1630</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2985" t="s">
        <v>1664</v>
      </c>
      <c r="B1" s="2985"/>
      <c r="C1" s="2985"/>
      <c r="D1" s="2985"/>
    </row>
    <row r="2" spans="1:4" ht="18">
      <c r="A2" s="2986" t="s">
        <v>1648</v>
      </c>
      <c r="B2" s="2986"/>
      <c r="C2" s="2986"/>
      <c r="D2" s="2986"/>
    </row>
    <row r="3" spans="1:4" ht="18.75">
      <c r="A3" s="1963" t="s">
        <v>1649</v>
      </c>
      <c r="B3" s="1963" t="s">
        <v>1650</v>
      </c>
      <c r="C3" s="1963" t="s">
        <v>1651</v>
      </c>
      <c r="D3" s="1963" t="s">
        <v>1652</v>
      </c>
    </row>
    <row r="4" spans="1:4" ht="56.25" customHeight="1">
      <c r="A4" s="1964" t="str">
        <f>项目基本情况!B4</f>
        <v>王鹏</v>
      </c>
      <c r="B4" s="1965">
        <f ca="1">项目基本情况!C4</f>
        <v>1120050019</v>
      </c>
      <c r="C4" s="1966"/>
      <c r="D4" s="1967" t="s">
        <v>1653</v>
      </c>
    </row>
    <row r="5" spans="1:4" ht="56.25" customHeight="1">
      <c r="A5" s="1964" t="str">
        <f>项目基本情况!D4</f>
        <v>郑燚</v>
      </c>
      <c r="B5" s="1965">
        <f ca="1">项目基本情况!E4</f>
        <v>1120070131</v>
      </c>
      <c r="C5" s="1968"/>
      <c r="D5" s="1967" t="s">
        <v>1653</v>
      </c>
    </row>
    <row r="6" spans="1:4" ht="18">
      <c r="A6" s="2986" t="s">
        <v>1654</v>
      </c>
      <c r="B6" s="2986"/>
      <c r="C6" s="2986"/>
      <c r="D6" s="2986"/>
    </row>
    <row r="7" spans="1:4" ht="18.75">
      <c r="A7" s="1963" t="s">
        <v>1649</v>
      </c>
      <c r="B7" s="1965" t="s">
        <v>1655</v>
      </c>
      <c r="C7" s="1963" t="s">
        <v>1651</v>
      </c>
      <c r="D7" s="1963" t="s">
        <v>1652</v>
      </c>
    </row>
    <row r="8" spans="1:4" ht="56.25" customHeight="1">
      <c r="A8" s="1969" t="s">
        <v>869</v>
      </c>
      <c r="B8" s="1969" t="s">
        <v>1</v>
      </c>
      <c r="C8" s="1966"/>
      <c r="D8" s="1967" t="s">
        <v>1653</v>
      </c>
    </row>
    <row r="9" spans="1:4">
      <c r="A9" s="725"/>
      <c r="B9" s="725"/>
      <c r="C9" s="725"/>
      <c r="D9" s="725"/>
    </row>
    <row r="10" spans="1:4" ht="18.75">
      <c r="A10" s="1970" t="s">
        <v>1656</v>
      </c>
      <c r="B10" s="725"/>
      <c r="C10" s="725"/>
      <c r="D10" s="725"/>
    </row>
    <row r="11" spans="1:4" ht="30" customHeight="1">
      <c r="A11" s="2987"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（1）根据估价对象《国有土地使用权》复印件、，截至价值时点，估价对象抵押权未见登记。</v>
      </c>
      <c r="B15" s="2988"/>
      <c r="C15" s="2988"/>
      <c r="D15" s="2988"/>
    </row>
    <row r="16" spans="1:4" ht="30" customHeight="1">
      <c r="A16" s="2991" t="s">
        <v>1658</v>
      </c>
      <c r="B16" s="2991"/>
      <c r="C16" s="2991"/>
      <c r="D16" s="2991"/>
    </row>
    <row r="17" spans="1:4" ht="144" customHeight="1">
      <c r="A17" s="2991" t="s">
        <v>1659</v>
      </c>
      <c r="B17" s="2991"/>
      <c r="C17" s="2991"/>
      <c r="D17" s="2991"/>
    </row>
    <row r="18" spans="1:4" ht="15.75" customHeight="1">
      <c r="A18" s="2988" t="str">
        <f>IF(项目基本情况!B8="抵押",'结果表-公寓'!K120,"——")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71"/>
      <c r="B23" s="1943"/>
      <c r="C23" s="1943"/>
      <c r="D23" s="1943"/>
    </row>
    <row r="24" spans="1:4">
      <c r="A24" s="1971"/>
      <c r="B24" s="1943"/>
      <c r="C24" s="1943"/>
      <c r="D24" s="1943"/>
    </row>
    <row r="25" spans="1:4" ht="18.75">
      <c r="A25" s="1972" t="s">
        <v>1661</v>
      </c>
    </row>
    <row r="26" spans="1:4" ht="18">
      <c r="A26" s="1941"/>
    </row>
    <row r="27" spans="1:4" ht="18.75">
      <c r="A27" s="1941" t="s">
        <v>1662</v>
      </c>
    </row>
    <row r="30" spans="1:4" ht="18.75">
      <c r="D30" s="1972" t="s">
        <v>1663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79" customWidth="1"/>
    <col min="2" max="16384" width="14.5" style="1961"/>
  </cols>
  <sheetData>
    <row r="1" spans="1:7" s="1976" customFormat="1" ht="18.75">
      <c r="A1" s="1975" t="s">
        <v>1665</v>
      </c>
    </row>
    <row r="3" spans="1:7">
      <c r="A3" s="1977" t="s">
        <v>82</v>
      </c>
      <c r="B3" s="1961" t="s">
        <v>1666</v>
      </c>
      <c r="G3" s="1978"/>
    </row>
    <row r="4" spans="1:7">
      <c r="G4" s="1978"/>
    </row>
    <row r="5" spans="1:7">
      <c r="A5" s="1980" t="s">
        <v>73</v>
      </c>
      <c r="B5" s="1961" t="s">
        <v>1667</v>
      </c>
      <c r="G5" s="1978"/>
    </row>
    <row r="6" spans="1:7">
      <c r="G6" s="1978"/>
    </row>
    <row r="7" spans="1:7">
      <c r="A7" s="1981" t="s">
        <v>135</v>
      </c>
      <c r="B7" s="1961" t="s">
        <v>1668</v>
      </c>
      <c r="G7" s="1978"/>
    </row>
    <row r="8" spans="1:7">
      <c r="G8" s="1978"/>
    </row>
    <row r="9" spans="1:7">
      <c r="A9" s="1982" t="s">
        <v>74</v>
      </c>
      <c r="B9" s="1961" t="s">
        <v>1669</v>
      </c>
    </row>
    <row r="11" spans="1:7">
      <c r="A11" s="1983" t="s">
        <v>75</v>
      </c>
      <c r="B11" s="1984" t="s">
        <v>72</v>
      </c>
    </row>
    <row r="13" spans="1:7">
      <c r="A13" s="1985" t="s">
        <v>1670</v>
      </c>
    </row>
    <row r="15" spans="1:7" ht="13.5">
      <c r="A15" s="2999" t="s">
        <v>1671</v>
      </c>
      <c r="B15" s="2994" t="s">
        <v>136</v>
      </c>
      <c r="C15" s="2995"/>
    </row>
    <row r="16" spans="1:7" ht="13.5">
      <c r="A16" s="3000"/>
      <c r="B16" s="2994" t="s">
        <v>69</v>
      </c>
      <c r="C16" s="2995"/>
    </row>
    <row r="17" spans="1:3" ht="13.5">
      <c r="A17" s="3000"/>
      <c r="B17" s="2997" t="s">
        <v>1672</v>
      </c>
      <c r="C17" s="1986" t="s">
        <v>1671</v>
      </c>
    </row>
    <row r="18" spans="1:3" ht="13.5">
      <c r="A18" s="3000"/>
      <c r="B18" s="2997"/>
      <c r="C18" s="1986" t="s">
        <v>1673</v>
      </c>
    </row>
    <row r="19" spans="1:3" ht="13.5">
      <c r="A19" s="3000"/>
      <c r="B19" s="2997"/>
      <c r="C19" s="1986" t="s">
        <v>1674</v>
      </c>
    </row>
    <row r="20" spans="1:3" ht="13.5">
      <c r="A20" s="3001"/>
      <c r="B20" s="2996" t="s">
        <v>1675</v>
      </c>
      <c r="C20" s="2995"/>
    </row>
    <row r="21" spans="1:3" ht="13.5">
      <c r="A21" s="1987" t="s">
        <v>1676</v>
      </c>
      <c r="B21" s="1988"/>
      <c r="C21" s="1989"/>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1986" t="s">
        <v>1682</v>
      </c>
    </row>
    <row r="26" spans="1:3" ht="13.5">
      <c r="A26" s="2998"/>
      <c r="B26" s="2997"/>
      <c r="C26" s="1986" t="s">
        <v>1683</v>
      </c>
    </row>
    <row r="27" spans="1:3" ht="13.5">
      <c r="A27" s="2998"/>
      <c r="B27" s="2997"/>
      <c r="C27" s="1986" t="s">
        <v>1684</v>
      </c>
    </row>
    <row r="28" spans="1:3" ht="13.5">
      <c r="A28" s="2998"/>
      <c r="B28" s="2997"/>
      <c r="C28" s="1986" t="s">
        <v>1685</v>
      </c>
    </row>
    <row r="29" spans="1:3" ht="13.5">
      <c r="A29" s="2998"/>
      <c r="B29" s="2997"/>
      <c r="C29" s="1986" t="s">
        <v>1686</v>
      </c>
    </row>
    <row r="30" spans="1:3" ht="13.5">
      <c r="A30" s="2998"/>
      <c r="B30" s="2997"/>
      <c r="C30" s="1986" t="s">
        <v>1687</v>
      </c>
    </row>
    <row r="31" spans="1:3" ht="13.5">
      <c r="A31" s="2998"/>
      <c r="B31" s="2997"/>
      <c r="C31" s="1986" t="s">
        <v>1688</v>
      </c>
    </row>
    <row r="32" spans="1:3" ht="13.5">
      <c r="A32" s="2998"/>
      <c r="B32" s="2997"/>
      <c r="C32" s="1986" t="s">
        <v>1689</v>
      </c>
    </row>
    <row r="33" spans="1:3" ht="13.5">
      <c r="A33" s="2998"/>
      <c r="B33" s="2997"/>
      <c r="C33" s="1986" t="s">
        <v>1690</v>
      </c>
    </row>
    <row r="34" spans="1:3">
      <c r="A34" s="1990" t="s">
        <v>76</v>
      </c>
    </row>
    <row r="37" spans="1:3">
      <c r="A37" s="1990" t="s">
        <v>1691</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43070</v>
      </c>
      <c r="C2" s="1012" t="s">
        <v>826</v>
      </c>
      <c r="D2" s="1012"/>
    </row>
    <row r="3" spans="1:6" ht="24" customHeight="1">
      <c r="A3" s="1013" t="s">
        <v>827</v>
      </c>
      <c r="B3" s="1014" t="s">
        <v>828</v>
      </c>
      <c r="C3" s="2327" t="s">
        <v>829</v>
      </c>
      <c r="D3" s="2330" t="s">
        <v>830</v>
      </c>
      <c r="E3" s="1015" t="s">
        <v>831</v>
      </c>
      <c r="F3" s="1014" t="s">
        <v>829</v>
      </c>
    </row>
    <row r="4" spans="1:6" ht="24" customHeight="1">
      <c r="A4" s="1688" t="s">
        <v>832</v>
      </c>
      <c r="B4" s="1015">
        <f ca="1">IF(C4&lt;B2,"已过期",1119970066)</f>
        <v>1119970066</v>
      </c>
      <c r="C4" s="2328">
        <v>43849</v>
      </c>
      <c r="D4" s="2331" t="s">
        <v>832</v>
      </c>
      <c r="E4" s="1015">
        <f ca="1">IF(F4&lt;B2,"已过期",96010014)</f>
        <v>96010014</v>
      </c>
      <c r="F4" s="1023">
        <v>47118</v>
      </c>
    </row>
    <row r="5" spans="1:6" ht="24" customHeight="1">
      <c r="A5" s="1688" t="s">
        <v>833</v>
      </c>
      <c r="B5" s="1015">
        <f ca="1">IF(C5&lt;B2,"已过期",1119970074)</f>
        <v>1119970074</v>
      </c>
      <c r="C5" s="2328">
        <v>43849</v>
      </c>
      <c r="D5" s="2331" t="s">
        <v>833</v>
      </c>
      <c r="E5" s="1015">
        <f ca="1">IF(F5&lt;B2,"已过期",2002110027)</f>
        <v>2002110027</v>
      </c>
      <c r="F5" s="1023">
        <v>46752</v>
      </c>
    </row>
    <row r="6" spans="1:6" ht="24" customHeight="1">
      <c r="A6" s="1688" t="s">
        <v>834</v>
      </c>
      <c r="B6" s="1015">
        <f ca="1">IF(C6&lt;B2,"已过期",1119970111)</f>
        <v>1119970111</v>
      </c>
      <c r="C6" s="2328">
        <v>43849</v>
      </c>
      <c r="D6" s="2331" t="s">
        <v>834</v>
      </c>
      <c r="E6" s="1015">
        <f ca="1">IF(F6&lt;B2,"已过期",94010078)</f>
        <v>94010078</v>
      </c>
      <c r="F6" s="1023">
        <v>46387</v>
      </c>
    </row>
    <row r="7" spans="1:6" ht="24" customHeight="1">
      <c r="A7" s="1688" t="s">
        <v>835</v>
      </c>
      <c r="B7" s="1015">
        <f ca="1">IF(C7&lt;B2,"已过期",1120050019)</f>
        <v>1120050019</v>
      </c>
      <c r="C7" s="2328">
        <v>43359</v>
      </c>
      <c r="D7" s="2331" t="s">
        <v>835</v>
      </c>
      <c r="E7" s="1015">
        <f ca="1">IF(F7&lt;B2,"已过期",2002110030)</f>
        <v>2002110030</v>
      </c>
      <c r="F7" s="1023">
        <v>46387</v>
      </c>
    </row>
    <row r="8" spans="1:6" ht="24" customHeight="1">
      <c r="A8" s="1688" t="s">
        <v>836</v>
      </c>
      <c r="B8" s="1015">
        <f ca="1">IF(C8&lt;B2,"已过期",1120000080)</f>
        <v>1120000080</v>
      </c>
      <c r="C8" s="2328">
        <v>43849</v>
      </c>
      <c r="D8" s="2331" t="s">
        <v>836</v>
      </c>
      <c r="E8" s="1015">
        <f ca="1">IF(F8&lt;B2,"已过期",2000110082)</f>
        <v>2000110082</v>
      </c>
      <c r="F8" s="1023">
        <v>46387</v>
      </c>
    </row>
    <row r="9" spans="1:6" ht="24" customHeight="1">
      <c r="A9" s="1688" t="s">
        <v>837</v>
      </c>
      <c r="B9" s="1015">
        <f ca="1">IF(C9&lt;B2,"已过期",1419970001)</f>
        <v>1419970001</v>
      </c>
      <c r="C9" s="2328">
        <v>43867</v>
      </c>
      <c r="D9" s="2331" t="s">
        <v>837</v>
      </c>
      <c r="E9" s="1015">
        <f ca="1">IF(F9&lt;B2,"已过期",2002110125)</f>
        <v>2002110125</v>
      </c>
      <c r="F9" s="1023">
        <v>47118</v>
      </c>
    </row>
    <row r="10" spans="1:6" ht="24" customHeight="1">
      <c r="A10" s="1688" t="s">
        <v>838</v>
      </c>
      <c r="B10" s="1015">
        <f ca="1">IF(C10&lt;B2,"已过期",1120060040)</f>
        <v>1120060040</v>
      </c>
      <c r="C10" s="2328">
        <v>43483</v>
      </c>
      <c r="D10" s="2331" t="s">
        <v>838</v>
      </c>
      <c r="E10" s="1015">
        <f ca="1">IF(F10&lt;B2,"已过期",2004110096)</f>
        <v>2004110096</v>
      </c>
      <c r="F10" s="1023">
        <v>47118</v>
      </c>
    </row>
    <row r="11" spans="1:6" ht="24" customHeight="1">
      <c r="A11" s="1688" t="s">
        <v>839</v>
      </c>
      <c r="B11" s="1015">
        <f ca="1">IF(C11&lt;B2,"已过期",1120100036)</f>
        <v>1120100036</v>
      </c>
      <c r="C11" s="2328">
        <v>43622</v>
      </c>
      <c r="D11" s="2331" t="s">
        <v>839</v>
      </c>
      <c r="E11" s="1015">
        <f ca="1">IF(F11&lt;B2,"已过期",2010110070)</f>
        <v>2010110070</v>
      </c>
      <c r="F11" s="1023">
        <v>47907</v>
      </c>
    </row>
    <row r="12" spans="1:6" ht="24" customHeight="1">
      <c r="A12" s="1688"/>
      <c r="B12" s="1015"/>
      <c r="C12" s="2328"/>
      <c r="D12" s="2331"/>
      <c r="E12" s="1015"/>
      <c r="F12" s="1015"/>
    </row>
    <row r="13" spans="1:6" ht="24" customHeight="1">
      <c r="A13" s="1688" t="s">
        <v>840</v>
      </c>
      <c r="B13" s="1015">
        <f ca="1">IF(C13&lt;B2,"已过期",1120070131)</f>
        <v>1120070131</v>
      </c>
      <c r="C13" s="2328">
        <v>43814</v>
      </c>
      <c r="D13" s="2331" t="s">
        <v>840</v>
      </c>
      <c r="E13" s="1015">
        <v>2014110011</v>
      </c>
      <c r="F13" s="1023">
        <v>49302</v>
      </c>
    </row>
    <row r="14" spans="1:6" ht="24" customHeight="1">
      <c r="A14" s="1688" t="s">
        <v>841</v>
      </c>
      <c r="B14" s="1015">
        <f ca="1">IF(C14&lt;B2,"已过期",1120130020)</f>
        <v>1120130020</v>
      </c>
      <c r="C14" s="2328">
        <v>43622</v>
      </c>
      <c r="D14" s="2331"/>
      <c r="E14" s="1015"/>
      <c r="F14" s="1015"/>
    </row>
    <row r="15" spans="1:6" ht="24" customHeight="1">
      <c r="A15" s="1689" t="s">
        <v>1149</v>
      </c>
      <c r="B15" s="1015">
        <v>1120070085</v>
      </c>
      <c r="C15" s="2328">
        <v>43814</v>
      </c>
      <c r="D15" s="2332" t="s">
        <v>1149</v>
      </c>
      <c r="E15" s="1015">
        <v>2004110128</v>
      </c>
      <c r="F15" s="1016">
        <v>47118</v>
      </c>
    </row>
    <row r="16" spans="1:6" ht="24" customHeight="1">
      <c r="A16" s="1688" t="s">
        <v>842</v>
      </c>
      <c r="B16" s="1015">
        <f ca="1">IF(C16&lt;B2,"已过期",1120140022)</f>
        <v>1120140022</v>
      </c>
      <c r="C16" s="2328">
        <v>44029</v>
      </c>
      <c r="D16" s="2331" t="s">
        <v>842</v>
      </c>
      <c r="E16" s="1015">
        <f ca="1">IF(F16&lt;B2,"已过期",2008110059)</f>
        <v>2008110059</v>
      </c>
      <c r="F16" s="1023">
        <v>47177</v>
      </c>
    </row>
    <row r="17" spans="1:7" ht="24" customHeight="1">
      <c r="A17" s="1688"/>
      <c r="B17" s="1015"/>
      <c r="C17" s="2328"/>
      <c r="D17" s="2331"/>
      <c r="E17" s="1015"/>
      <c r="F17" s="1023"/>
    </row>
    <row r="18" spans="1:7" ht="24" customHeight="1">
      <c r="A18" s="1688"/>
      <c r="B18" s="1015"/>
      <c r="C18" s="2328"/>
      <c r="D18" s="2331"/>
      <c r="E18" s="1015"/>
      <c r="F18" s="1023"/>
    </row>
    <row r="19" spans="1:7" ht="24" customHeight="1">
      <c r="A19" s="1688"/>
      <c r="B19" s="1015"/>
      <c r="C19" s="2328"/>
      <c r="D19" s="2331"/>
      <c r="E19" s="1015"/>
      <c r="F19" s="1015"/>
    </row>
    <row r="20" spans="1:7" ht="24" customHeight="1">
      <c r="A20" s="1688"/>
      <c r="B20" s="1015"/>
      <c r="C20" s="2328"/>
      <c r="D20" s="2331"/>
      <c r="E20" s="1015"/>
      <c r="F20" s="1015"/>
    </row>
    <row r="21" spans="1:7" ht="24" customHeight="1">
      <c r="A21" s="1688"/>
      <c r="B21" s="1015"/>
      <c r="C21" s="2328"/>
      <c r="D21" s="2331" t="s">
        <v>843</v>
      </c>
      <c r="E21" s="1015">
        <f ca="1">IF(F21&lt;B2,"已过期",2011110090)</f>
        <v>2011110090</v>
      </c>
      <c r="F21" s="1023">
        <v>48302</v>
      </c>
    </row>
    <row r="22" spans="1:7" ht="24" customHeight="1">
      <c r="A22" s="1688" t="s">
        <v>844</v>
      </c>
      <c r="B22" s="1015">
        <f ca="1">IF(C22&lt;B2,"已过期",1120020033)</f>
        <v>1120020033</v>
      </c>
      <c r="C22" s="2328">
        <v>43304</v>
      </c>
      <c r="D22" s="2331" t="s">
        <v>844</v>
      </c>
      <c r="E22" s="1015">
        <f ca="1">IF(F22&lt;B2,"已过期",2000110137)</f>
        <v>2000110137</v>
      </c>
      <c r="F22" s="1023">
        <v>46387</v>
      </c>
    </row>
    <row r="23" spans="1:7" ht="24" customHeight="1">
      <c r="A23" s="1688" t="s">
        <v>845</v>
      </c>
      <c r="B23" s="1015">
        <f ca="1">IF(C23&lt;B2,"已过期",1120130048)</f>
        <v>1120130048</v>
      </c>
      <c r="C23" s="2328">
        <v>43686</v>
      </c>
      <c r="D23" s="2331"/>
      <c r="E23" s="1015"/>
      <c r="F23" s="1015"/>
    </row>
    <row r="24" spans="1:7" s="1017" customFormat="1" ht="24" customHeight="1">
      <c r="A24" s="1689" t="s">
        <v>1334</v>
      </c>
      <c r="B24" s="1689" t="s">
        <v>1334</v>
      </c>
      <c r="C24" s="2329" t="s">
        <v>1334</v>
      </c>
      <c r="D24" s="2332" t="s">
        <v>1334</v>
      </c>
      <c r="E24" s="1689" t="s">
        <v>1334</v>
      </c>
      <c r="F24" s="1689" t="s">
        <v>1334</v>
      </c>
    </row>
    <row r="25" spans="1:7" ht="24" customHeight="1">
      <c r="A25" s="3002" t="s">
        <v>846</v>
      </c>
      <c r="B25" s="3002"/>
      <c r="C25" s="3002"/>
      <c r="D25" s="3002"/>
      <c r="E25" s="3002"/>
      <c r="F25" s="3002"/>
      <c r="G25" s="3002"/>
    </row>
    <row r="26" spans="1:7" s="1018" customFormat="1" ht="24" customHeight="1">
      <c r="A26" s="3003" t="s">
        <v>847</v>
      </c>
      <c r="B26" s="3003"/>
      <c r="C26" s="3004"/>
      <c r="D26" s="3005" t="s">
        <v>848</v>
      </c>
      <c r="E26" s="3003"/>
      <c r="F26" s="3003"/>
    </row>
    <row r="27" spans="1:7" s="1020" customFormat="1" ht="24" customHeight="1">
      <c r="A27" s="1019" t="s">
        <v>849</v>
      </c>
      <c r="B27" s="1014" t="s">
        <v>850</v>
      </c>
      <c r="C27" s="2327" t="s">
        <v>851</v>
      </c>
      <c r="D27" s="2335" t="s">
        <v>849</v>
      </c>
      <c r="E27" s="1014" t="s">
        <v>850</v>
      </c>
      <c r="F27" s="1014" t="s">
        <v>851</v>
      </c>
    </row>
    <row r="28" spans="1:7" s="1020" customFormat="1" ht="24" customHeight="1">
      <c r="A28" s="1021" t="s">
        <v>852</v>
      </c>
      <c r="B28" s="1022" t="s">
        <v>853</v>
      </c>
      <c r="C28" s="2333">
        <v>43725</v>
      </c>
      <c r="D28" s="2336" t="s">
        <v>854</v>
      </c>
      <c r="E28" s="1021" t="s">
        <v>855</v>
      </c>
      <c r="F28" s="1051">
        <v>44377</v>
      </c>
    </row>
    <row r="29" spans="1:7" s="1020" customFormat="1" ht="24" customHeight="1">
      <c r="A29" s="1021"/>
      <c r="B29" s="1021"/>
      <c r="C29" s="2334"/>
      <c r="D29" s="2336" t="s">
        <v>856</v>
      </c>
      <c r="E29" s="1195" t="s">
        <v>1385</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结果表-公寓</vt:lpstr>
      <vt:lpstr>成本法</vt:lpstr>
      <vt:lpstr>成本法 (元)</vt:lpstr>
      <vt:lpstr>假设开发法</vt:lpstr>
      <vt:lpstr>比较法-公寓</vt:lpstr>
      <vt:lpstr>收益法 (元)</vt:lpstr>
      <vt:lpstr>收益法（汇总）</vt:lpstr>
      <vt:lpstr>酒店收入计算</vt:lpstr>
      <vt:lpstr>收益法-公寓</vt:lpstr>
      <vt:lpstr>典型户型修正-公寓</vt:lpstr>
      <vt:lpstr>结果表-商业</vt:lpstr>
      <vt:lpstr>比较法-商业</vt:lpstr>
      <vt:lpstr>比较法-办公</vt:lpstr>
      <vt:lpstr>比较法-工业</vt:lpstr>
      <vt:lpstr>收益法-商业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'收益法-公寓'!Print_Area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2017-03-01T09:15:43Z</cp:lastPrinted>
  <dcterms:created xsi:type="dcterms:W3CDTF">2015-07-13T07:17:23Z</dcterms:created>
  <dcterms:modified xsi:type="dcterms:W3CDTF">2017-12-01T08:37:40Z</dcterms:modified>
</cp:coreProperties>
</file>