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全年预估" sheetId="83"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state="hidden" r:id="rId27"/>
    <sheet name="地下车库收益法" sheetId="82"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土地案例" sheetId="81"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45" hidden="1">土地案例!$A$1:$S$1</definedName>
    <definedName name="_xlnm._FilterDatabase" localSheetId="36" hidden="1">'土地比较法-工业'!$A$1:$L$43</definedName>
    <definedName name="_xlnm._FilterDatabase" localSheetId="35" hidden="1">'土地比较法-住宅、综合'!$A$1:$L$48</definedName>
    <definedName name="_xlnm._FilterDatabase" localSheetId="13"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27">地下车库收益法!$A$1:$F$43,地下车库收益法!$H$3:$M$29,地下车库收益法!$A$46:$F$71,地下车库收益法!$I$46:$N$65</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4" i="70" l="1"/>
  <c r="F20" i="83" l="1"/>
  <c r="C20" i="83"/>
  <c r="D42" i="43" l="1"/>
  <c r="D37" i="43"/>
  <c r="U7" i="1" l="1"/>
  <c r="F19" i="83"/>
  <c r="F18" i="83"/>
  <c r="F17" i="83"/>
  <c r="F16" i="83"/>
  <c r="U6" i="1"/>
  <c r="C16" i="83"/>
  <c r="C18" i="83"/>
  <c r="AF7" i="1"/>
  <c r="AD6" i="1"/>
  <c r="AD7" i="1"/>
  <c r="AB7" i="1"/>
  <c r="AA7" i="1"/>
  <c r="F23" i="83"/>
  <c r="Z7" i="1" s="1"/>
  <c r="Y7" i="1"/>
  <c r="C12" i="15"/>
  <c r="AF6" i="1"/>
  <c r="AA6" i="1"/>
  <c r="C14" i="83" l="1"/>
  <c r="C17" i="83"/>
  <c r="C23" i="83" l="1"/>
  <c r="Z6" i="1" s="1"/>
  <c r="C19" i="83"/>
  <c r="Y6" i="1"/>
  <c r="C10" i="83"/>
  <c r="G19" i="6"/>
  <c r="K14" i="3"/>
  <c r="K13" i="3"/>
  <c r="Q72" i="82"/>
  <c r="Q59" i="82"/>
  <c r="K59" i="82"/>
  <c r="P74" i="82" s="1"/>
  <c r="Q58" i="82"/>
  <c r="Q51" i="82"/>
  <c r="J50" i="82"/>
  <c r="M47" i="82"/>
  <c r="D46" i="82"/>
  <c r="F34" i="82"/>
  <c r="F62" i="82" s="1"/>
  <c r="F33" i="82"/>
  <c r="F61" i="82" s="1"/>
  <c r="F32" i="82"/>
  <c r="F60" i="82" s="1"/>
  <c r="F28" i="82"/>
  <c r="C28" i="82" s="1"/>
  <c r="F23" i="82"/>
  <c r="D23" i="82" s="1"/>
  <c r="F21" i="82"/>
  <c r="M20" i="82"/>
  <c r="F20" i="82"/>
  <c r="M19" i="82"/>
  <c r="M18" i="82"/>
  <c r="F18" i="82"/>
  <c r="F17" i="82"/>
  <c r="F15" i="82"/>
  <c r="G51" i="43"/>
  <c r="G52" i="43"/>
  <c r="G53" i="43"/>
  <c r="G54" i="43"/>
  <c r="G55" i="43"/>
  <c r="G56" i="43"/>
  <c r="G57" i="43"/>
  <c r="G58" i="43"/>
  <c r="G50" i="43"/>
  <c r="G44" i="43"/>
  <c r="D33" i="43"/>
  <c r="D24" i="82" l="1"/>
  <c r="P61" i="82"/>
  <c r="D22" i="82"/>
  <c r="J51" i="82"/>
  <c r="N7" i="1"/>
  <c r="N6" i="1"/>
  <c r="G20" i="6" l="1"/>
  <c r="F19" i="6"/>
  <c r="C20" i="6"/>
  <c r="I13" i="3"/>
  <c r="F1252" i="80"/>
  <c r="D3" i="4"/>
  <c r="E9" i="1" l="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s="1"/>
  <c r="M54" i="43"/>
  <c r="N54" i="43" s="1"/>
  <c r="K54" i="43"/>
  <c r="J54" i="43" s="1"/>
  <c r="D54" i="43" s="1"/>
  <c r="M53" i="43"/>
  <c r="N53" i="43" s="1"/>
  <c r="K53" i="43"/>
  <c r="J53" i="43"/>
  <c r="D53" i="43" s="1"/>
  <c r="M52" i="43"/>
  <c r="N52" i="43" s="1"/>
  <c r="K52" i="43"/>
  <c r="J52" i="43" s="1"/>
  <c r="D52" i="43"/>
  <c r="M51" i="43"/>
  <c r="N51" i="43" s="1"/>
  <c r="K51" i="43"/>
  <c r="J51" i="43" s="1"/>
  <c r="D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13" i="1" s="1"/>
  <c r="M13" i="1" s="1"/>
  <c r="O13" i="1" s="1"/>
  <c r="P13" i="1" s="1"/>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7"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74" i="3"/>
  <c r="E259" i="3"/>
  <c r="E65" i="3"/>
  <c r="E386" i="3"/>
  <c r="E250" i="3"/>
  <c r="E222"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24" i="15"/>
  <c r="E11" i="76"/>
  <c r="D4" i="73"/>
  <c r="M22" i="15"/>
  <c r="E7" i="76"/>
  <c r="E13" i="76"/>
  <c r="F8" i="15"/>
  <c r="F9" i="15"/>
  <c r="B12" i="76"/>
  <c r="F36" i="15"/>
  <c r="M9" i="15"/>
  <c r="M22" i="67"/>
  <c r="F4" i="73"/>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F13" i="67"/>
  <c r="F13" i="15"/>
  <c r="F38" i="67"/>
  <c r="M29" i="67"/>
  <c r="AO13" i="1"/>
  <c r="F26" i="67"/>
  <c r="M28" i="67"/>
  <c r="D6" i="73"/>
  <c r="C76" i="15"/>
  <c r="M23" i="15"/>
  <c r="J15" i="67"/>
  <c r="E8" i="76"/>
  <c r="E10" i="76"/>
  <c r="F36" i="67"/>
  <c r="M29" i="15"/>
  <c r="F3" i="73"/>
  <c r="C76" i="67"/>
  <c r="M9" i="67"/>
  <c r="F37" i="67"/>
  <c r="F43" i="15"/>
  <c r="F37" i="15"/>
  <c r="L48" i="15"/>
  <c r="M8" i="67"/>
  <c r="B9" i="76"/>
  <c r="D3" i="73"/>
  <c r="F40" i="15"/>
  <c r="L48" i="67"/>
  <c r="F6" i="73"/>
  <c r="F6" i="15"/>
  <c r="E2" i="69"/>
  <c r="AZ15" i="3" l="1"/>
  <c r="BL15" i="3"/>
  <c r="E101" i="3"/>
  <c r="E51" i="3"/>
  <c r="E24" i="3"/>
  <c r="E248" i="3"/>
  <c r="E462" i="3"/>
  <c r="E39" i="3"/>
  <c r="E542" i="3"/>
  <c r="E373" i="3"/>
  <c r="E154" i="3"/>
  <c r="E341" i="3"/>
  <c r="E87" i="3"/>
  <c r="E584" i="3"/>
  <c r="E266" i="3"/>
  <c r="E195" i="3"/>
  <c r="E47" i="3"/>
  <c r="E504" i="3"/>
  <c r="E187" i="3"/>
  <c r="E413" i="3"/>
  <c r="E487" i="3"/>
  <c r="E165" i="3"/>
  <c r="G19" i="43"/>
  <c r="E19" i="43"/>
  <c r="E83" i="3"/>
  <c r="E22" i="3"/>
  <c r="E323" i="3"/>
  <c r="E179" i="3"/>
  <c r="E19" i="3"/>
  <c r="Y6" i="3"/>
  <c r="E284" i="3"/>
  <c r="E127" i="3"/>
  <c r="E48" i="3"/>
  <c r="E66" i="3"/>
  <c r="E354" i="3"/>
  <c r="E307" i="3"/>
  <c r="E209" i="3"/>
  <c r="E163" i="3"/>
  <c r="E138" i="3"/>
  <c r="E98" i="3"/>
  <c r="E446" i="3"/>
  <c r="E110" i="3"/>
  <c r="E378" i="3"/>
  <c r="E240" i="3"/>
  <c r="E57" i="3"/>
  <c r="E520" i="3"/>
  <c r="E500" i="3"/>
  <c r="E416" i="3"/>
  <c r="E421" i="3"/>
  <c r="E312" i="3"/>
  <c r="E244" i="3"/>
  <c r="B7" i="1"/>
  <c r="E7" i="1" s="1"/>
  <c r="G1" i="82"/>
  <c r="C21" i="68"/>
  <c r="C40" i="69"/>
  <c r="E21" i="3"/>
  <c r="E82"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521" i="3"/>
  <c r="E488" i="3"/>
  <c r="E58" i="3"/>
  <c r="E375" i="3"/>
  <c r="E348" i="3"/>
  <c r="E297" i="3"/>
  <c r="E155" i="3"/>
  <c r="E131" i="3"/>
  <c r="E90" i="3"/>
  <c r="E436" i="3"/>
  <c r="E460" i="3"/>
  <c r="E582" i="3"/>
  <c r="E566" i="3"/>
  <c r="E459" i="3"/>
  <c r="E398" i="3"/>
  <c r="E464" i="3"/>
  <c r="E552" i="3"/>
  <c r="AD6" i="3"/>
  <c r="E141" i="3"/>
  <c r="E149"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7" i="82"/>
  <c r="F40" i="82"/>
  <c r="M23" i="82"/>
  <c r="C76" i="82"/>
  <c r="L47" i="82"/>
  <c r="M28" i="82"/>
  <c r="F38" i="82"/>
  <c r="M29" i="82"/>
  <c r="F13" i="82"/>
  <c r="F6" i="82"/>
  <c r="F43" i="82"/>
  <c r="M24" i="82"/>
  <c r="F8" i="82"/>
  <c r="F26" i="82"/>
  <c r="F16" i="82"/>
  <c r="M6" i="82"/>
  <c r="J15" i="82"/>
  <c r="G1" i="73"/>
  <c r="C16" i="67"/>
  <c r="F42" i="82"/>
  <c r="F36" i="82"/>
  <c r="M26" i="82"/>
  <c r="M8" i="82"/>
  <c r="L48" i="82"/>
  <c r="M22" i="82"/>
  <c r="F37" i="82"/>
  <c r="M9" i="82"/>
  <c r="F9" i="82"/>
  <c r="C16" i="15"/>
  <c r="G17" i="43" l="1"/>
  <c r="C17" i="43" s="1"/>
  <c r="D5" i="43" s="1"/>
  <c r="Q71" i="82"/>
  <c r="C27" i="82"/>
  <c r="F65" i="82"/>
  <c r="F51" i="82"/>
  <c r="F68" i="82"/>
  <c r="F71" i="82"/>
  <c r="J57" i="82"/>
  <c r="J55" i="82" s="1"/>
  <c r="J58" i="82" s="1"/>
  <c r="Q50" i="82" s="1"/>
  <c r="I54" i="82"/>
  <c r="J53" i="82"/>
  <c r="F31" i="82"/>
  <c r="C6" i="82"/>
  <c r="F64" i="82"/>
  <c r="F66" i="82"/>
  <c r="F50" i="82"/>
  <c r="F59" i="82" s="1"/>
  <c r="M7" i="82"/>
  <c r="J6" i="82" s="1"/>
  <c r="N59" i="82"/>
  <c r="L58" i="82"/>
  <c r="L59" i="82"/>
  <c r="M59" i="82"/>
  <c r="F11" i="82"/>
  <c r="M11" i="82"/>
  <c r="J10" i="82" s="1"/>
  <c r="J5" i="82"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26" i="43"/>
  <c r="C25" i="43" s="1"/>
  <c r="C7" i="43"/>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C16" i="82"/>
  <c r="F41" i="82"/>
  <c r="AE6" i="1"/>
  <c r="F41" i="67"/>
  <c r="C5" i="43" l="1"/>
  <c r="T15" i="43" s="1"/>
  <c r="V15" i="43" s="1"/>
  <c r="Q60" i="82"/>
  <c r="Q73" i="82"/>
  <c r="J18" i="82"/>
  <c r="J19" i="82"/>
  <c r="C33" i="82"/>
  <c r="C32" i="82"/>
  <c r="L56" i="82"/>
  <c r="F1" i="82"/>
  <c r="Q52" i="82"/>
  <c r="M17" i="82"/>
  <c r="Q61" i="82"/>
  <c r="Q74" i="82"/>
  <c r="C49" i="82"/>
  <c r="C61" i="82" s="1"/>
  <c r="F69" i="82"/>
  <c r="L36" i="43"/>
  <c r="L37" i="43" s="1"/>
  <c r="F24" i="82"/>
  <c r="J24" i="82"/>
  <c r="C53" i="82"/>
  <c r="C10" i="82"/>
  <c r="C5" i="82"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6" i="1"/>
  <c r="F69" i="67"/>
  <c r="C47" i="11"/>
  <c r="D45" i="11" s="1"/>
  <c r="E6" i="3"/>
  <c r="T13" i="43"/>
  <c r="V13" i="43" s="1"/>
  <c r="T9" i="43"/>
  <c r="V9" i="43" s="1"/>
  <c r="T16" i="43"/>
  <c r="V16" i="43" s="1"/>
  <c r="T12" i="43"/>
  <c r="V12" i="43" s="1"/>
  <c r="T8" i="43"/>
  <c r="V8" i="43" s="1"/>
  <c r="T3" i="43"/>
  <c r="V3" i="43" s="1"/>
  <c r="T6" i="43"/>
  <c r="V6" i="43" s="1"/>
  <c r="C33" i="43"/>
  <c r="C40" i="43"/>
  <c r="C37" i="43"/>
  <c r="C41" i="43"/>
  <c r="K21" i="6"/>
  <c r="S13"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F41" i="15"/>
  <c r="M27" i="67"/>
  <c r="M27" i="15"/>
  <c r="C48" i="82" l="1"/>
  <c r="C60" i="82" s="1"/>
  <c r="AG7" i="1"/>
  <c r="T5" i="43"/>
  <c r="V5" i="43" s="1"/>
  <c r="T2" i="43"/>
  <c r="V2" i="43" s="1"/>
  <c r="T4" i="43"/>
  <c r="V4" i="43" s="1"/>
  <c r="T10" i="43"/>
  <c r="V10" i="43" s="1"/>
  <c r="T14" i="43"/>
  <c r="V14" i="43" s="1"/>
  <c r="T7" i="43"/>
  <c r="V7" i="43" s="1"/>
  <c r="T11" i="43"/>
  <c r="V11" i="43" s="1"/>
  <c r="AR13" i="1"/>
  <c r="AQ13" i="1"/>
  <c r="T13" i="1"/>
  <c r="S8" i="1"/>
  <c r="E8" i="70" s="1"/>
  <c r="D116" i="43"/>
  <c r="Q36" i="43"/>
  <c r="M36" i="43"/>
  <c r="P36" i="43"/>
  <c r="O36" i="43"/>
  <c r="N36" i="43"/>
  <c r="C38" i="82"/>
  <c r="C66" i="82"/>
  <c r="C24" i="82"/>
  <c r="C6" i="68"/>
  <c r="C7" i="68" s="1"/>
  <c r="P37" i="43"/>
  <c r="M37" i="43"/>
  <c r="Q37" i="43"/>
  <c r="O37" i="43"/>
  <c r="N37" i="43"/>
  <c r="M21" i="6"/>
  <c r="I21" i="6" s="1"/>
  <c r="S21" i="6" s="1"/>
  <c r="E6" i="70"/>
  <c r="C34" i="43"/>
  <c r="E34" i="43" s="1"/>
  <c r="F69" i="15"/>
  <c r="E33" i="43"/>
  <c r="M24" i="6"/>
  <c r="I24" i="6" s="1"/>
  <c r="S24" i="6" s="1"/>
  <c r="S11" i="1"/>
  <c r="E11" i="70" s="1"/>
  <c r="M22" i="6"/>
  <c r="I22" i="6" s="1"/>
  <c r="S22" i="6" s="1"/>
  <c r="S9" i="1"/>
  <c r="AQ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2"/>
  <c r="C17" i="67"/>
  <c r="M27" i="82"/>
  <c r="C14" i="67"/>
  <c r="C17" i="15"/>
  <c r="H22" i="6" l="1"/>
  <c r="T8" i="1"/>
  <c r="H21" i="6"/>
  <c r="R21" i="6" s="1"/>
  <c r="C25" i="11"/>
  <c r="C22" i="11" s="1"/>
  <c r="C31" i="11" s="1"/>
  <c r="H25" i="6"/>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22" i="6"/>
  <c r="R9" i="1" s="1"/>
  <c r="C15" i="12"/>
  <c r="C12" i="12"/>
  <c r="R23" i="6"/>
  <c r="D27" i="6"/>
  <c r="D31" i="6" s="1"/>
  <c r="D8" i="74"/>
  <c r="D7" i="74"/>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2"/>
  <c r="B6" i="76"/>
  <c r="E6" i="76"/>
  <c r="C14" i="15"/>
  <c r="R8" i="1" l="1"/>
  <c r="R13" i="1"/>
  <c r="R10" i="1"/>
  <c r="R11" i="1"/>
  <c r="C18" i="82"/>
  <c r="C15" i="82"/>
  <c r="R7" i="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M21" i="82"/>
  <c r="F35" i="82"/>
  <c r="C19" i="82" l="1"/>
  <c r="J20" i="82"/>
  <c r="J17" i="82" s="1"/>
  <c r="F63" i="82"/>
  <c r="C62" i="82" s="1"/>
  <c r="C59" i="82" s="1"/>
  <c r="C34" i="82"/>
  <c r="C31" i="82" s="1"/>
  <c r="C20" i="82"/>
  <c r="C26" i="82" s="1"/>
  <c r="C21" i="12"/>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82" l="1"/>
  <c r="C29" i="82"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57" i="82" l="1"/>
  <c r="C64" i="82" s="1"/>
  <c r="J14" i="82"/>
  <c r="Q49" i="82"/>
  <c r="C36" i="82"/>
  <c r="C13" i="82"/>
  <c r="J59" i="82"/>
  <c r="J60" i="82"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Q48" i="82"/>
  <c r="J22" i="82"/>
  <c r="J13" i="82"/>
  <c r="J23" i="82" s="1"/>
  <c r="Q70" i="82"/>
  <c r="C56" i="82"/>
  <c r="C65" i="82" s="1"/>
  <c r="C58" i="82" s="1"/>
  <c r="C67" i="82" s="1"/>
  <c r="C68" i="82" s="1"/>
  <c r="C75" i="82"/>
  <c r="C37" i="82"/>
  <c r="C30" i="82" s="1"/>
  <c r="C39"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L51" i="82"/>
  <c r="D34" i="9"/>
  <c r="D2" i="21"/>
  <c r="C103" i="9" l="1"/>
  <c r="J16" i="82"/>
  <c r="J25" i="82" s="1"/>
  <c r="J26" i="82" s="1"/>
  <c r="J29" i="82" s="1"/>
  <c r="Q67" i="82"/>
  <c r="L57" i="82"/>
  <c r="L60" i="82" s="1"/>
  <c r="L46" i="82" s="1"/>
  <c r="C40" i="82"/>
  <c r="Q69" i="82"/>
  <c r="Q68" i="82" s="1"/>
  <c r="C71" i="82"/>
  <c r="C80" i="82"/>
  <c r="C79" i="82"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47" i="82"/>
  <c r="Q53" i="82" s="1"/>
  <c r="Q65" i="82"/>
  <c r="C43" i="82"/>
  <c r="B2" i="82"/>
  <c r="B3" i="82" s="1"/>
  <c r="Q56" i="82"/>
  <c r="C83" i="82"/>
  <c r="C82" i="82" s="1"/>
  <c r="C46" i="82"/>
  <c r="Q66" i="82"/>
  <c r="Q75" i="82" s="1"/>
  <c r="Q57" i="82"/>
  <c r="Q65" i="67"/>
  <c r="Q66"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Q62" i="82" l="1"/>
  <c r="Q57" i="67"/>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12" i="1"/>
  <c r="AO11"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B3" i="70" s="1"/>
  <c r="C42" i="40"/>
  <c r="C43" i="40"/>
  <c r="E47" i="40"/>
  <c r="F47" i="40" s="1"/>
  <c r="E46" i="40"/>
  <c r="F46" i="40" s="1"/>
  <c r="I47" i="40"/>
  <c r="J47" i="40" s="1"/>
  <c r="D19" i="9"/>
  <c r="D20" i="9"/>
  <c r="D21" i="9" l="1"/>
  <c r="D22" i="9"/>
  <c r="D102" i="9"/>
  <c r="G19" i="9"/>
  <c r="B21" i="70"/>
  <c r="G21"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22" i="70" l="1"/>
  <c r="B25" i="70"/>
  <c r="E14" i="74"/>
  <c r="F14" i="74"/>
  <c r="B5" i="74"/>
  <c r="D5" i="74" s="1"/>
  <c r="B6" i="74" l="1"/>
  <c r="D6" i="74" s="1"/>
  <c r="D118" i="9"/>
  <c r="D119" i="9" s="1"/>
  <c r="D5" i="52" s="1"/>
  <c r="B49" i="72" s="1"/>
  <c r="F118" i="9"/>
  <c r="F4" i="52" s="1"/>
  <c r="B51" i="72" s="1"/>
  <c r="H118" i="9"/>
  <c r="H4" i="52" s="1"/>
  <c r="D4" i="52" l="1"/>
  <c r="B47" i="72" s="1"/>
  <c r="H101" i="9"/>
  <c r="M48" i="9" s="1"/>
  <c r="I118" i="9"/>
  <c r="I4" i="52" s="1"/>
  <c r="D5" i="53"/>
  <c r="D45" i="9"/>
  <c r="F119" i="9"/>
  <c r="F5" i="52" s="1"/>
  <c r="B53" i="72" s="1"/>
  <c r="G118" i="9"/>
  <c r="G4" i="52" s="1"/>
  <c r="B52" i="72" s="1"/>
  <c r="H119" i="9"/>
  <c r="H5" i="52" s="1"/>
  <c r="H107" i="9"/>
  <c r="C104" i="9"/>
  <c r="C105" i="9" l="1"/>
  <c r="H102" i="9"/>
  <c r="C5" i="74" s="1"/>
  <c r="D53" i="9"/>
  <c r="C78" i="9"/>
  <c r="C73" i="9" s="1"/>
  <c r="D52" i="9"/>
  <c r="C93" i="9"/>
  <c r="C86" i="9" s="1"/>
  <c r="D55" i="9"/>
  <c r="M53" i="9" s="1"/>
  <c r="C64" i="9"/>
  <c r="C63" i="9" s="1"/>
  <c r="C67" i="9" s="1"/>
  <c r="C72" i="9"/>
  <c r="C85" i="9"/>
  <c r="C95" i="9" s="1"/>
  <c r="B20" i="72"/>
  <c r="D6" i="53"/>
  <c r="B22" i="72" s="1"/>
  <c r="D122" i="9"/>
  <c r="D13" i="53"/>
  <c r="E118" i="9"/>
  <c r="E4" i="52" s="1"/>
  <c r="B48" i="72" s="1"/>
  <c r="H108" i="9" l="1"/>
  <c r="C6" i="74" s="1"/>
  <c r="D7" i="53"/>
  <c r="B21" i="72" s="1"/>
  <c r="C79" i="9"/>
  <c r="C80" i="9" s="1"/>
  <c r="E80" i="9" s="1"/>
  <c r="E81" i="9" s="1"/>
  <c r="D15" i="53"/>
  <c r="B31" i="72" s="1"/>
  <c r="C96" i="9"/>
  <c r="E96" i="9" s="1"/>
  <c r="E97" i="9" s="1"/>
  <c r="C68" i="9"/>
  <c r="D54" i="9" s="1"/>
  <c r="D59" i="9"/>
  <c r="M55" i="9" s="1"/>
  <c r="B30" i="72"/>
  <c r="D14" i="53"/>
  <c r="B32" i="72" s="1"/>
  <c r="D8" i="52"/>
  <c r="D123" i="9"/>
  <c r="D9" i="52"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<sst xmlns="http://schemas.openxmlformats.org/spreadsheetml/2006/main" count="12352" uniqueCount="4861">
  <si>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</si>
  <si>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</si>
  <si>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</si>
  <si>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</si>
  <si>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</si>
  <si>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</si>
  <si>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</si>
  <si>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</si>
  <si>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</si>
  <si>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</si>
  <si>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</si>
  <si>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</si>
  <si>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</si>
  <si>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</si>
  <si>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</si>
  <si>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</si>
  <si>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</si>
  <si>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</si>
  <si>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</si>
  <si>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</si>
  <si>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</si>
  <si>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</si>
  <si>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</si>
  <si>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</si>
  <si>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</si>
  <si>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</si>
  <si>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</si>
  <si>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</si>
  <si>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</si>
  <si>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</si>
  <si>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</si>
  <si>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</si>
  <si>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</si>
  <si>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</si>
  <si>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</si>
  <si>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</si>
  <si>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</si>
  <si>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</si>
  <si>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</si>
  <si>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</si>
  <si>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</si>
  <si>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</si>
  <si>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</si>
  <si>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</si>
  <si>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</si>
  <si>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</si>
  <si>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</si>
  <si>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</si>
  <si>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</si>
  <si>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</si>
  <si>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</si>
  <si>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</si>
  <si>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</si>
  <si>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</si>
  <si>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</si>
  <si>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</si>
  <si>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</si>
  <si>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</si>
  <si>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</si>
  <si>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</si>
  <si>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</si>
  <si>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</si>
  <si>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</si>
  <si>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</si>
  <si>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</si>
  <si>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</si>
  <si>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</si>
  <si>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</si>
  <si>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</si>
  <si>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</si>
  <si>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</si>
  <si>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</si>
  <si>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</si>
  <si>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</si>
  <si>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</si>
  <si>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</si>
  <si>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</si>
  <si>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</si>
  <si>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</si>
  <si>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</si>
  <si>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</si>
  <si>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</si>
  <si>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</si>
  <si>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</si>
  <si>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</si>
  <si>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</si>
  <si>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</si>
  <si>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</si>
  <si>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</si>
  <si>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</si>
  <si>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</si>
  <si>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</si>
  <si>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</si>
  <si>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</si>
  <si>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</si>
  <si>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</si>
  <si>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</si>
  <si>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</si>
  <si>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</si>
  <si>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</si>
  <si>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</si>
  <si>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</si>
  <si>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</si>
  <si>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</si>
  <si>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</si>
  <si>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</si>
  <si>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</si>
  <si>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</si>
  <si>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</si>
  <si>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</si>
  <si>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</si>
  <si>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</si>
  <si>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</si>
  <si>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</si>
  <si>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</si>
  <si>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</si>
  <si>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</si>
  <si>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</si>
  <si>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</si>
  <si>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</si>
  <si>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</si>
  <si>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</si>
  <si>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</si>
  <si>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</si>
  <si>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</si>
  <si>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</si>
  <si>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</si>
  <si>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</si>
  <si>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</si>
  <si>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</si>
  <si>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</si>
  <si>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</si>
  <si>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</si>
  <si>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</si>
  <si>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</si>
  <si>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</si>
  <si>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</si>
  <si>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</si>
  <si>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</si>
  <si>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</si>
  <si>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</si>
  <si>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</si>
  <si>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</si>
  <si>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</si>
  <si>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</si>
  <si>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</si>
  <si>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</si>
  <si>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</si>
  <si>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</si>
  <si>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</si>
  <si>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</si>
  <si>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</si>
  <si>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</si>
  <si>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</si>
  <si>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</si>
  <si>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</si>
  <si>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</si>
  <si>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</si>
  <si>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</si>
  <si>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</si>
  <si>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</si>
  <si>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</si>
  <si>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</si>
  <si>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</si>
  <si>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</si>
  <si>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</si>
  <si>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</si>
  <si>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</si>
  <si>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</si>
  <si>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</si>
  <si>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</si>
  <si>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</si>
  <si>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</si>
  <si>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</si>
  <si>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</si>
  <si>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</si>
  <si>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</si>
  <si>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</si>
  <si>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</si>
  <si>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</si>
  <si>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</si>
  <si>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</si>
  <si>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</si>
  <si>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</si>
  <si>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</si>
  <si>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</si>
  <si>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</si>
  <si>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</si>
  <si>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</si>
  <si>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</si>
  <si>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</si>
  <si>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</si>
  <si>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</si>
  <si>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</si>
  <si>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</si>
  <si>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</si>
  <si>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</si>
  <si>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</si>
  <si>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</si>
  <si>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</si>
  <si>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</si>
  <si>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</si>
  <si>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</si>
  <si>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</si>
  <si>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</si>
  <si>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</si>
  <si>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</si>
  <si>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</si>
  <si>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</si>
  <si>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</si>
  <si>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</si>
  <si>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</si>
  <si>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</si>
  <si>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</si>
  <si>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</si>
  <si>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</si>
  <si>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</si>
  <si>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</si>
  <si>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</si>
  <si>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</si>
  <si>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</si>
  <si>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</si>
  <si>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</si>
  <si>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</si>
  <si>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</si>
  <si>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</si>
  <si>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</si>
  <si>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</si>
  <si>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</si>
  <si>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</si>
  <si>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</si>
  <si>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</si>
  <si>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</si>
  <si>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</si>
  <si>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</si>
  <si>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</si>
  <si>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</si>
  <si>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</si>
  <si>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</si>
  <si>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</si>
  <si>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</si>
  <si>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</si>
  <si>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</si>
  <si>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</si>
  <si>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</si>
  <si>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</si>
  <si>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</si>
  <si>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</si>
  <si>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</si>
  <si>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</si>
  <si>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</si>
  <si>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</si>
  <si>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</si>
  <si>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</si>
  <si>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</si>
  <si>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</si>
  <si>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</si>
  <si>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</si>
  <si>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</si>
  <si>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</si>
  <si>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</si>
  <si>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</si>
  <si>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</si>
  <si>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</si>
  <si>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</si>
  <si>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</si>
  <si>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</si>
  <si>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</si>
  <si>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</si>
  <si>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</si>
  <si>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</si>
  <si>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</si>
  <si>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</si>
  <si>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</si>
  <si>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</si>
  <si>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</si>
  <si>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</si>
  <si>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</si>
  <si>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</si>
  <si>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</si>
  <si>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</si>
  <si>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</si>
  <si>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</si>
  <si>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</si>
  <si>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</si>
  <si>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</si>
  <si>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</si>
  <si>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</si>
  <si>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</si>
  <si>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</si>
  <si>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</si>
  <si>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</si>
  <si>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</si>
  <si>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</si>
  <si>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</si>
  <si>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</si>
  <si>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</si>
  <si>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</si>
  <si>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</si>
  <si>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</si>
  <si>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</si>
  <si>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</si>
  <si>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</si>
  <si>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</si>
  <si>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</si>
  <si>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</si>
  <si>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</si>
  <si>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</si>
  <si>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</si>
  <si>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</si>
  <si>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</si>
  <si>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</si>
  <si>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</si>
  <si>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</si>
  <si>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</si>
  <si>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</si>
  <si>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</si>
  <si>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</si>
  <si>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</si>
  <si>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</si>
  <si>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</si>
  <si>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</si>
  <si>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</si>
  <si>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</si>
  <si>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</si>
  <si>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</si>
  <si>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</si>
  <si>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</si>
  <si>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</si>
  <si>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</si>
  <si>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</si>
  <si>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</si>
  <si>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</si>
  <si>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</si>
  <si>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</si>
  <si>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</si>
  <si>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</si>
  <si>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</si>
  <si>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</si>
  <si>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</si>
  <si>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</si>
  <si>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</si>
  <si>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</si>
  <si>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</si>
  <si>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</si>
  <si>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</si>
  <si>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</si>
  <si>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</si>
  <si>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</si>
  <si>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</si>
  <si>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</si>
  <si>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</si>
  <si>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</si>
  <si>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</si>
  <si>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</si>
  <si>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</si>
  <si>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</si>
  <si>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</si>
  <si>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</si>
  <si>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</si>
  <si>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</si>
  <si>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</si>
  <si>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</si>
  <si>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</si>
  <si>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</si>
  <si>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</si>
  <si>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</si>
  <si>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</si>
  <si>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</si>
  <si>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</si>
  <si>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</si>
  <si>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</si>
  <si>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</si>
  <si>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</si>
  <si>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</si>
  <si>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</si>
  <si>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</si>
  <si>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</si>
  <si>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</si>
  <si>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</si>
  <si>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</si>
  <si>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</si>
  <si>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</si>
  <si>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</si>
  <si>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</si>
  <si>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</si>
  <si>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</si>
  <si>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</si>
  <si>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</si>
  <si>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</si>
  <si>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</si>
  <si>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</si>
  <si>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</si>
  <si>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</si>
  <si>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</si>
  <si>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</si>
  <si>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</si>
  <si>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</si>
  <si>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</si>
  <si>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</si>
  <si>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</si>
  <si>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</si>
  <si>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</si>
  <si>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</si>
  <si>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</si>
  <si>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</si>
  <si>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</si>
  <si>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</si>
  <si>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</si>
  <si>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</si>
  <si>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</si>
  <si>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</si>
  <si>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</si>
  <si>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</si>
  <si>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</si>
  <si>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</si>
  <si>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</si>
  <si>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</si>
  <si>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</si>
  <si>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</si>
  <si>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</si>
  <si>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</si>
  <si>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</si>
  <si>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</si>
  <si>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</si>
  <si>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</si>
  <si>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</si>
  <si>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</si>
  <si>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</si>
  <si>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</si>
  <si>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</si>
  <si>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</si>
  <si>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</si>
  <si>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</si>
  <si>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</si>
  <si>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</si>
  <si>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</si>
  <si>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</si>
  <si>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</si>
  <si>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</si>
  <si>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</si>
  <si>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</si>
  <si>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</si>
  <si>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</si>
  <si>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</si>
  <si>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</si>
  <si>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</si>
  <si>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</si>
  <si>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</si>
  <si>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</si>
  <si>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</si>
  <si>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</si>
  <si>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</si>
  <si>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</si>
  <si>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</si>
  <si>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</si>
  <si>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</si>
  <si>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</si>
  <si>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</si>
  <si>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</si>
  <si>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</si>
  <si>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</si>
  <si>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</si>
  <si>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</si>
  <si>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</si>
  <si>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</si>
  <si>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</si>
  <si>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</si>
  <si>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</si>
  <si>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</si>
  <si>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</si>
  <si>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</si>
  <si>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</si>
  <si>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</si>
  <si>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</si>
  <si>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</si>
  <si>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</si>
  <si>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</si>
  <si>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</si>
  <si>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</si>
  <si>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</si>
  <si>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</si>
  <si>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</si>
  <si>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</si>
  <si>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</si>
  <si>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</si>
  <si>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</si>
  <si>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</si>
  <si>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</si>
  <si>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</si>
  <si>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</si>
  <si>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</si>
  <si>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</si>
  <si>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</si>
  <si>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</si>
  <si>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</si>
  <si>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</si>
  <si>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</si>
  <si>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</si>
  <si>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</si>
  <si>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</si>
  <si>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</si>
  <si>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</si>
  <si>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</si>
  <si>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</si>
  <si>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</si>
  <si>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</si>
  <si>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</si>
  <si>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</si>
  <si>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</si>
  <si>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</si>
  <si>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</si>
  <si>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</si>
  <si>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</si>
  <si>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</si>
  <si>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</si>
  <si>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</si>
  <si>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</si>
  <si>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</si>
  <si>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</si>
  <si>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</si>
  <si>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</si>
  <si>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</si>
  <si>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</si>
  <si>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</si>
  <si>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</si>
  <si>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</si>
  <si>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</si>
  <si>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</si>
  <si>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</si>
  <si>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</si>
  <si>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</si>
  <si>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</si>
  <si>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</si>
  <si>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</si>
  <si>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</si>
  <si>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</si>
  <si>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</si>
  <si>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</si>
  <si>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</si>
  <si>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</si>
  <si>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</si>
  <si>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</si>
  <si>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</si>
  <si>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</si>
  <si>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</si>
  <si>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</si>
  <si>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</si>
  <si>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</si>
  <si>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</si>
  <si>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</si>
  <si>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</si>
  <si>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</si>
  <si>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</si>
  <si>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</si>
  <si>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</si>
  <si>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</si>
  <si>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</si>
  <si>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</si>
  <si>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</si>
  <si>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</si>
  <si>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</si>
  <si>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</si>
  <si>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</si>
  <si>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</si>
  <si>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</si>
  <si>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</si>
  <si>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</si>
  <si>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</si>
  <si>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</si>
  <si>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</si>
  <si>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</si>
  <si>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</si>
  <si>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</si>
  <si>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</si>
  <si>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</si>
  <si>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</si>
  <si>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</si>
  <si>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</si>
  <si>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</si>
  <si>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</si>
  <si>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</si>
  <si>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</si>
  <si>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</si>
  <si>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</si>
  <si>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</si>
  <si>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</si>
  <si>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</si>
  <si>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</si>
  <si>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</si>
  <si>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</si>
  <si>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</si>
  <si>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</si>
  <si>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</si>
  <si>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</si>
  <si>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</si>
  <si>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</si>
  <si>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</si>
  <si>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</si>
  <si>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</si>
  <si>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</si>
  <si>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</si>
  <si>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</si>
  <si>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</si>
  <si>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</si>
  <si>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</si>
  <si>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</si>
  <si>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</si>
  <si>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</si>
  <si>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</si>
  <si>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</si>
  <si>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</si>
  <si>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</si>
  <si>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</si>
  <si>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</si>
  <si>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</si>
  <si>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</si>
  <si>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</si>
  <si>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</si>
  <si>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</si>
  <si>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</si>
  <si>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</si>
  <si>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</si>
  <si>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</si>
  <si>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</si>
  <si>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</si>
  <si>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</si>
  <si>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</si>
  <si>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</si>
  <si>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</si>
  <si>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</si>
  <si>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</si>
  <si>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</si>
  <si>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</si>
  <si>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</si>
  <si>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</si>
  <si>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</si>
  <si>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</si>
  <si>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</si>
  <si>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</si>
  <si>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</si>
  <si>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</si>
  <si>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</si>
  <si>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</si>
  <si>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</si>
  <si>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</si>
  <si>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</si>
  <si>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</si>
  <si>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</si>
  <si>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</si>
  <si>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</si>
  <si>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</si>
  <si>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</si>
  <si>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</si>
  <si>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</si>
  <si>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</si>
  <si>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</si>
  <si>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</si>
  <si>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</si>
  <si>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</si>
  <si>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</si>
  <si>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</si>
  <si>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</si>
  <si>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</si>
  <si>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</si>
  <si>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</si>
  <si>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</si>
  <si>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</si>
  <si>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</si>
  <si>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</si>
  <si>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</si>
  <si>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</si>
  <si>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</si>
  <si>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</si>
  <si>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</si>
  <si>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</si>
  <si>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</si>
  <si>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</si>
  <si>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</si>
  <si>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</si>
  <si>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</si>
  <si>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</si>
  <si>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</si>
  <si>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</si>
  <si>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</si>
  <si>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</si>
  <si>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</si>
  <si>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</si>
  <si>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</si>
  <si>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</si>
  <si>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</si>
  <si>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</si>
  <si>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</si>
  <si>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</si>
  <si>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</si>
  <si>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</si>
  <si>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</si>
  <si>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</si>
  <si>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</si>
  <si>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</si>
  <si>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</si>
  <si>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</si>
  <si>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</si>
  <si>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</si>
  <si>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</si>
  <si>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</si>
  <si>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</si>
  <si>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</si>
  <si>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</si>
  <si>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</si>
  <si>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</si>
  <si>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</si>
  <si>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</si>
  <si>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</si>
  <si>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</si>
  <si>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</si>
  <si>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</si>
  <si>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</si>
  <si>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</si>
  <si>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</si>
  <si>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</si>
  <si>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</si>
  <si>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</si>
  <si>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</si>
  <si>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</si>
  <si>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</si>
  <si>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</si>
  <si>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</si>
  <si>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</si>
  <si>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</si>
  <si>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</si>
  <si>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</si>
  <si>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</si>
  <si>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</si>
  <si>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</si>
  <si>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</si>
  <si>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</si>
  <si>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</si>
  <si>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</si>
  <si>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</si>
  <si>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</si>
  <si>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</si>
  <si>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</si>
  <si>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</si>
  <si>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</si>
  <si>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</si>
  <si>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</si>
  <si>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</si>
  <si>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</si>
  <si>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</si>
  <si>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</si>
  <si>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</si>
  <si>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</si>
  <si>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</si>
  <si>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</si>
  <si>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</si>
  <si>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</si>
  <si>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</si>
  <si>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</si>
  <si>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</si>
  <si>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</si>
  <si>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</si>
  <si>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</si>
  <si>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</si>
  <si>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</si>
  <si>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</si>
  <si>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</si>
  <si>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</si>
  <si>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</si>
  <si>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</si>
  <si>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</si>
  <si>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</si>
  <si>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</si>
  <si>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</si>
  <si>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</si>
  <si>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</si>
  <si>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</si>
  <si>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</si>
  <si>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</si>
  <si>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</si>
  <si>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</si>
  <si>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</si>
  <si>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</si>
  <si>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</si>
  <si>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</si>
  <si>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</si>
  <si>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</si>
  <si>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</si>
  <si>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</si>
  <si>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</si>
  <si>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</si>
  <si>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</si>
  <si>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</si>
  <si>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</si>
  <si>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</si>
  <si>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</si>
  <si>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</si>
  <si>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</si>
  <si>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</si>
  <si>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</si>
  <si>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</si>
  <si>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</si>
  <si>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</si>
  <si>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</si>
  <si>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</si>
  <si>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</si>
  <si>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</si>
  <si>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</si>
  <si>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</si>
  <si>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</si>
  <si>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</si>
  <si>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</si>
  <si>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</si>
  <si>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</si>
  <si>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</si>
  <si>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</si>
  <si>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</si>
  <si>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</si>
  <si>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</si>
  <si>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</si>
  <si>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</si>
  <si>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</si>
  <si>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</si>
  <si>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</si>
  <si>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</si>
  <si>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</si>
  <si>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</si>
  <si>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</si>
  <si>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</si>
  <si>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</si>
  <si>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</si>
  <si>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</si>
  <si>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</si>
  <si>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</si>
  <si>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</si>
  <si>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</si>
  <si>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</si>
  <si>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</si>
  <si>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</si>
  <si>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</si>
  <si>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</si>
  <si>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</si>
  <si>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</si>
  <si>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</si>
  <si>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</si>
  <si>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</si>
  <si>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</si>
  <si>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</si>
  <si>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</si>
  <si>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</si>
  <si>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</si>
  <si>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</si>
  <si>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</si>
  <si>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</si>
  <si>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</si>
  <si>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</si>
  <si>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</si>
  <si>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</si>
  <si>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</si>
  <si>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</si>
  <si>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</si>
  <si>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</si>
  <si>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</si>
  <si>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</si>
  <si>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</si>
  <si>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</si>
  <si>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</si>
  <si>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</si>
  <si>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</si>
  <si>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</si>
  <si>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</si>
  <si>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</si>
  <si>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</si>
  <si>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</si>
  <si>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</si>
  <si>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</si>
  <si>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</si>
  <si>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</si>
  <si>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</si>
  <si>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</si>
  <si>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</si>
  <si>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</si>
  <si>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</si>
  <si>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</si>
  <si>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</si>
  <si>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</si>
  <si>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</si>
  <si>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</si>
  <si>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</si>
  <si>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</si>
  <si>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</si>
  <si>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</si>
  <si>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</si>
  <si>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</si>
  <si>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</si>
  <si>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</si>
  <si>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</si>
  <si>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</si>
  <si>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</si>
  <si>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</si>
  <si>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</si>
  <si>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</si>
  <si>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</si>
  <si>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</si>
  <si>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</si>
  <si>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</si>
  <si>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</si>
  <si>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</si>
  <si>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</si>
  <si>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</si>
  <si>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</si>
  <si>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</si>
  <si>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</si>
  <si>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</si>
  <si>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</si>
  <si>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</si>
  <si>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</si>
  <si>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</si>
  <si>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</si>
  <si>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</si>
  <si>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</si>
  <si>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</si>
  <si>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</si>
  <si>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</si>
  <si>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</si>
  <si>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</si>
  <si>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</si>
  <si>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</si>
  <si>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</si>
  <si>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</si>
  <si>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</si>
  <si>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</si>
  <si>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</si>
  <si>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</si>
  <si>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</si>
  <si>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</si>
  <si>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</si>
  <si>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</si>
  <si>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</si>
  <si>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</si>
  <si>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</si>
  <si>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</si>
  <si>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</si>
  <si>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</si>
  <si>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</si>
  <si>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</si>
  <si>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</si>
  <si>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</si>
  <si>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</si>
  <si>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</si>
  <si>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</si>
  <si>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</si>
  <si>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</si>
  <si>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</si>
  <si>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</si>
  <si>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</si>
  <si>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</si>
  <si>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</si>
  <si>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</si>
  <si>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</si>
  <si>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</si>
  <si>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</si>
  <si>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</si>
  <si>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</si>
  <si>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</si>
  <si>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</si>
  <si>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</si>
  <si>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</si>
  <si>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</si>
  <si>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</si>
  <si>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</si>
  <si>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</si>
  <si>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</si>
  <si>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</si>
  <si>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</si>
  <si>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</si>
  <si>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</si>
  <si>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</si>
  <si>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</si>
  <si>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</si>
  <si>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</si>
  <si>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</si>
  <si>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</si>
  <si>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</si>
  <si>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</si>
  <si>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</si>
  <si>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</si>
  <si>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</si>
  <si>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</si>
  <si>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</si>
  <si>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</si>
  <si>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</si>
  <si>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</si>
  <si>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</si>
  <si>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</si>
  <si>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</si>
  <si>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</si>
  <si>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</si>
  <si>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</si>
  <si>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</si>
  <si>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</si>
  <si>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</si>
  <si>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</si>
  <si>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</si>
  <si>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</si>
  <si>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</si>
  <si>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</si>
  <si>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</si>
  <si>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</si>
  <si>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</si>
  <si>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</si>
  <si>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</si>
  <si>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</si>
  <si>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</si>
  <si>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</si>
  <si>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</si>
  <si>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</si>
  <si>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</si>
  <si>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</si>
  <si>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</si>
  <si>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</si>
  <si>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</si>
  <si>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</si>
  <si>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</si>
  <si>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</si>
  <si>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</si>
  <si>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</si>
  <si>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</si>
  <si>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</si>
  <si>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</si>
  <si>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</si>
  <si>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</si>
  <si>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</si>
  <si>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</si>
  <si>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</si>
  <si>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</si>
  <si>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</si>
  <si>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</si>
  <si>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</si>
  <si>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</si>
  <si>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</si>
  <si>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</si>
  <si>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</si>
  <si>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</si>
  <si>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</si>
  <si>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</si>
  <si>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</si>
  <si>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</si>
  <si>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</si>
  <si>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</si>
  <si>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</si>
  <si>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</si>
  <si>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</si>
  <si>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</si>
  <si>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</si>
  <si>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</si>
  <si>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</si>
  <si>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</si>
  <si>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</si>
  <si>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</si>
  <si>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</si>
  <si>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</si>
  <si>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</si>
  <si>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</si>
  <si>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</si>
  <si>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</si>
  <si>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</si>
  <si>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</si>
  <si>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</si>
  <si>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</si>
  <si>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</si>
  <si>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</si>
  <si>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</si>
  <si>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</si>
  <si>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</si>
  <si>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</si>
  <si>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</si>
  <si>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</si>
  <si>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</si>
  <si>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</si>
  <si>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</si>
  <si>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</si>
  <si>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</si>
  <si>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</si>
  <si>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</si>
  <si>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</si>
  <si>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</si>
  <si>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</si>
  <si>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</si>
  <si>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</si>
  <si>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</si>
  <si>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</si>
  <si>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</si>
  <si>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</si>
  <si>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</si>
  <si>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</si>
  <si>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</si>
  <si>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</si>
  <si>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</si>
  <si>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</si>
  <si>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</si>
  <si>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</si>
  <si>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</si>
  <si>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</si>
  <si>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</si>
  <si>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</si>
  <si>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</si>
  <si>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</si>
  <si>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</si>
  <si>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</si>
  <si>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</si>
  <si>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</si>
  <si>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</si>
  <si>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</si>
  <si>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</si>
  <si>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</si>
  <si>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</si>
  <si>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</si>
  <si>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</si>
  <si>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</si>
  <si>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</si>
  <si>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</si>
  <si>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</si>
  <si>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</si>
  <si>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</si>
  <si>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</si>
  <si>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</si>
  <si>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</si>
  <si>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</si>
  <si>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</si>
  <si>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</si>
  <si>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</si>
  <si>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</si>
  <si>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</si>
  <si>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</si>
  <si>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</si>
  <si>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</si>
  <si>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</si>
  <si>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</si>
  <si>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</si>
  <si>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</si>
  <si>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</si>
  <si>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</si>
  <si>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</si>
  <si>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</si>
  <si>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</si>
  <si>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</si>
  <si>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</si>
  <si>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</si>
  <si>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</si>
  <si>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</si>
  <si>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</si>
  <si>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</si>
  <si>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</si>
  <si>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</si>
  <si>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</si>
  <si>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</si>
  <si>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</si>
  <si>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</si>
  <si>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</si>
  <si>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</si>
  <si>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</si>
  <si>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</si>
  <si>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</si>
  <si>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</si>
  <si>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</si>
  <si>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</si>
  <si>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</si>
  <si>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</si>
  <si>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</si>
  <si>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</si>
  <si>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</si>
  <si>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</si>
  <si>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</si>
  <si>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</si>
  <si>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</si>
  <si>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</si>
  <si>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</si>
  <si>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</si>
  <si>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</si>
  <si>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</si>
  <si>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</si>
  <si>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</si>
  <si>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</si>
  <si>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</si>
  <si>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</si>
  <si>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</si>
  <si>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</si>
  <si>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</si>
  <si>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</si>
  <si>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</si>
  <si>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</si>
  <si>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</si>
  <si>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</si>
  <si>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</si>
  <si>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</si>
  <si>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</si>
  <si>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</si>
  <si>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</si>
  <si>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</si>
  <si>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</si>
  <si>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</si>
  <si>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</si>
  <si>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</si>
  <si>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</si>
  <si>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</si>
  <si>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</si>
  <si>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</si>
  <si>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</si>
  <si>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</si>
  <si>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</si>
  <si>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</si>
  <si>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</si>
  <si>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</si>
  <si>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</si>
  <si>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</si>
  <si>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</si>
  <si>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</si>
  <si>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</si>
  <si>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</si>
  <si>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</si>
  <si>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</si>
  <si>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</si>
  <si>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</si>
  <si>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</si>
  <si>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</si>
  <si>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</si>
  <si>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</si>
  <si>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</si>
  <si>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</si>
  <si>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</si>
  <si>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</si>
  <si>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</si>
  <si>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</si>
  <si>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</si>
  <si>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</si>
  <si>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</si>
  <si>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</si>
  <si>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</si>
  <si>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</si>
  <si>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</si>
  <si>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</si>
  <si>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</si>
  <si>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</si>
  <si>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</si>
  <si>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</si>
  <si>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</si>
  <si>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</si>
  <si>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</si>
  <si>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</si>
  <si>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</si>
  <si>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</si>
  <si>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</si>
  <si>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</si>
  <si>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</si>
  <si>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</si>
  <si>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</si>
  <si>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</si>
  <si>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</si>
  <si>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</si>
  <si>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</si>
  <si>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</si>
  <si>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</si>
  <si>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</si>
  <si>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</si>
  <si>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</si>
  <si>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</si>
  <si>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</si>
  <si>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</si>
  <si>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</si>
  <si>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</si>
  <si>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</si>
  <si>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</si>
  <si>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</si>
  <si>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</si>
  <si>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</si>
  <si>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</si>
  <si>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</si>
  <si>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</si>
  <si>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</si>
  <si>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</si>
  <si>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</si>
  <si>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</si>
  <si>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</si>
  <si>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</si>
  <si>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</si>
  <si>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</si>
  <si>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</si>
  <si>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</si>
  <si>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</si>
  <si>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</si>
  <si>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</si>
  <si>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</si>
  <si>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</si>
  <si>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</si>
  <si>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</si>
  <si>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</si>
  <si>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</si>
  <si>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</si>
  <si>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</si>
  <si>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</si>
  <si>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</si>
  <si>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</si>
  <si>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</si>
  <si>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</si>
  <si>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</si>
  <si>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</si>
  <si>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</si>
  <si>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</si>
  <si>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</si>
  <si>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</si>
  <si>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</si>
  <si>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</si>
  <si>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</si>
  <si>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</si>
  <si>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</si>
  <si>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</si>
  <si>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</si>
  <si>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</si>
  <si>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</si>
  <si>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</si>
  <si>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</si>
  <si>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</si>
  <si>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</si>
  <si>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</si>
  <si>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</si>
  <si>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</si>
  <si>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</si>
  <si>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</si>
  <si>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</si>
  <si>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</si>
  <si>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</si>
  <si>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</si>
  <si>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</si>
  <si>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</si>
  <si>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</si>
  <si>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</si>
  <si>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</si>
  <si>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</si>
  <si>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</si>
  <si>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</si>
  <si>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</si>
  <si>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</si>
  <si>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</si>
  <si>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</si>
  <si>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</si>
  <si>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</si>
  <si>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</si>
  <si>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</si>
  <si>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</si>
  <si>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</si>
  <si>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</si>
  <si>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</si>
  <si>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</si>
  <si>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</si>
  <si>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</si>
  <si>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</si>
  <si>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</si>
  <si>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</si>
  <si>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</si>
  <si>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</si>
  <si>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</si>
  <si>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</si>
  <si>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</si>
  <si>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</si>
  <si>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</si>
  <si>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</si>
  <si>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</si>
  <si>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</si>
  <si>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</si>
  <si>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</si>
  <si>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</si>
  <si>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</si>
  <si>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</si>
  <si>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</si>
  <si>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</si>
  <si>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</si>
  <si>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</si>
  <si>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</si>
  <si>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</si>
  <si>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</si>
  <si>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</si>
  <si>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</si>
  <si>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</si>
  <si>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</si>
  <si>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</si>
  <si>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</si>
  <si>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</si>
  <si>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</si>
  <si>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</si>
  <si>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</si>
  <si>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</si>
  <si>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</si>
  <si>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</si>
  <si>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</si>
  <si>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</si>
  <si>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</si>
  <si>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</si>
  <si>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</si>
  <si>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</si>
  <si>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</si>
  <si>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</si>
  <si>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</si>
  <si>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</si>
  <si>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</si>
  <si>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</si>
  <si>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</si>
  <si>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</si>
  <si>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</si>
  <si>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</si>
  <si>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</si>
  <si>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</si>
  <si>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</si>
  <si>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</si>
  <si>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</si>
  <si>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</si>
  <si>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</si>
  <si>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</si>
  <si>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</si>
  <si>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</si>
  <si>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</si>
  <si>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</si>
  <si>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</si>
  <si>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</si>
  <si>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</si>
  <si>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</si>
  <si>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</si>
  <si>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</si>
  <si>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</si>
  <si>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</si>
  <si>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</si>
  <si>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</si>
  <si>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</si>
  <si>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</si>
  <si>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</si>
  <si>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</si>
  <si>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</si>
  <si>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</si>
  <si>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</si>
  <si>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</si>
  <si>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</si>
  <si>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</si>
  <si>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</si>
  <si>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</si>
  <si>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</si>
  <si>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</si>
  <si>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</si>
  <si>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</si>
  <si>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</si>
  <si>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</si>
  <si>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</si>
  <si>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</si>
  <si>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</si>
  <si>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</si>
  <si>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</si>
  <si>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</si>
  <si>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</si>
  <si>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</si>
  <si>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</si>
  <si>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</si>
  <si>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</si>
  <si>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</si>
  <si>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</si>
  <si>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</si>
  <si>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</si>
  <si>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</si>
  <si>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</si>
  <si>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</si>
  <si>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</si>
  <si>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</si>
  <si>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</si>
  <si>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</si>
  <si>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</si>
  <si>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</si>
  <si>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</si>
  <si>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</si>
  <si>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</si>
  <si>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</si>
  <si>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</si>
  <si>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</si>
  <si>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</si>
  <si>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</si>
  <si>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</si>
  <si>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</si>
  <si>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</si>
  <si>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</si>
  <si>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</si>
  <si>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</si>
  <si>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</si>
  <si>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</si>
  <si>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</si>
  <si>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</si>
  <si>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</si>
  <si>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</si>
  <si>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</si>
  <si>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</si>
  <si>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</si>
  <si>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</si>
  <si>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</si>
  <si>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</si>
  <si>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</si>
  <si>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</si>
  <si>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</si>
  <si>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</si>
  <si>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</si>
  <si>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</si>
  <si>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</si>
  <si>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</si>
  <si>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</si>
  <si>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</si>
  <si>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</si>
  <si>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</si>
  <si>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</si>
  <si>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</si>
  <si>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</si>
  <si>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</si>
  <si>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</si>
  <si>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</si>
  <si>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</si>
  <si>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</si>
  <si>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</si>
  <si>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</si>
  <si>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</si>
  <si>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</si>
  <si>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</si>
  <si>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</si>
  <si>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</si>
  <si>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</si>
  <si>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</si>
  <si>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</si>
  <si>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</si>
  <si>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</si>
  <si>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</si>
  <si>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</si>
  <si>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</si>
  <si>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</si>
  <si>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</si>
  <si>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</si>
  <si>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</si>
  <si>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</si>
  <si>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</si>
  <si>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</si>
  <si>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</si>
  <si>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</si>
  <si>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</si>
  <si>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</si>
  <si>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</si>
  <si>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</si>
  <si>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</si>
  <si>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</si>
  <si>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</si>
  <si>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</si>
  <si>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</si>
  <si>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</si>
  <si>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</si>
  <si>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</si>
  <si>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</si>
  <si>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</si>
  <si>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</si>
  <si>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</si>
  <si>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</si>
  <si>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</si>
  <si>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</si>
  <si>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</si>
  <si>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</si>
  <si>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</si>
  <si>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</si>
  <si>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</si>
  <si>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</si>
  <si>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</si>
  <si>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</si>
  <si>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</si>
  <si>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</si>
  <si>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</si>
  <si>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</si>
  <si>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</si>
  <si>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</si>
  <si>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</si>
  <si>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</si>
  <si>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</si>
  <si>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</si>
  <si>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</si>
  <si>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</si>
  <si>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</si>
  <si>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</si>
  <si>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</si>
  <si>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</si>
  <si>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</si>
  <si>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</si>
  <si>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</si>
  <si>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</si>
  <si>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</si>
  <si>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</si>
  <si>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</si>
  <si>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</si>
  <si>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</si>
  <si>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</si>
  <si>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</si>
  <si>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</si>
  <si>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</si>
  <si>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</si>
  <si>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</si>
  <si>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</si>
  <si>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</si>
  <si>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</si>
  <si>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</si>
  <si>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</si>
  <si>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</si>
  <si>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</si>
  <si>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</si>
  <si>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</si>
  <si>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</si>
  <si>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</si>
  <si>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</si>
  <si>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</si>
  <si>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</si>
  <si>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</si>
  <si>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</si>
  <si>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</si>
  <si>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</si>
  <si>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</si>
  <si>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</si>
  <si>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</si>
  <si>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</si>
  <si>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</si>
  <si>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</si>
  <si>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</si>
  <si>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</si>
  <si>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</si>
  <si>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</si>
  <si>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</si>
  <si>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</si>
  <si>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</si>
  <si>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</si>
  <si>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</si>
  <si>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</si>
  <si>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</si>
  <si>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</si>
  <si>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</si>
  <si>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</si>
  <si>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</si>
  <si>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</si>
  <si>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</si>
  <si>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</si>
  <si>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</si>
  <si>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</si>
  <si>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</si>
  <si>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</si>
  <si>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</si>
  <si>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</si>
  <si>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</si>
  <si>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</si>
  <si>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</si>
  <si>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</si>
  <si>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</si>
  <si>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</si>
  <si>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</si>
  <si>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</si>
  <si>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</si>
  <si>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</si>
  <si>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</si>
  <si>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</si>
  <si>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</si>
  <si>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</si>
  <si>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</si>
  <si>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</si>
  <si>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</si>
  <si>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</si>
  <si>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</si>
  <si>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</si>
  <si>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</si>
  <si>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</si>
  <si>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</si>
  <si>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</si>
  <si>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</si>
  <si>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</si>
  <si>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</si>
  <si>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</si>
  <si>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</si>
  <si>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</si>
  <si>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</si>
  <si>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</si>
  <si>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</si>
  <si>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</si>
  <si>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</si>
  <si>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</si>
  <si>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</si>
  <si>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</si>
  <si>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</si>
  <si>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</si>
  <si>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</si>
  <si>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</si>
  <si>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</si>
  <si>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</si>
  <si>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</si>
  <si>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</si>
  <si>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</si>
  <si>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</si>
  <si>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</si>
  <si>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</si>
  <si>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</si>
  <si>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</si>
  <si>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</si>
  <si>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</si>
  <si>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</si>
  <si>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</si>
  <si>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</si>
  <si>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</si>
  <si>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</si>
  <si>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</si>
  <si>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</si>
  <si>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</si>
  <si>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</si>
  <si>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</si>
  <si>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</si>
  <si>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</si>
  <si>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</si>
  <si>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</si>
  <si>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</si>
  <si>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</si>
  <si>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</si>
  <si>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</si>
  <si>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</si>
  <si>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</si>
  <si>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</si>
  <si>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</si>
  <si>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</si>
  <si>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</si>
  <si>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</si>
  <si>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</si>
  <si>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</si>
  <si>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</si>
  <si>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</si>
  <si>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</si>
  <si>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</si>
  <si>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</si>
  <si>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</si>
  <si>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</si>
  <si>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</si>
  <si>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</si>
  <si>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</si>
  <si>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</si>
  <si>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</si>
  <si>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</si>
  <si>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</si>
  <si>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</si>
  <si>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</si>
  <si>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</si>
  <si>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</si>
  <si>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</si>
  <si>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</si>
  <si>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</si>
  <si>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</si>
  <si>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</si>
  <si>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</si>
  <si>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</si>
  <si>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</si>
  <si>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</si>
  <si>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</si>
  <si>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</si>
  <si>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</si>
  <si>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</si>
  <si>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</si>
  <si>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</si>
  <si>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</si>
  <si>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</si>
  <si>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</si>
  <si>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</si>
  <si>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</si>
  <si>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</si>
  <si>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</si>
  <si>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</si>
  <si>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</si>
  <si>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</si>
  <si>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</si>
  <si>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</si>
  <si>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</si>
  <si>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</si>
  <si>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</si>
  <si>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</si>
  <si>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</si>
  <si>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</si>
  <si>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</si>
  <si>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</si>
  <si>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</si>
  <si>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</si>
  <si>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</si>
  <si>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</si>
  <si>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</si>
  <si>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</si>
  <si>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</si>
  <si>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</si>
  <si>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</si>
  <si>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</si>
  <si>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</si>
  <si>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</si>
  <si>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</si>
  <si>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</si>
  <si>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</si>
  <si>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</si>
  <si>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</si>
  <si>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</si>
  <si>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</si>
  <si>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</si>
  <si>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</si>
  <si>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</si>
  <si>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</si>
  <si>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</si>
  <si>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</si>
  <si>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</si>
  <si>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</si>
  <si>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</si>
  <si>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</si>
  <si>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</si>
  <si>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</si>
  <si>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</si>
  <si>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</si>
  <si>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</si>
  <si>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</si>
  <si>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</si>
  <si>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</si>
  <si>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</si>
  <si>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</si>
  <si>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</si>
  <si>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</si>
  <si>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</si>
  <si>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</si>
  <si>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</si>
  <si>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</si>
  <si>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</si>
  <si>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</si>
  <si>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</si>
  <si>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</si>
  <si>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</si>
  <si>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</si>
  <si>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</si>
  <si>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</si>
  <si>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</si>
  <si>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</si>
  <si>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</si>
  <si>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</si>
  <si>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</si>
  <si>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</si>
  <si>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</si>
  <si>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</si>
  <si>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</si>
  <si>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</si>
  <si>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</si>
  <si>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</si>
  <si>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</si>
  <si>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</si>
  <si>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</si>
  <si>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</si>
  <si>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</si>
  <si>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</si>
  <si>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</si>
  <si>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</si>
  <si>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</si>
  <si>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</si>
  <si>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</si>
  <si>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</si>
  <si>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</si>
  <si>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</si>
  <si>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</si>
  <si>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</si>
  <si>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</si>
  <si>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</si>
  <si>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</si>
  <si>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</si>
  <si>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</si>
  <si>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</si>
  <si>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</si>
  <si>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</si>
  <si>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</si>
  <si>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</si>
  <si>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</si>
  <si>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</si>
  <si>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</si>
  <si>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</si>
  <si>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</si>
  <si>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</si>
  <si>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</si>
  <si>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</si>
  <si>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</si>
  <si>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</si>
  <si>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</si>
  <si>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</si>
  <si>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</si>
  <si>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</si>
  <si>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</si>
  <si>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</si>
  <si>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</si>
  <si>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</si>
  <si>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</si>
  <si>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</si>
  <si>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</si>
  <si>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</si>
  <si>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</si>
  <si>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</si>
  <si>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</si>
  <si>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</si>
  <si>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</si>
  <si>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</si>
  <si>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</si>
  <si>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</si>
  <si>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</si>
  <si>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</si>
  <si>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</si>
  <si>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</si>
  <si>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</si>
  <si>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</si>
  <si>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</si>
  <si>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</si>
  <si>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</si>
  <si>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</si>
  <si>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</si>
  <si>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</si>
  <si>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</si>
  <si>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</si>
  <si>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</si>
  <si>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</si>
  <si>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</si>
  <si>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</si>
  <si>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</si>
  <si>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</si>
  <si>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</si>
  <si>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</si>
  <si>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</si>
  <si>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</si>
  <si>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</si>
  <si>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</si>
  <si>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</si>
  <si>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</si>
  <si>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</si>
  <si>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</si>
  <si>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</si>
  <si>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</si>
  <si>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</si>
  <si>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</si>
  <si>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</si>
  <si>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</si>
  <si>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</si>
  <si>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</si>
  <si>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</si>
  <si>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</si>
  <si>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</si>
  <si>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</si>
  <si>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</si>
  <si>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</si>
  <si>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</si>
  <si>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</si>
  <si>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</si>
  <si>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</si>
  <si>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</si>
  <si>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</si>
  <si>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</si>
  <si>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</si>
  <si>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</si>
  <si>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</si>
  <si>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</si>
  <si>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</si>
  <si>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</si>
  <si>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</si>
  <si>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</si>
  <si>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</si>
  <si>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</si>
  <si>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</si>
  <si>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</si>
  <si>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</si>
  <si>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</si>
  <si>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</si>
  <si>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</si>
  <si>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</si>
  <si>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</si>
  <si>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</si>
  <si>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</si>
  <si>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</si>
  <si>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</si>
  <si>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</si>
  <si>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</si>
  <si>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</si>
  <si>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</si>
  <si>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</si>
  <si>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</si>
  <si>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</si>
  <si>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</si>
  <si>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</si>
  <si>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</si>
  <si>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</si>
  <si>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</si>
  <si>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</si>
  <si>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</si>
  <si>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</si>
  <si>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</si>
  <si>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</si>
  <si>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</si>
  <si>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</si>
  <si>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</si>
  <si>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</si>
  <si>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</si>
  <si>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</si>
  <si>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</si>
  <si>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</si>
  <si>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</si>
  <si>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</si>
  <si>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</si>
  <si>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</si>
  <si>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</si>
  <si>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</si>
  <si>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</si>
  <si>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</si>
  <si>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</si>
  <si>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</si>
  <si>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</si>
  <si>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</si>
  <si>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</si>
  <si>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</si>
  <si>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</si>
  <si>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</si>
  <si>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</si>
  <si>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</si>
  <si>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</si>
  <si>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</si>
  <si>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</si>
  <si>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</si>
  <si>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</si>
  <si>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</si>
  <si>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</si>
  <si>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</si>
  <si>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</si>
  <si>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</si>
  <si>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</si>
  <si>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</si>
  <si>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</si>
  <si>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</si>
  <si>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</si>
  <si>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</si>
  <si>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</si>
  <si>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</si>
  <si>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</si>
  <si>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</si>
  <si>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</si>
  <si>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</si>
  <si>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</si>
  <si>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</si>
  <si>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</si>
  <si>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</si>
  <si>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</si>
  <si>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</si>
  <si>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</si>
  <si>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</si>
  <si>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</si>
  <si>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</si>
  <si>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</si>
  <si>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</si>
  <si>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</si>
  <si>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</si>
  <si>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</si>
  <si>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</si>
  <si>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</si>
  <si>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</si>
  <si>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</si>
  <si>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</si>
  <si>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</si>
  <si>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</si>
  <si>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</si>
  <si>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</si>
  <si>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</si>
  <si>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</si>
  <si>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</si>
  <si>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</si>
  <si>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</si>
  <si>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</si>
  <si>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</si>
  <si>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</si>
  <si>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</si>
  <si>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</si>
  <si>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</si>
  <si>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</si>
  <si>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</si>
  <si>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</si>
  <si>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</si>
  <si>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</si>
  <si>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</si>
  <si>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</si>
  <si>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</si>
  <si>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</si>
  <si>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</si>
  <si>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</si>
  <si>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</si>
  <si>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</si>
  <si>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</si>
  <si>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</si>
  <si>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</si>
  <si>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</si>
  <si>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</si>
  <si>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</si>
  <si>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</si>
  <si>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</si>
  <si>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</si>
  <si>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</si>
  <si>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</si>
  <si>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</si>
  <si>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</si>
  <si>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</si>
  <si>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</si>
  <si>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</si>
  <si>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</si>
  <si>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</si>
  <si>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</si>
  <si>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</si>
  <si>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</si>
  <si>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</si>
  <si>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</si>
  <si>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</si>
  <si>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</si>
  <si>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</si>
  <si>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</si>
  <si>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</si>
  <si>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</si>
  <si>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</si>
  <si>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</si>
  <si>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</si>
  <si>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</si>
  <si>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</si>
  <si>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</si>
  <si>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</si>
  <si>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</si>
  <si>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</si>
  <si>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</si>
  <si>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</si>
  <si>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</si>
  <si>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</si>
  <si>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</si>
  <si>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</si>
  <si>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</si>
  <si>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</si>
  <si>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</si>
  <si>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</si>
  <si>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</si>
  <si>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</si>
  <si>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</si>
  <si>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</si>
  <si>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</si>
  <si>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</si>
  <si>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</si>
  <si>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</si>
  <si>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</si>
  <si>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</si>
  <si>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</si>
  <si>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</si>
  <si>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</si>
  <si>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</si>
  <si>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</si>
  <si>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</si>
  <si>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</si>
  <si>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</si>
  <si>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</si>
  <si>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</si>
  <si>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</si>
  <si>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</si>
  <si>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</si>
  <si>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</si>
  <si>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</si>
  <si>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</si>
  <si>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</si>
  <si>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</si>
  <si>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</si>
  <si>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</si>
  <si>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</si>
  <si>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</si>
  <si>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</si>
  <si>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</si>
  <si>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</si>
  <si>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</si>
  <si>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</si>
  <si>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</si>
  <si>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</si>
  <si>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</si>
  <si>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</si>
  <si>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</si>
  <si>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</si>
  <si>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</si>
  <si>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</si>
  <si>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</si>
  <si>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</si>
  <si>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</si>
  <si>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</si>
  <si>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</si>
  <si>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</si>
  <si>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</si>
  <si>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</si>
  <si>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</si>
  <si>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</si>
  <si>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</si>
  <si>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</si>
  <si>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</si>
  <si>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</si>
  <si>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</si>
  <si>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</si>
  <si>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</si>
  <si>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</si>
  <si>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</si>
  <si>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</si>
  <si>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</si>
  <si>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</si>
  <si>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</si>
  <si>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</si>
  <si>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</si>
  <si>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</si>
  <si>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</si>
  <si>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</si>
  <si>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</si>
  <si>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</si>
  <si>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</si>
  <si>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</si>
  <si>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</si>
  <si>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</si>
  <si>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</si>
  <si>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</si>
  <si>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</si>
  <si>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</si>
  <si>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</si>
  <si>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</si>
  <si>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</si>
  <si>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</si>
  <si>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</si>
  <si>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</si>
  <si>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</si>
  <si>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</si>
  <si>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</si>
  <si>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</si>
  <si>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</si>
  <si>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</si>
  <si>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</si>
  <si>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</si>
  <si>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</si>
  <si>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</si>
  <si>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</si>
  <si>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</si>
  <si>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</si>
  <si>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</si>
  <si>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</si>
  <si>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</si>
  <si>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</si>
  <si>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</si>
  <si>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</si>
  <si>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</si>
  <si>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</si>
  <si>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</si>
  <si>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</si>
  <si>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</si>
  <si>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</si>
  <si>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</si>
  <si>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</si>
  <si>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</si>
  <si>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</si>
  <si>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</si>
  <si>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</si>
  <si>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</si>
  <si>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</si>
  <si>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</si>
  <si>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</si>
  <si>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</si>
  <si>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</si>
  <si>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</si>
  <si>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</si>
  <si>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</si>
  <si>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</si>
  <si>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</si>
  <si>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</si>
  <si>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</si>
  <si>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</si>
  <si>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</si>
  <si>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</si>
  <si>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</si>
  <si>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</si>
  <si>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</si>
  <si>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</si>
  <si>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</si>
  <si>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</si>
  <si>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</si>
  <si>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</si>
  <si>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</si>
  <si>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</si>
  <si>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</si>
  <si>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</si>
  <si>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</si>
  <si>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</si>
  <si>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</si>
  <si>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</si>
  <si>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</si>
  <si>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</si>
  <si>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</si>
  <si>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</si>
  <si>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</si>
  <si>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</si>
  <si>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</si>
  <si>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</si>
  <si>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</si>
  <si>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</si>
  <si>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</si>
  <si>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</si>
  <si>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</si>
  <si>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</si>
  <si>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</si>
  <si>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</si>
  <si>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</si>
  <si>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</si>
  <si>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</si>
  <si>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</si>
  <si>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</si>
  <si>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</si>
  <si>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</si>
  <si>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</si>
  <si>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</si>
  <si>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</si>
  <si>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</si>
  <si>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</si>
  <si>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</si>
  <si>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</si>
  <si>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</si>
  <si>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</si>
  <si>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</si>
  <si>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</si>
  <si>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</si>
  <si>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</si>
  <si>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</si>
  <si>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</si>
  <si>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</si>
  <si>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</si>
  <si>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</si>
  <si>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</si>
  <si>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</si>
  <si>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</si>
  <si>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</si>
  <si>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</si>
  <si>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</si>
  <si>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</si>
  <si>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</si>
  <si>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</si>
  <si>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</si>
  <si>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</si>
  <si>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</si>
  <si>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</si>
  <si>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</si>
  <si>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</si>
  <si>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</si>
  <si>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</si>
  <si>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</si>
  <si>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</si>
  <si>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</si>
  <si>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</si>
  <si>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</si>
  <si>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</si>
  <si>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</si>
  <si>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</si>
  <si>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</si>
  <si>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</si>
  <si>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</si>
  <si>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</si>
  <si>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</si>
  <si>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</si>
  <si>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</si>
  <si>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</si>
  <si>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</si>
  <si>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</si>
  <si>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</si>
  <si>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</si>
  <si>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</si>
  <si>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</si>
  <si>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</si>
  <si>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</si>
  <si>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</si>
  <si>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</si>
  <si>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</si>
  <si>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</si>
  <si>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</si>
  <si>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</si>
  <si>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</si>
  <si>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</si>
  <si>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</si>
  <si>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</si>
  <si>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</si>
  <si>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</si>
  <si>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</si>
  <si>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</si>
  <si>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</si>
  <si>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</si>
  <si>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</si>
  <si>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</si>
  <si>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</si>
  <si>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</si>
  <si>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</si>
  <si>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</si>
  <si>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</si>
  <si>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</si>
  <si>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</si>
  <si>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</si>
  <si>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</si>
  <si>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</si>
  <si>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</si>
  <si>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</si>
  <si>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</si>
  <si>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</si>
  <si>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</si>
  <si>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</si>
  <si>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</si>
  <si>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</si>
  <si>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</si>
  <si>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</si>
  <si>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</si>
  <si>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</si>
  <si>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</si>
  <si>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</si>
  <si>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</si>
  <si>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</si>
  <si>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</si>
  <si>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</si>
  <si>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</si>
  <si>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</si>
  <si>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</si>
  <si>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</si>
  <si>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</si>
  <si>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</si>
  <si>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</si>
  <si>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</si>
  <si>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</si>
  <si>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</si>
  <si>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</si>
  <si>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</si>
  <si>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</si>
  <si>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</si>
  <si>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</si>
  <si>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</si>
  <si>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</si>
  <si>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</si>
  <si>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</si>
  <si>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</si>
  <si>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</si>
  <si>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</si>
  <si>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</si>
  <si>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</si>
  <si>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</si>
  <si>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</si>
  <si>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</si>
  <si>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</si>
  <si>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</si>
  <si>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</si>
  <si>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</si>
  <si>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</si>
  <si>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</si>
  <si>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</si>
  <si>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</si>
  <si>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</si>
  <si>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</si>
  <si>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</si>
  <si>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</si>
  <si>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</si>
  <si>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</si>
  <si>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</si>
  <si>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</si>
  <si>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</si>
  <si>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</si>
  <si>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</si>
  <si>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</si>
  <si>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</si>
  <si>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</si>
  <si>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</si>
  <si>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</si>
  <si>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</si>
  <si>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</si>
  <si>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</si>
  <si>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</si>
  <si>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</si>
  <si>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</si>
  <si>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</si>
  <si>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</si>
  <si>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</si>
  <si>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</si>
  <si>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</si>
  <si>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</si>
  <si>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</si>
  <si>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</si>
  <si>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</si>
  <si>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</si>
  <si>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</si>
  <si>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</si>
  <si>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</si>
  <si>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</si>
  <si>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</si>
  <si>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</si>
  <si>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</si>
  <si>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</si>
  <si>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</si>
  <si>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</si>
  <si>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</si>
  <si>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</si>
  <si>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</si>
  <si>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</si>
  <si>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</si>
  <si>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</si>
  <si>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</si>
  <si>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</si>
  <si>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</si>
  <si>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</si>
  <si>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</si>
  <si>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</si>
  <si>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</si>
  <si>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</si>
  <si>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</si>
  <si>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</si>
  <si>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</si>
  <si>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</si>
  <si>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</si>
  <si>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</si>
  <si>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</si>
  <si>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</si>
  <si>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</si>
  <si>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</si>
  <si>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</si>
  <si>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</si>
  <si>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</si>
  <si>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</si>
  <si>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</si>
  <si>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</si>
  <si>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</si>
  <si>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</si>
  <si>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</si>
  <si>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</si>
  <si>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</si>
  <si>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</si>
  <si>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</si>
  <si>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</si>
  <si>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</si>
  <si>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</si>
  <si>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</si>
  <si>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</si>
  <si>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</si>
  <si>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</si>
  <si>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</si>
  <si>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</si>
  <si>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</si>
  <si>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</si>
  <si>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</si>
  <si>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</si>
  <si>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</si>
  <si>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</si>
  <si>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</si>
  <si>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</si>
  <si>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</si>
  <si>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</si>
  <si>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</si>
  <si>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</si>
  <si>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</si>
  <si>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</si>
  <si>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</si>
  <si>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</si>
  <si>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</si>
  <si>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</si>
  <si>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</si>
  <si>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</si>
  <si>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</si>
  <si>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</si>
  <si>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</si>
  <si>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</si>
  <si>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</si>
  <si>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</si>
  <si>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</si>
  <si>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</si>
  <si>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</si>
  <si>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</si>
  <si>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</si>
  <si>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</si>
  <si>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</si>
  <si>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</si>
  <si>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</si>
  <si>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</si>
  <si>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</si>
  <si>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</si>
  <si>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</si>
  <si>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</si>
  <si>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</si>
  <si>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</si>
  <si>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</si>
  <si>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</si>
  <si>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</si>
  <si>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</si>
  <si>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</si>
  <si>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</si>
  <si>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</si>
  <si>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</si>
  <si>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</si>
  <si>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</si>
  <si>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</si>
  <si>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</si>
  <si>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</si>
  <si>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</si>
  <si>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</si>
  <si>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</si>
  <si>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</si>
  <si>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</si>
  <si>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</si>
  <si>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</si>
  <si>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</si>
  <si>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</si>
  <si>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</si>
  <si>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</si>
  <si>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</si>
  <si>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</si>
  <si>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</si>
  <si>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</si>
  <si>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</si>
  <si>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</si>
  <si>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</si>
  <si>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</si>
  <si>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</si>
  <si>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</si>
  <si>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</si>
  <si>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</si>
  <si>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</si>
  <si>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</si>
  <si>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</si>
  <si>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</si>
  <si>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</si>
  <si>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</si>
  <si>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</si>
  <si>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</si>
  <si>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</si>
  <si>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</si>
  <si>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</si>
  <si>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</si>
  <si>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</si>
  <si>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</si>
  <si>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</si>
  <si>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</si>
  <si>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</si>
  <si>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</si>
  <si>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</si>
  <si>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</si>
  <si>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</si>
  <si>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</si>
  <si>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</si>
  <si>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</si>
  <si>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</si>
  <si>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</si>
  <si>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</si>
  <si>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</si>
  <si>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</si>
  <si>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</si>
  <si>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</si>
  <si>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</si>
  <si>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</si>
  <si>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</si>
  <si>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</si>
  <si>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</si>
  <si>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</si>
  <si>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</si>
  <si>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</si>
  <si>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</si>
  <si>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</si>
  <si>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</si>
  <si>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</si>
  <si>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</si>
  <si>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</si>
  <si>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</si>
  <si>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</si>
  <si>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</si>
  <si>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</si>
  <si>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</si>
  <si>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</si>
  <si>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</si>
  <si>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</si>
  <si>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</si>
  <si>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</si>
  <si>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</si>
  <si>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</si>
  <si>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</si>
  <si>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</si>
  <si>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</si>
  <si>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</si>
  <si>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</si>
  <si>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</si>
  <si>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</si>
  <si>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</si>
  <si>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</si>
  <si>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</si>
  <si>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</si>
  <si>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</si>
  <si>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</si>
  <si>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</si>
  <si>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</si>
  <si>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</si>
  <si>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</si>
  <si>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</si>
  <si>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</si>
  <si>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</si>
  <si>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</si>
  <si>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</si>
  <si>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</si>
  <si>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</si>
  <si>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</si>
  <si>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</si>
  <si>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</si>
  <si>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</si>
  <si>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</si>
  <si>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</si>
  <si>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</si>
  <si>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</si>
  <si>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</si>
  <si>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</si>
  <si>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</si>
  <si>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</si>
  <si>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</si>
  <si>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</si>
  <si>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</si>
  <si>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</si>
  <si>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</si>
  <si>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</si>
  <si>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</si>
  <si>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</si>
  <si>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</si>
  <si>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</si>
  <si>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</si>
  <si>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</si>
  <si>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</si>
  <si>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</si>
  <si>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</si>
  <si>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</si>
  <si>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</si>
  <si>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</si>
  <si>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</si>
  <si>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</si>
  <si>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</si>
  <si>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</si>
  <si>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</si>
  <si>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</si>
  <si>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</si>
  <si>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</si>
  <si>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</si>
  <si>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</si>
  <si>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</si>
  <si>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</si>
  <si>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</si>
  <si>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</si>
  <si>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</si>
  <si>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</si>
  <si>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</si>
  <si>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</si>
  <si>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</si>
  <si>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</si>
  <si>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</si>
  <si>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</si>
  <si>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</si>
  <si>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</si>
  <si>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</si>
  <si>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</si>
  <si>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</si>
  <si>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</si>
  <si>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</si>
  <si>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</si>
  <si>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</si>
  <si>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</si>
  <si>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</si>
  <si>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</si>
  <si>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</si>
  <si>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</si>
  <si>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</si>
  <si>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</si>
  <si>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</si>
  <si>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</si>
  <si>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</si>
  <si>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</si>
  <si>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</si>
  <si>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</si>
  <si>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</si>
  <si>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</si>
  <si>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</si>
  <si>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</si>
  <si>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</si>
  <si>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</si>
  <si>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</si>
  <si>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</si>
  <si>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</si>
  <si>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</si>
  <si>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</si>
  <si>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</si>
  <si>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</si>
  <si>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</si>
  <si>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</si>
  <si>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</si>
  <si>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</si>
  <si>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</si>
  <si>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</si>
  <si>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</si>
  <si>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</si>
  <si>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</si>
  <si>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</si>
  <si>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</si>
  <si>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</si>
  <si>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</si>
  <si>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</si>
  <si>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</si>
  <si>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</si>
  <si>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</si>
  <si>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</si>
  <si>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</si>
  <si>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</si>
  <si>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</si>
  <si>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</si>
  <si>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</si>
  <si>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</si>
  <si>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</si>
  <si>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</si>
  <si>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</si>
  <si>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</si>
  <si>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</si>
  <si>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</si>
  <si>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</si>
  <si>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</si>
  <si>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</si>
  <si>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</si>
  <si>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</si>
  <si>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</si>
  <si>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</si>
  <si>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</si>
  <si>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</si>
  <si>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</si>
  <si>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</si>
  <si>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</si>
  <si>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</si>
  <si>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</si>
  <si>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</si>
  <si>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</si>
  <si>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</si>
  <si>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</si>
  <si>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</si>
  <si>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</si>
  <si>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</si>
  <si>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</si>
  <si>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</si>
  <si>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</si>
  <si>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</si>
  <si>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</si>
  <si>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</si>
  <si>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</si>
  <si>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</si>
  <si>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</si>
  <si>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</si>
  <si>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</si>
  <si>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</si>
  <si>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</si>
  <si>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</si>
  <si>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</si>
  <si>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</si>
  <si>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</si>
  <si>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</si>
  <si>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</si>
  <si>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</si>
  <si>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</si>
  <si>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</si>
  <si>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</si>
  <si>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</si>
  <si>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</si>
  <si>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</si>
  <si>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</si>
  <si>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</si>
  <si>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</si>
  <si>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</si>
  <si>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</si>
  <si>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</si>
  <si>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</si>
  <si>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</si>
  <si>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</si>
  <si>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</si>
  <si>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</si>
  <si>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</si>
  <si>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</si>
  <si>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</si>
  <si>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</si>
  <si>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</si>
  <si>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</si>
  <si>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</si>
  <si>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</si>
  <si>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</si>
  <si>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</si>
  <si>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</si>
  <si>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</si>
  <si>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</si>
  <si>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</si>
  <si>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</si>
  <si>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</si>
  <si>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</si>
  <si>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</si>
  <si>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</si>
  <si>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</si>
  <si>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</si>
  <si>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</si>
  <si>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</si>
  <si>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</si>
  <si>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</si>
  <si>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</si>
  <si>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</si>
  <si>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</si>
  <si>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</si>
  <si>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</si>
  <si>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</si>
  <si>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</si>
  <si>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</si>
  <si>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</si>
  <si>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</si>
  <si>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</si>
  <si>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</si>
  <si>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</si>
  <si>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</si>
  <si>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</si>
  <si>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</si>
  <si>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</si>
  <si>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</si>
  <si>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</si>
  <si>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</si>
  <si>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</si>
  <si>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</si>
  <si>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</si>
  <si>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</si>
  <si>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</si>
  <si>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</si>
  <si>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</si>
  <si>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</si>
  <si>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</si>
  <si>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</si>
  <si>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</si>
  <si>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</si>
  <si>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</si>
  <si>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</si>
  <si>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</si>
  <si>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</si>
  <si>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</si>
  <si>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</si>
  <si>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</si>
  <si>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</si>
  <si>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</si>
  <si>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</si>
  <si>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</si>
  <si>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</si>
  <si>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</si>
  <si>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</si>
  <si>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</si>
  <si>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</si>
  <si>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</si>
  <si>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</si>
  <si>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</si>
  <si>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</si>
  <si>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</si>
  <si>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</si>
  <si>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</si>
  <si>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</si>
  <si>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</si>
  <si>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</si>
  <si>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</si>
  <si>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</si>
  <si>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</si>
  <si>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</si>
  <si>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</si>
  <si>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</si>
  <si>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</si>
  <si>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</si>
  <si>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</si>
  <si>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</si>
  <si>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</si>
  <si>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</si>
  <si>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</si>
  <si>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</si>
  <si>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</si>
  <si>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</si>
  <si>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</si>
  <si>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</si>
  <si>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</si>
  <si>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</si>
  <si>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</si>
  <si>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</si>
  <si>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</si>
  <si>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</si>
  <si>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</si>
  <si>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</si>
  <si>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</si>
  <si>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</si>
  <si>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</si>
  <si>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</si>
  <si>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</si>
  <si>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</si>
  <si>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</si>
  <si>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</si>
  <si>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</si>
  <si>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</si>
  <si>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</si>
  <si>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</si>
  <si>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</si>
  <si>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</si>
  <si>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</si>
  <si>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</si>
  <si>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</si>
  <si>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</si>
  <si>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</si>
  <si>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</si>
  <si>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</si>
  <si>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</si>
  <si>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</si>
  <si>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</si>
  <si>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</si>
  <si>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</si>
  <si>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</si>
  <si>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</si>
  <si>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</si>
  <si>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</si>
  <si>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</si>
  <si>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</si>
  <si>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</si>
  <si>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</si>
  <si>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</si>
  <si>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</si>
  <si>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</si>
  <si>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</si>
  <si>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</si>
  <si>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</si>
  <si>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</si>
  <si>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</si>
  <si>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</si>
  <si>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</si>
  <si>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</si>
  <si>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</si>
  <si>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</si>
  <si>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</si>
  <si>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</si>
  <si>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</si>
  <si>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</si>
  <si>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</si>
  <si>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</si>
  <si>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</si>
  <si>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</si>
  <si>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</si>
  <si>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</si>
  <si>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</si>
  <si>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</si>
  <si>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</si>
  <si>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</si>
  <si>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</si>
  <si>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</si>
  <si>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</si>
  <si>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</si>
  <si>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</si>
  <si>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</si>
  <si>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</si>
  <si>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</si>
  <si>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</si>
  <si>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</si>
  <si>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</si>
  <si>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</si>
  <si>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</si>
  <si>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</si>
  <si>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</si>
  <si>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</si>
  <si>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</si>
  <si>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</si>
  <si>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</si>
  <si>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</si>
  <si>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</si>
  <si>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</si>
  <si>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</si>
  <si>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</si>
  <si>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</si>
  <si>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</si>
  <si>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</si>
  <si>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</si>
  <si>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</si>
  <si>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</si>
  <si>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</si>
  <si>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</si>
  <si>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</si>
  <si>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</si>
  <si>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</si>
  <si>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</si>
  <si>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</si>
  <si>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</si>
  <si>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</si>
  <si>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</si>
  <si>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</si>
  <si>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</si>
  <si>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</si>
  <si>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</si>
  <si>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</si>
  <si>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</si>
  <si>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</si>
  <si>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</si>
  <si>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</si>
  <si>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</si>
  <si>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</si>
  <si>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</si>
  <si>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</si>
  <si>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</si>
  <si>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</si>
  <si>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</si>
  <si>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</si>
  <si>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</si>
  <si>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</si>
  <si>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</si>
  <si>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</si>
  <si>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</si>
  <si>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</si>
  <si>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</si>
  <si>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</si>
  <si>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</si>
  <si>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</si>
  <si>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</si>
  <si>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</si>
  <si>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</si>
  <si>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</si>
  <si>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</si>
  <si>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</si>
  <si>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</si>
  <si>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</si>
  <si>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</si>
  <si>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</si>
  <si>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</si>
  <si>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</si>
  <si>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</si>
  <si>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</si>
  <si>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</si>
  <si>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</si>
  <si>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</si>
  <si>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</si>
  <si>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</si>
  <si>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</si>
  <si>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</si>
  <si>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</si>
  <si>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</si>
  <si>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</si>
  <si>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</si>
  <si>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</si>
  <si>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</si>
  <si>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</si>
  <si>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</si>
  <si>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</si>
  <si>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</si>
  <si>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</si>
  <si>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</si>
  <si>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</si>
  <si>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</si>
  <si>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</si>
  <si>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</si>
  <si>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</si>
  <si>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</si>
  <si>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</si>
  <si>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</si>
  <si>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</si>
  <si>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</si>
  <si>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</si>
  <si>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</si>
  <si>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</si>
  <si>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</si>
  <si>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</si>
  <si>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</si>
  <si>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</si>
  <si>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</si>
  <si>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</si>
  <si>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</si>
  <si>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</si>
  <si>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</si>
  <si>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</si>
  <si>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</si>
  <si>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</si>
  <si>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</si>
  <si>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</si>
  <si>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</si>
  <si>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</si>
  <si>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</si>
  <si>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</si>
  <si>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</si>
  <si>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</si>
  <si>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</si>
  <si>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</si>
  <si>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</si>
  <si>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</si>
  <si>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</si>
  <si>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</si>
  <si>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</si>
  <si>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</si>
  <si>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</si>
  <si>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</si>
  <si>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</si>
  <si>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</si>
  <si>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</si>
  <si>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</si>
  <si>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</si>
  <si>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</si>
  <si>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</si>
  <si>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</si>
  <si>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</si>
  <si>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</si>
  <si>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</si>
  <si>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</si>
  <si>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</si>
  <si>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</si>
  <si>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</si>
  <si>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</si>
  <si>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</si>
  <si>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</si>
  <si>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</si>
  <si>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</si>
  <si>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</si>
  <si>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</si>
  <si>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</si>
  <si>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</si>
  <si>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</si>
  <si>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</si>
  <si>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</si>
  <si>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</si>
  <si>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</si>
  <si>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</si>
  <si>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</si>
  <si>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</si>
  <si>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</si>
  <si>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</si>
  <si>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</si>
  <si>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</si>
  <si>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</si>
  <si>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</si>
  <si>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</si>
  <si>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</si>
  <si>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</si>
  <si>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</si>
  <si>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</si>
  <si>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</si>
  <si>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</si>
  <si>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</si>
  <si>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</si>
  <si>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</si>
  <si>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</si>
  <si>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</si>
  <si>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</si>
  <si>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</si>
  <si>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</si>
  <si>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</si>
  <si>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</si>
  <si>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</si>
  <si>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</si>
  <si>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</si>
  <si>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</si>
  <si>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</si>
  <si>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</si>
  <si>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</si>
  <si>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</si>
  <si>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</si>
  <si>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</si>
  <si>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</si>
  <si>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</si>
  <si>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</si>
  <si>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</si>
  <si>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</si>
  <si>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</si>
  <si>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</si>
  <si>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</si>
  <si>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</si>
  <si>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</si>
  <si>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</si>
  <si>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</si>
  <si>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</si>
  <si>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</si>
  <si>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</si>
  <si>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</si>
  <si>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</si>
  <si>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</si>
  <si>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</si>
  <si>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</si>
  <si>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</si>
  <si>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</si>
  <si>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</si>
  <si>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</si>
  <si>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</si>
  <si>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</si>
  <si>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</si>
  <si>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</si>
  <si>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</si>
  <si>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</si>
  <si>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</si>
  <si>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</si>
  <si>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</si>
  <si>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</si>
  <si>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</si>
  <si>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</si>
  <si>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</si>
  <si>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</si>
  <si>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</si>
  <si>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</si>
  <si>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</si>
  <si>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</si>
  <si>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</si>
  <si>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</si>
  <si>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</si>
  <si>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</si>
  <si>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</si>
  <si>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</si>
  <si>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</si>
  <si>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</si>
  <si>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</si>
  <si>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</si>
  <si>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</si>
  <si>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</si>
  <si>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</si>
  <si>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</si>
  <si>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</si>
  <si>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</si>
  <si>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</si>
  <si>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</si>
  <si>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</si>
  <si>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</si>
  <si>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</si>
  <si>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</si>
  <si>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</si>
  <si>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</si>
  <si>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</si>
  <si>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</si>
  <si>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</si>
  <si>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</si>
  <si>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</si>
  <si>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</si>
  <si>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</si>
  <si>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</si>
  <si>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</si>
  <si>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</si>
  <si>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</si>
  <si>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</si>
  <si>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</si>
  <si>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</si>
  <si>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</si>
  <si>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</si>
  <si>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</si>
  <si>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</si>
  <si>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</si>
  <si>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</si>
  <si>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</si>
  <si>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</si>
  <si>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</si>
  <si>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</si>
  <si>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</si>
  <si>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</si>
  <si>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</si>
  <si>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</si>
  <si>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</si>
  <si>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</si>
  <si>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</si>
  <si>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</si>
  <si>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</si>
  <si>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</si>
  <si>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</si>
  <si>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</si>
  <si>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</si>
  <si>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</si>
  <si>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</si>
  <si>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</si>
  <si>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</si>
  <si>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</si>
  <si>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</si>
  <si>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</si>
  <si>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</si>
  <si>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</si>
  <si>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</si>
  <si>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</si>
  <si>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</si>
  <si>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</si>
  <si>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</si>
  <si>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</si>
  <si>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</si>
  <si>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</si>
  <si>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</si>
  <si>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</si>
  <si>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</si>
  <si>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</si>
  <si>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</si>
  <si>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房产清单</t>
  </si>
  <si>
    <t>序号</t>
  </si>
  <si>
    <t>幢号</t>
  </si>
  <si>
    <t>房屋用途</t>
  </si>
  <si>
    <t>所在层</t>
  </si>
  <si>
    <t>房号或部位</t>
  </si>
  <si>
    <t>建筑面积                （平方米）</t>
  </si>
  <si>
    <t>1号楼</t>
  </si>
  <si>
    <t>商业、影院</t>
  </si>
  <si>
    <t>1-7</t>
  </si>
  <si>
    <t>7幢</t>
  </si>
  <si>
    <t>车位</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</si>
  <si>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</si>
  <si>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</si>
  <si>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</si>
  <si>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</si>
  <si>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</si>
  <si>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</si>
  <si>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</si>
  <si>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</si>
  <si>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</si>
  <si>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</si>
  <si>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</si>
  <si>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</si>
  <si>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</si>
  <si>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</si>
  <si>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</si>
  <si>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</si>
  <si>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</si>
  <si>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</si>
  <si>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</si>
  <si>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</si>
  <si>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</si>
  <si>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</si>
  <si>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</si>
  <si>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</si>
  <si>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</si>
  <si>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</si>
  <si>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</si>
  <si>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</si>
  <si>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</si>
  <si>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</si>
  <si>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</si>
  <si>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</si>
  <si>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</si>
  <si>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</si>
  <si>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</si>
  <si>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</si>
  <si>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</si>
  <si>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</si>
  <si>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</si>
  <si>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</si>
  <si>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</si>
  <si>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</si>
  <si>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</si>
  <si>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</si>
  <si>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</si>
  <si>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</si>
  <si>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</si>
  <si>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</si>
  <si>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</si>
  <si>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</si>
  <si>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</si>
  <si>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</si>
  <si>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</si>
  <si>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</si>
  <si>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</si>
  <si>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</si>
  <si>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</si>
  <si>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</si>
  <si>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</si>
  <si>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</si>
  <si>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</si>
  <si>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</si>
  <si>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</si>
  <si>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</si>
  <si>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</si>
  <si>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</si>
  <si>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</si>
  <si>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</si>
  <si>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</si>
  <si>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</si>
  <si>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</si>
  <si>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</si>
  <si>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</si>
  <si>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</si>
  <si>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</si>
  <si>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</si>
  <si>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</si>
  <si>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</si>
  <si>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</si>
  <si>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</si>
  <si>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</si>
  <si>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</si>
  <si>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</si>
  <si>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</si>
  <si>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</si>
  <si>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</si>
  <si>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</si>
  <si>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</si>
  <si>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</si>
  <si>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</si>
  <si>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</si>
  <si>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</si>
  <si>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</si>
  <si>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</si>
  <si>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</si>
  <si>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</si>
  <si>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</si>
  <si>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</si>
  <si>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</si>
  <si>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</si>
  <si>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</si>
  <si>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</si>
  <si>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</si>
  <si>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</si>
  <si>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</si>
  <si>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</si>
  <si>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</si>
  <si>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</si>
  <si>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</si>
  <si>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</si>
  <si>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</si>
  <si>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</si>
  <si>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</si>
  <si>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</si>
  <si>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</si>
  <si>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</si>
  <si>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</si>
  <si>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</si>
  <si>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</si>
  <si>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</si>
  <si>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</si>
  <si>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</si>
  <si>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</si>
  <si>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</si>
  <si>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</si>
  <si>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</si>
  <si>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</si>
  <si>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</si>
  <si>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</si>
  <si>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</si>
  <si>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</si>
  <si>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</si>
  <si>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</si>
  <si>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</si>
  <si>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</si>
  <si>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</si>
  <si>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</si>
  <si>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</si>
  <si>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</si>
  <si>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</si>
  <si>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</si>
  <si>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</si>
  <si>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</si>
  <si>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</si>
  <si>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</si>
  <si>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</si>
  <si>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</si>
  <si>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</si>
  <si>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</si>
  <si>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</si>
  <si>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</si>
  <si>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</si>
  <si>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</si>
  <si>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</si>
  <si>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</si>
  <si>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</si>
  <si>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</si>
  <si>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</si>
  <si>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</si>
  <si>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</si>
  <si>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</si>
  <si>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</si>
  <si>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</si>
  <si>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</si>
  <si>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</si>
  <si>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</si>
  <si>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</si>
  <si>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</si>
  <si>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</si>
  <si>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</si>
  <si>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</si>
  <si>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</si>
  <si>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</si>
  <si>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</si>
  <si>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</si>
  <si>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22-005</t>
  </si>
  <si>
    <t>22-006</t>
  </si>
  <si>
    <t>22-007</t>
  </si>
  <si>
    <t>22-008</t>
  </si>
  <si>
    <t>23-001</t>
  </si>
  <si>
    <t>23-002</t>
  </si>
  <si>
    <t>23-003</t>
  </si>
  <si>
    <t>23-004</t>
  </si>
  <si>
    <t>23-005</t>
  </si>
  <si>
    <t>23-006</t>
  </si>
  <si>
    <t>23-007</t>
  </si>
  <si>
    <t>23-008</t>
  </si>
  <si>
    <t>23-023</t>
  </si>
  <si>
    <t>23-024</t>
  </si>
  <si>
    <t>23-025</t>
  </si>
  <si>
    <t>23-026</t>
  </si>
  <si>
    <t>23-027</t>
  </si>
  <si>
    <t>23-028</t>
  </si>
  <si>
    <t>23-029</t>
  </si>
  <si>
    <t>23-030</t>
  </si>
  <si>
    <t>23-031</t>
  </si>
  <si>
    <t>23-032</t>
  </si>
  <si>
    <t>23-033</t>
  </si>
  <si>
    <t>23-034</t>
  </si>
  <si>
    <t>23-035</t>
  </si>
  <si>
    <t>23-036</t>
  </si>
  <si>
    <t>23-037</t>
  </si>
  <si>
    <t>23-038</t>
  </si>
  <si>
    <t>24-001</t>
  </si>
  <si>
    <t>24-002</t>
  </si>
  <si>
    <t>24-003</t>
  </si>
  <si>
    <t>24-004</t>
  </si>
  <si>
    <t>24-005</t>
  </si>
  <si>
    <t>24-006</t>
  </si>
  <si>
    <t>24-007</t>
  </si>
  <si>
    <t>24-008</t>
  </si>
  <si>
    <t>24-009</t>
  </si>
  <si>
    <t>24-010</t>
  </si>
  <si>
    <t>24-011</t>
  </si>
  <si>
    <t>24-012</t>
  </si>
  <si>
    <t>24-013</t>
  </si>
  <si>
    <t>24-014</t>
  </si>
  <si>
    <t>24-015</t>
  </si>
  <si>
    <t>24-016</t>
  </si>
  <si>
    <t>24-035</t>
  </si>
  <si>
    <t>24-036</t>
  </si>
  <si>
    <t>25-001</t>
  </si>
  <si>
    <t>25-002</t>
  </si>
  <si>
    <t>25-003</t>
  </si>
  <si>
    <t>25-004</t>
  </si>
  <si>
    <t>25-005</t>
  </si>
  <si>
    <t>25-006</t>
  </si>
  <si>
    <t>25-007</t>
  </si>
  <si>
    <t>25-008</t>
  </si>
  <si>
    <t>25-009</t>
  </si>
  <si>
    <t>25-010</t>
  </si>
  <si>
    <t>25-011</t>
  </si>
  <si>
    <t>25-012</t>
  </si>
  <si>
    <t>25-013</t>
  </si>
  <si>
    <t>25-014</t>
  </si>
  <si>
    <t>25-015</t>
  </si>
  <si>
    <t>25-016</t>
  </si>
  <si>
    <t>25-017</t>
  </si>
  <si>
    <t>25-018</t>
  </si>
  <si>
    <t>25-019</t>
  </si>
  <si>
    <t>25-020</t>
  </si>
  <si>
    <t>25-021</t>
  </si>
  <si>
    <t>25-022</t>
  </si>
  <si>
    <t>25-023</t>
  </si>
  <si>
    <t>25-024</t>
  </si>
  <si>
    <t>25-025</t>
  </si>
  <si>
    <t>25-026</t>
  </si>
  <si>
    <t>25-027</t>
  </si>
  <si>
    <t>25-028</t>
  </si>
  <si>
    <t>25-029</t>
  </si>
  <si>
    <t>25-030</t>
  </si>
  <si>
    <t>25-031</t>
  </si>
  <si>
    <t>25-032</t>
  </si>
  <si>
    <t>25-033</t>
  </si>
  <si>
    <t>25-034</t>
  </si>
  <si>
    <t>25-035</t>
  </si>
  <si>
    <t>25-036</t>
  </si>
  <si>
    <t>25-037</t>
  </si>
  <si>
    <t>25-038</t>
  </si>
  <si>
    <t>25-039</t>
  </si>
  <si>
    <t>25-040</t>
  </si>
  <si>
    <t>25-041</t>
  </si>
  <si>
    <t>25-042</t>
  </si>
  <si>
    <t>25-043</t>
  </si>
  <si>
    <t>25-044</t>
  </si>
  <si>
    <t>25-045</t>
  </si>
  <si>
    <t>25-046</t>
  </si>
  <si>
    <t>25-047</t>
  </si>
  <si>
    <t>25-048</t>
  </si>
  <si>
    <t>25-049</t>
  </si>
  <si>
    <t>25-050</t>
  </si>
  <si>
    <t>25-051</t>
  </si>
  <si>
    <t>25-052</t>
  </si>
  <si>
    <t>25-053</t>
  </si>
  <si>
    <t>25-054</t>
  </si>
  <si>
    <t>25-055</t>
  </si>
  <si>
    <t>25-056</t>
  </si>
  <si>
    <t>25-057</t>
  </si>
  <si>
    <t>25-058</t>
  </si>
  <si>
    <t>25-059</t>
  </si>
  <si>
    <t>25-060</t>
  </si>
  <si>
    <t>25-061</t>
  </si>
  <si>
    <t>25-062</t>
  </si>
  <si>
    <t>25-063</t>
  </si>
  <si>
    <t>25-064</t>
  </si>
  <si>
    <t>25-065</t>
  </si>
  <si>
    <t>25-066</t>
  </si>
  <si>
    <t>25-067</t>
  </si>
  <si>
    <t>25-068</t>
  </si>
  <si>
    <t>25-069</t>
  </si>
  <si>
    <t>25-070</t>
  </si>
  <si>
    <t>25-071</t>
  </si>
  <si>
    <t>25-072</t>
  </si>
  <si>
    <t>25-073</t>
  </si>
  <si>
    <t>25-074</t>
  </si>
  <si>
    <t>25-075</t>
  </si>
  <si>
    <t>25-076</t>
  </si>
  <si>
    <t>25-077</t>
  </si>
  <si>
    <t>25-078</t>
  </si>
  <si>
    <t>25-079</t>
  </si>
  <si>
    <t>25-080</t>
  </si>
  <si>
    <t>25-081</t>
  </si>
  <si>
    <t>25-082</t>
  </si>
  <si>
    <t>25-083</t>
  </si>
  <si>
    <t>25-084</t>
  </si>
  <si>
    <t>25-085</t>
  </si>
  <si>
    <t>25-086</t>
  </si>
  <si>
    <t>25-087</t>
  </si>
  <si>
    <t>25-088</t>
  </si>
  <si>
    <t>25-089</t>
  </si>
  <si>
    <t>25-090</t>
  </si>
  <si>
    <t>25-091</t>
  </si>
  <si>
    <t>25-092</t>
  </si>
  <si>
    <t>25-093</t>
  </si>
  <si>
    <t>25-094</t>
  </si>
  <si>
    <t>25-095</t>
  </si>
  <si>
    <t>25-096</t>
  </si>
  <si>
    <t>25-097</t>
  </si>
  <si>
    <t>25-098</t>
  </si>
  <si>
    <t>25-099</t>
  </si>
  <si>
    <t>25-100</t>
  </si>
  <si>
    <t>25-101</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</si>
  <si>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</si>
  <si>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</si>
  <si>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</si>
  <si>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</si>
  <si>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</si>
  <si>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</si>
  <si>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</si>
  <si>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</si>
  <si>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</si>
  <si>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</si>
  <si>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</si>
  <si>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</si>
  <si>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</si>
  <si>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</si>
  <si>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</si>
  <si>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</si>
  <si>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</si>
  <si>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</si>
  <si>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</si>
  <si>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</si>
  <si>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</si>
  <si>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</si>
  <si>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</si>
  <si>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</si>
  <si>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</si>
  <si>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</si>
  <si>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</si>
  <si>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</si>
  <si>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</si>
  <si>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</si>
  <si>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</si>
  <si>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</si>
  <si>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</si>
  <si>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</si>
  <si>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</si>
  <si>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</si>
  <si>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</si>
  <si>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</si>
  <si>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</si>
  <si>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</si>
  <si>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</si>
  <si>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</si>
  <si>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</si>
  <si>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25-145</t>
  </si>
  <si>
    <t>25-146</t>
  </si>
  <si>
    <t>25-147</t>
  </si>
  <si>
    <t>25-148</t>
  </si>
  <si>
    <t>25-149</t>
  </si>
  <si>
    <t>25-150</t>
  </si>
  <si>
    <t>25-151</t>
  </si>
  <si>
    <t>25-152</t>
  </si>
  <si>
    <t>25-153</t>
  </si>
  <si>
    <t>25-154</t>
  </si>
  <si>
    <t>25-155</t>
  </si>
  <si>
    <t>25-156</t>
  </si>
  <si>
    <t>25-157</t>
  </si>
  <si>
    <t>25-158</t>
  </si>
  <si>
    <t>25-159</t>
  </si>
  <si>
    <t>25-160</t>
  </si>
  <si>
    <t>25-161</t>
  </si>
  <si>
    <t>25-162</t>
  </si>
  <si>
    <t>25-163</t>
  </si>
  <si>
    <t>25-164</t>
  </si>
  <si>
    <t>25-165</t>
  </si>
  <si>
    <t>25-166</t>
  </si>
  <si>
    <t>25-167</t>
  </si>
  <si>
    <t>25-168</t>
  </si>
  <si>
    <t>25-169</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</si>
  <si>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</si>
  <si>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</si>
  <si>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</si>
  <si>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</si>
  <si>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</si>
  <si>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</si>
  <si>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</si>
  <si>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</si>
  <si>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</si>
  <si>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</si>
  <si>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</si>
  <si>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</si>
  <si>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</si>
  <si>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</si>
  <si>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</si>
  <si>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</si>
  <si>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</si>
  <si>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</si>
  <si>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</si>
  <si>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</si>
  <si>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</si>
  <si>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</si>
  <si>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</si>
  <si>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</si>
  <si>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26-001</t>
  </si>
  <si>
    <t>26-002</t>
  </si>
  <si>
    <t>26-003</t>
  </si>
  <si>
    <t>26-004</t>
  </si>
  <si>
    <t>26-005</t>
  </si>
  <si>
    <t>27-001</t>
  </si>
  <si>
    <t>27-002</t>
  </si>
  <si>
    <t>27-003</t>
  </si>
  <si>
    <t>27-004</t>
  </si>
  <si>
    <t>27-005</t>
  </si>
  <si>
    <t>27-006</t>
  </si>
  <si>
    <t>27-007</t>
  </si>
  <si>
    <t>27-008</t>
  </si>
  <si>
    <t>27-009</t>
  </si>
  <si>
    <t>27-010</t>
  </si>
  <si>
    <t>28-001</t>
  </si>
  <si>
    <t>28-002</t>
  </si>
  <si>
    <t>28-003</t>
  </si>
  <si>
    <t>28-004</t>
  </si>
  <si>
    <t>28-005</t>
  </si>
  <si>
    <t>28-007</t>
  </si>
  <si>
    <t>-401</t>
  </si>
  <si>
    <t>-402</t>
  </si>
  <si>
    <t>-403</t>
  </si>
  <si>
    <t>-404</t>
  </si>
  <si>
    <t>-405</t>
  </si>
  <si>
    <t>-406</t>
  </si>
  <si>
    <t>-407</t>
  </si>
  <si>
    <t>-408</t>
  </si>
  <si>
    <t>-409</t>
  </si>
  <si>
    <t>-410</t>
  </si>
  <si>
    <t>-411</t>
  </si>
  <si>
    <t>-412</t>
  </si>
  <si>
    <t>-413</t>
  </si>
  <si>
    <t>-414</t>
  </si>
  <si>
    <t>-415</t>
  </si>
  <si>
    <t>-416</t>
  </si>
  <si>
    <t>-417</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</si>
  <si>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</si>
  <si>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</si>
  <si>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</si>
  <si>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</si>
  <si>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</si>
  <si>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</si>
  <si>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</si>
  <si>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</si>
  <si>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</si>
  <si>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</si>
  <si>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</si>
  <si>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</si>
  <si>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</si>
  <si>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</si>
  <si>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</si>
  <si>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</si>
  <si>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</si>
  <si>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</si>
  <si>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</si>
  <si>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</si>
  <si>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</si>
  <si>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</si>
  <si>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</si>
  <si>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</si>
  <si>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</si>
  <si>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</si>
  <si>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</si>
  <si>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</si>
  <si>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</si>
  <si>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</si>
  <si>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</si>
  <si>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</si>
  <si>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</si>
  <si>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</si>
  <si>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</si>
  <si>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</si>
  <si>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</si>
  <si>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</si>
  <si>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</si>
  <si>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</si>
  <si>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</si>
  <si>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</si>
  <si>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</si>
  <si>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</si>
  <si>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</si>
  <si>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</si>
  <si>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</si>
  <si>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</si>
  <si>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</si>
  <si>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</si>
  <si>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</si>
  <si>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</si>
  <si>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</si>
  <si>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</si>
  <si>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</si>
  <si>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</si>
  <si>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</si>
  <si>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</si>
  <si>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</si>
  <si>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</si>
  <si>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</si>
  <si>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</si>
  <si>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</si>
  <si>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</si>
  <si>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</si>
  <si>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</si>
  <si>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</si>
  <si>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</si>
  <si>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</si>
  <si>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</si>
  <si>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</si>
  <si>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</si>
  <si>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</si>
  <si>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</si>
  <si>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</si>
  <si>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</si>
  <si>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</si>
  <si>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</si>
  <si>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</si>
  <si>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</si>
  <si>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</si>
  <si>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</si>
  <si>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</si>
  <si>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</si>
  <si>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</si>
  <si>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</si>
  <si>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</si>
  <si>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</si>
  <si>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</si>
  <si>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</si>
  <si>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</si>
  <si>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</si>
  <si>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</si>
  <si>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</si>
  <si>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</si>
  <si>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</si>
  <si>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</si>
  <si>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</si>
  <si>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</si>
  <si>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</si>
  <si>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</si>
  <si>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</si>
  <si>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</si>
  <si>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</si>
  <si>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</si>
  <si>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</si>
  <si>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</si>
  <si>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</si>
  <si>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</si>
  <si>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</si>
  <si>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</si>
  <si>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</si>
  <si>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</si>
  <si>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</si>
  <si>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</si>
  <si>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</si>
  <si>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</si>
  <si>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</si>
  <si>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</si>
  <si>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</si>
  <si>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</si>
  <si>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</si>
  <si>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</si>
  <si>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</si>
  <si>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</si>
  <si>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</si>
  <si>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</si>
  <si>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</si>
  <si>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</si>
  <si>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</si>
  <si>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</si>
  <si>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</si>
  <si>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</si>
  <si>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</si>
  <si>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</si>
  <si>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</si>
  <si>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</si>
  <si>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</si>
  <si>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</si>
  <si>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</si>
  <si>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</si>
  <si>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</si>
  <si>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</si>
  <si>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</si>
  <si>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</si>
  <si>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</si>
  <si>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</si>
  <si>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</si>
  <si>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</si>
  <si>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</si>
  <si>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</si>
  <si>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</si>
  <si>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</si>
  <si>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</si>
  <si>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</si>
  <si>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</si>
  <si>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</si>
  <si>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</si>
  <si>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</si>
  <si>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</si>
  <si>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</si>
  <si>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</si>
  <si>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</si>
  <si>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</si>
  <si>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</si>
  <si>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</si>
  <si>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</si>
  <si>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</si>
  <si>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</si>
  <si>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</si>
  <si>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</si>
  <si>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</si>
  <si>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</si>
  <si>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</si>
  <si>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</si>
  <si>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</si>
  <si>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</si>
  <si>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</si>
  <si>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12-001</t>
  </si>
  <si>
    <t>12-002</t>
  </si>
  <si>
    <t>12-003</t>
  </si>
  <si>
    <t>12-008</t>
  </si>
  <si>
    <t>13-001</t>
  </si>
  <si>
    <t>13-002</t>
  </si>
  <si>
    <t>13-003</t>
  </si>
  <si>
    <t>13-004</t>
  </si>
  <si>
    <t>13-005</t>
  </si>
  <si>
    <t>13-006</t>
  </si>
  <si>
    <t>13-007</t>
  </si>
  <si>
    <t>13-008</t>
  </si>
  <si>
    <t>13-009</t>
  </si>
  <si>
    <t>13-010</t>
  </si>
  <si>
    <t>13-011</t>
  </si>
  <si>
    <t>13-012</t>
  </si>
  <si>
    <t>13-013</t>
  </si>
  <si>
    <t>13-014</t>
  </si>
  <si>
    <t>13-015</t>
  </si>
  <si>
    <t>13-016</t>
  </si>
  <si>
    <t>13-017</t>
  </si>
  <si>
    <t>13-018</t>
  </si>
  <si>
    <t>13-033</t>
  </si>
  <si>
    <t>13-034</t>
  </si>
  <si>
    <t>13-035</t>
  </si>
  <si>
    <t>13-036</t>
  </si>
  <si>
    <t>13-037</t>
  </si>
  <si>
    <t>13-038</t>
  </si>
  <si>
    <t>14-001</t>
  </si>
  <si>
    <t>14-017</t>
  </si>
  <si>
    <t>14-018</t>
  </si>
  <si>
    <t>14-019</t>
  </si>
  <si>
    <t>14-020</t>
  </si>
  <si>
    <t>14-021</t>
  </si>
  <si>
    <t>14-022</t>
  </si>
  <si>
    <t>14-023</t>
  </si>
  <si>
    <t>14-024</t>
  </si>
  <si>
    <t>15-001</t>
  </si>
  <si>
    <t>15-002</t>
  </si>
  <si>
    <t>15-003</t>
  </si>
  <si>
    <t>15-004</t>
  </si>
  <si>
    <t>15-005</t>
  </si>
  <si>
    <t>15-006</t>
  </si>
  <si>
    <t>15-007</t>
  </si>
  <si>
    <t>15-008</t>
  </si>
  <si>
    <t>15-009</t>
  </si>
  <si>
    <t>15-010</t>
  </si>
  <si>
    <t>15-011</t>
  </si>
  <si>
    <t>15-012</t>
  </si>
  <si>
    <t>15-013</t>
  </si>
  <si>
    <t>15-014</t>
  </si>
  <si>
    <t>15-015</t>
  </si>
  <si>
    <t>15-016</t>
  </si>
  <si>
    <t>15-017</t>
  </si>
  <si>
    <t>15-018</t>
  </si>
  <si>
    <t>15-019</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</si>
  <si>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</si>
  <si>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</si>
  <si>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</si>
  <si>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</si>
  <si>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</si>
  <si>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</si>
  <si>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</si>
  <si>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</si>
  <si>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</si>
  <si>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</si>
  <si>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</si>
  <si>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</si>
  <si>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</si>
  <si>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</si>
  <si>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</si>
  <si>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</si>
  <si>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</si>
  <si>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</si>
  <si>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</si>
  <si>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</si>
  <si>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</si>
  <si>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</si>
  <si>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</si>
  <si>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</si>
  <si>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</si>
  <si>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</si>
  <si>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</si>
  <si>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</si>
  <si>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</si>
  <si>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</si>
  <si>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</si>
  <si>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</si>
  <si>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</si>
  <si>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</si>
  <si>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</si>
  <si>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</si>
  <si>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</si>
  <si>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</si>
  <si>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</si>
  <si>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</si>
  <si>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</si>
  <si>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</si>
  <si>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</si>
  <si>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</si>
  <si>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</si>
  <si>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</si>
  <si>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</si>
  <si>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</si>
  <si>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</si>
  <si>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</si>
  <si>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</si>
  <si>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</si>
  <si>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</si>
  <si>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</si>
  <si>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</si>
  <si>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</si>
  <si>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</si>
  <si>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</si>
  <si>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</si>
  <si>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</si>
  <si>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</si>
  <si>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</si>
  <si>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</si>
  <si>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</si>
  <si>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</si>
  <si>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</si>
  <si>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</si>
  <si>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</si>
  <si>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</si>
  <si>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</si>
  <si>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</si>
  <si>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</si>
  <si>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</si>
  <si>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</si>
  <si>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</si>
  <si>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</si>
  <si>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</si>
  <si>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</si>
  <si>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</si>
  <si>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</si>
  <si>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</si>
  <si>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</si>
  <si>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</si>
  <si>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</si>
  <si>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</si>
  <si>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</si>
  <si>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</si>
  <si>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</si>
  <si>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</si>
  <si>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</si>
  <si>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</si>
  <si>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</si>
  <si>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</si>
  <si>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</si>
  <si>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</si>
  <si>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</si>
  <si>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</si>
  <si>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</si>
  <si>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</si>
  <si>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</si>
  <si>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</si>
  <si>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</si>
  <si>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</si>
  <si>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</si>
  <si>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</si>
  <si>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</si>
  <si>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</si>
  <si>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</si>
  <si>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</si>
  <si>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</si>
  <si>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</si>
  <si>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</si>
  <si>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</si>
  <si>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</si>
  <si>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</si>
  <si>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</si>
  <si>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</si>
  <si>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</si>
  <si>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</si>
  <si>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</si>
  <si>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</si>
  <si>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</si>
  <si>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</si>
  <si>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</si>
  <si>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</si>
  <si>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</si>
  <si>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</si>
  <si>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</si>
  <si>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</si>
  <si>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</si>
  <si>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</si>
  <si>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</si>
  <si>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</si>
  <si>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</si>
  <si>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</si>
  <si>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</si>
  <si>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</si>
  <si>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</si>
  <si>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</si>
  <si>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</si>
  <si>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</si>
  <si>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</si>
  <si>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</si>
  <si>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</si>
  <si>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</si>
  <si>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</si>
  <si>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</si>
  <si>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</si>
  <si>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</si>
  <si>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</si>
  <si>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</si>
  <si>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</si>
  <si>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</si>
  <si>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</si>
  <si>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</si>
  <si>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</si>
  <si>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</si>
  <si>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</si>
  <si>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</si>
  <si>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</si>
  <si>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</si>
  <si>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</si>
  <si>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16-001</t>
  </si>
  <si>
    <t>16-002</t>
  </si>
  <si>
    <t>16-003</t>
  </si>
  <si>
    <t>16-004</t>
  </si>
  <si>
    <t>16-005</t>
  </si>
  <si>
    <t>16-006</t>
  </si>
  <si>
    <t>17-001</t>
  </si>
  <si>
    <t>17-002</t>
  </si>
  <si>
    <t>17-003</t>
  </si>
  <si>
    <t>17-009</t>
  </si>
  <si>
    <t>17-010</t>
  </si>
  <si>
    <t>17-011</t>
  </si>
  <si>
    <t>17-012</t>
  </si>
  <si>
    <t>17-013</t>
  </si>
  <si>
    <t>17-014</t>
  </si>
  <si>
    <t>17-015</t>
  </si>
  <si>
    <t>17-016</t>
  </si>
  <si>
    <t>18-001</t>
  </si>
  <si>
    <t>18-002</t>
  </si>
  <si>
    <t>18-003</t>
  </si>
  <si>
    <t>-301</t>
  </si>
  <si>
    <t>-302</t>
  </si>
  <si>
    <t>-303</t>
  </si>
  <si>
    <t>-304</t>
  </si>
  <si>
    <t>-305</t>
  </si>
  <si>
    <t>-306</t>
  </si>
  <si>
    <t>-307</t>
  </si>
  <si>
    <t>-308</t>
  </si>
  <si>
    <t>-309</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</si>
  <si>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</si>
  <si>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</si>
  <si>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</si>
  <si>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</si>
  <si>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</si>
  <si>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</si>
  <si>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</si>
  <si>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</si>
  <si>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</si>
  <si>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</si>
  <si>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</si>
  <si>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</si>
  <si>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</si>
  <si>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</si>
  <si>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</si>
  <si>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</si>
  <si>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</si>
  <si>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</si>
  <si>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</si>
  <si>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</si>
  <si>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</si>
  <si>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</si>
  <si>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</si>
  <si>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</si>
  <si>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</si>
  <si>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</si>
  <si>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</si>
  <si>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</si>
  <si>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</si>
  <si>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</si>
  <si>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</si>
  <si>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</si>
  <si>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</si>
  <si>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</si>
  <si>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</si>
  <si>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</si>
  <si>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</si>
  <si>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</si>
  <si>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</si>
  <si>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</si>
  <si>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</si>
  <si>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</si>
  <si>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</si>
  <si>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</si>
  <si>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</si>
  <si>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</si>
  <si>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</si>
  <si>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</si>
  <si>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</si>
  <si>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</si>
  <si>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</si>
  <si>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</si>
  <si>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</si>
  <si>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</si>
  <si>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</si>
  <si>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</si>
  <si>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</si>
  <si>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</si>
  <si>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</si>
  <si>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</si>
  <si>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</si>
  <si>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</si>
  <si>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</si>
  <si>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</si>
  <si>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</si>
  <si>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</si>
  <si>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</si>
  <si>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</si>
  <si>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</si>
  <si>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</si>
  <si>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</si>
  <si>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</si>
  <si>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</si>
  <si>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</si>
  <si>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</si>
  <si>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</si>
  <si>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</si>
  <si>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</si>
  <si>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</si>
  <si>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</si>
  <si>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</si>
  <si>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</si>
  <si>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</si>
  <si>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</si>
  <si>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</si>
  <si>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</si>
  <si>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</si>
  <si>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</si>
  <si>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</si>
  <si>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</si>
  <si>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</si>
  <si>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</si>
  <si>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</si>
  <si>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</si>
  <si>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</si>
  <si>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</si>
  <si>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</si>
  <si>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</si>
  <si>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</si>
  <si>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</si>
  <si>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</si>
  <si>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</si>
  <si>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</si>
  <si>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</si>
  <si>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</si>
  <si>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</si>
  <si>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</si>
  <si>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</si>
  <si>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</si>
  <si>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</si>
  <si>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</si>
  <si>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</si>
  <si>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</si>
  <si>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</si>
  <si>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</si>
  <si>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</si>
  <si>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</si>
  <si>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</si>
  <si>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</si>
  <si>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</si>
  <si>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</si>
  <si>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</si>
  <si>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</si>
  <si>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</si>
  <si>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2-001</t>
  </si>
  <si>
    <t>2-002</t>
  </si>
  <si>
    <t>2-003</t>
  </si>
  <si>
    <t>2-004</t>
  </si>
  <si>
    <t>2-005</t>
  </si>
  <si>
    <t>2-006</t>
  </si>
  <si>
    <t>2-007</t>
  </si>
  <si>
    <t>-201</t>
  </si>
  <si>
    <t>-202</t>
  </si>
  <si>
    <t>-203</t>
  </si>
  <si>
    <t>-204</t>
  </si>
  <si>
    <t>-205</t>
  </si>
  <si>
    <t>-206</t>
  </si>
  <si>
    <t>-207</t>
  </si>
  <si>
    <t>-208</t>
  </si>
  <si>
    <t>-209</t>
  </si>
  <si>
    <t>-210</t>
  </si>
  <si>
    <t>-211</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</si>
  <si>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</si>
  <si>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</si>
  <si>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</si>
  <si>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</si>
  <si>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</si>
  <si>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</si>
  <si>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</si>
  <si>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</si>
  <si>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</si>
  <si>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</si>
  <si>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</si>
  <si>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</si>
  <si>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</si>
  <si>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</si>
  <si>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</si>
  <si>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</si>
  <si>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</si>
  <si>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</si>
  <si>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</si>
  <si>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</si>
  <si>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</si>
  <si>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4-001</t>
  </si>
  <si>
    <t>4-002</t>
  </si>
  <si>
    <t>4-003</t>
  </si>
  <si>
    <t>4-004</t>
  </si>
  <si>
    <t>4-005</t>
  </si>
  <si>
    <t>4-006</t>
  </si>
  <si>
    <t>4-007</t>
  </si>
  <si>
    <t>4-008</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</si>
  <si>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</si>
  <si>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</si>
  <si>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</si>
  <si>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</si>
  <si>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</si>
  <si>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</si>
  <si>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</si>
  <si>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</si>
  <si>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</si>
  <si>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</si>
  <si>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</si>
  <si>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</si>
  <si>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</si>
  <si>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</si>
  <si>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</si>
  <si>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</si>
  <si>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</si>
  <si>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</si>
  <si>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</si>
  <si>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</si>
  <si>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</si>
  <si>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</si>
  <si>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</si>
  <si>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</si>
  <si>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</si>
  <si>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</si>
  <si>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</si>
  <si>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</si>
  <si>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</si>
  <si>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</si>
  <si>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</si>
  <si>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</si>
  <si>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</si>
  <si>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</si>
  <si>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</si>
  <si>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</si>
  <si>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</si>
  <si>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</si>
  <si>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</si>
  <si>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</si>
  <si>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</si>
  <si>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</si>
  <si>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</si>
  <si>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</si>
  <si>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</si>
  <si>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</si>
  <si>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</si>
  <si>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</si>
  <si>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</si>
  <si>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</si>
  <si>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</si>
  <si>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</si>
  <si>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</si>
  <si>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</si>
  <si>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</si>
  <si>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</si>
  <si>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</si>
  <si>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</si>
  <si>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</si>
  <si>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</si>
  <si>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</si>
  <si>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</si>
  <si>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</si>
  <si>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</si>
  <si>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</si>
  <si>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</si>
  <si>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</si>
  <si>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</si>
  <si>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</si>
  <si>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</si>
  <si>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</si>
  <si>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</si>
  <si>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</si>
  <si>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</si>
  <si>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</si>
  <si>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</si>
  <si>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</si>
  <si>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</si>
  <si>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</si>
  <si>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</si>
  <si>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</si>
  <si>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</si>
  <si>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</si>
  <si>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</si>
  <si>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</si>
  <si>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</si>
  <si>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</si>
  <si>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</si>
  <si>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</si>
  <si>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</si>
  <si>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</si>
  <si>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</si>
  <si>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</si>
  <si>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</si>
  <si>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</si>
  <si>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</si>
  <si>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</si>
  <si>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</si>
  <si>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</si>
  <si>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</si>
  <si>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</si>
  <si>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</si>
  <si>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</si>
  <si>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</si>
  <si>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</si>
  <si>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</si>
  <si>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</si>
  <si>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</si>
  <si>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</si>
  <si>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</si>
  <si>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</si>
  <si>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</si>
  <si>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</si>
  <si>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</si>
  <si>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</si>
  <si>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</si>
  <si>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</si>
  <si>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</si>
  <si>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</si>
  <si>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</si>
  <si>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</si>
  <si>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</si>
  <si>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</si>
  <si>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</si>
  <si>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</si>
  <si>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</si>
  <si>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</si>
  <si>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</si>
  <si>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</si>
  <si>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</si>
  <si>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</si>
  <si>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</si>
  <si>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</si>
  <si>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</si>
  <si>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</si>
  <si>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</si>
  <si>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</si>
  <si>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</si>
  <si>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</si>
  <si>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</si>
  <si>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</si>
  <si>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</si>
  <si>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</si>
  <si>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</si>
  <si>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</si>
  <si>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</si>
  <si>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</si>
  <si>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</si>
  <si>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</si>
  <si>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</si>
  <si>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</si>
  <si>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</si>
  <si>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</si>
  <si>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</si>
  <si>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</si>
  <si>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</si>
  <si>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</si>
  <si>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</si>
  <si>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</si>
  <si>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</si>
  <si>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</si>
  <si>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</si>
  <si>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</si>
  <si>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</si>
  <si>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5-166</t>
  </si>
  <si>
    <t>5-167</t>
  </si>
  <si>
    <t>6-001</t>
  </si>
  <si>
    <t>6-002</t>
  </si>
  <si>
    <t>6-003</t>
  </si>
  <si>
    <t>6-004</t>
  </si>
  <si>
    <t>6-005</t>
  </si>
  <si>
    <t>6-006</t>
  </si>
  <si>
    <t>6-007</t>
  </si>
  <si>
    <t>6-008</t>
  </si>
  <si>
    <t>6-009</t>
  </si>
  <si>
    <t>6-010</t>
  </si>
  <si>
    <t>6-011</t>
  </si>
  <si>
    <t>7-002</t>
  </si>
  <si>
    <t>7-003</t>
  </si>
  <si>
    <t>7-004</t>
  </si>
  <si>
    <t>7-005</t>
  </si>
  <si>
    <t>7-006</t>
  </si>
  <si>
    <t>8-001</t>
  </si>
  <si>
    <t>9-001</t>
  </si>
  <si>
    <t>001</t>
  </si>
  <si>
    <t>002</t>
  </si>
  <si>
    <t>003</t>
  </si>
  <si>
    <t>004</t>
  </si>
  <si>
    <t>005</t>
  </si>
  <si>
    <t>006</t>
  </si>
  <si>
    <t>007</t>
  </si>
  <si>
    <t>008</t>
  </si>
  <si>
    <t>010</t>
  </si>
  <si>
    <t>011</t>
  </si>
  <si>
    <t>012</t>
  </si>
  <si>
    <t>013</t>
  </si>
  <si>
    <t>014</t>
  </si>
  <si>
    <t>015</t>
  </si>
  <si>
    <t>016</t>
  </si>
  <si>
    <t>017</t>
  </si>
  <si>
    <t>总计</t>
  </si>
  <si>
    <t>是</t>
  </si>
  <si>
    <t>地上</t>
  </si>
  <si>
    <t>地下</t>
  </si>
  <si>
    <t>地上1-7层商业</t>
    <phoneticPr fontId="3" type="noConversion"/>
  </si>
  <si>
    <t>地下2-4层车库</t>
  </si>
  <si>
    <t>地下2-4层车库</t>
    <phoneticPr fontId="3" type="noConversion"/>
  </si>
  <si>
    <t>成新度</t>
  </si>
  <si>
    <t>利息：取LPR加浮动点数</t>
  </si>
  <si>
    <t>商务金融用地</t>
  </si>
  <si>
    <t>自定义容积率</t>
  </si>
  <si>
    <t>不临65条商业街</t>
  </si>
  <si>
    <t>无</t>
  </si>
  <si>
    <t>500米范围内</t>
  </si>
  <si>
    <t>通路</t>
  </si>
  <si>
    <t>通电</t>
  </si>
  <si>
    <t>通讯</t>
  </si>
  <si>
    <t>通上水</t>
  </si>
  <si>
    <t>通下水</t>
  </si>
  <si>
    <t>通热</t>
  </si>
  <si>
    <t>燃气</t>
  </si>
  <si>
    <t>平整</t>
  </si>
  <si>
    <t>与级别开发程度一致</t>
  </si>
  <si>
    <t>未包含在土地购买价格中</t>
  </si>
  <si>
    <t>全部缴纳</t>
  </si>
  <si>
    <t>已包含在土地取得成本中</t>
  </si>
  <si>
    <t>好</t>
  </si>
  <si>
    <t>北京汽车博物馆</t>
    <phoneticPr fontId="3" type="noConversion"/>
  </si>
  <si>
    <t>北京裕聪置业有限公司</t>
  </si>
  <si>
    <t>2020-04-02</t>
  </si>
  <si>
    <t>F3其他类多功能用地</t>
  </si>
  <si>
    <t>挂牌</t>
  </si>
  <si>
    <t>≤3</t>
  </si>
  <si>
    <t>昌平区</t>
  </si>
  <si>
    <t>商业/办公用地</t>
  </si>
  <si>
    <t>北京市</t>
  </si>
  <si>
    <t>北京市昌平区朱辛庄新区(二期)土地一级开发项目ZXZ-010地块F3其他类多功能用地</t>
  </si>
  <si>
    <t>北京金隅嘉业房地产开发有限公司</t>
  </si>
  <si>
    <t>B4商业金融用地</t>
  </si>
  <si>
    <t>朝阳区</t>
  </si>
  <si>
    <t>北京市朝阳区望京花家地西里三组团配套综合楼1006-605地块B4商业金融用地</t>
  </si>
  <si>
    <t>北京通明湖信息城发展有限公司</t>
  </si>
  <si>
    <t>2020-08-03</t>
  </si>
  <si>
    <t>g4f-4≤3,g6f-1、g6f-5、g7f-1、g7f-2≤2.5,g7f-3≤1.96</t>
  </si>
  <si>
    <t>大兴区</t>
  </si>
  <si>
    <t>北京经济技术开发区路东区G4F-4、G6F-1、G6F-5、G7F-1、G7F-2、G7F-3地块F3其他类多功能用地国有建设用地</t>
  </si>
  <si>
    <t>北京栖湖饭店有限责任公司</t>
  </si>
  <si>
    <t>2020-10-12</t>
  </si>
  <si>
    <t>≤0.68</t>
  </si>
  <si>
    <t>怀柔区</t>
  </si>
  <si>
    <t>北京市怀柔区怀北镇栖湖组团F3其他类多功能用地</t>
  </si>
  <si>
    <t>北京雁柏山庄有限责任公司</t>
  </si>
  <si>
    <t>B1商业用地</t>
  </si>
  <si>
    <t>≤0.16</t>
  </si>
  <si>
    <t>北京市怀柔区怀北镇雁柏山庄南侧地块B1商业用地</t>
  </si>
  <si>
    <t>北京怀柔科学城城开一部开发建设有限公司</t>
  </si>
  <si>
    <t>2020-11-03</t>
  </si>
  <si>
    <t>≤1.9</t>
  </si>
  <si>
    <t>北京市怀柔科学城核心区及周边土地一级开发项目HR00-0211-6002、6009、6010、6011、6019地块(城市客厅A)F3其他类多功能用地</t>
  </si>
  <si>
    <t>中国电建地产集团有限公司</t>
  </si>
  <si>
    <t>2020-12-02</t>
  </si>
  <si>
    <t>B4综合性商业金融服务业用地</t>
  </si>
  <si>
    <t>0711一652≤4.5,0711一640≤1.7,0711一641≤1.3</t>
  </si>
  <si>
    <t>海淀区</t>
  </si>
  <si>
    <t>北京市海淀区西八里庄0711-652、640、641地块B4综合性商业金融服务业用地</t>
  </si>
  <si>
    <t>北京北控智开实业发展有限公司</t>
  </si>
  <si>
    <t>2020-12-07</t>
  </si>
  <si>
    <t>2020-12-04</t>
  </si>
  <si>
    <t>招标</t>
  </si>
  <si>
    <t>≤1.01</t>
  </si>
  <si>
    <t>延庆区</t>
  </si>
  <si>
    <t>北京市延庆区张山营镇西大庄科村YQ06-0400-0016地块F3其他类多功能用地</t>
  </si>
  <si>
    <t>中关村发展集团股份有限公司、北京石景山产业发展有限公司联合体</t>
  </si>
  <si>
    <t>2020-12-14</t>
  </si>
  <si>
    <t>≤4.0</t>
  </si>
  <si>
    <t>石景山区</t>
  </si>
  <si>
    <t>北京市石景山区中关村科技园石景山园北Ⅱ区西井地块土地一级开发项目1606-034地块B1商业用地</t>
  </si>
  <si>
    <t>北京北投新城开发建设有限公司、北京城市副中心投资基金合伙企业(有限合伙)</t>
  </si>
  <si>
    <t>2020-12-28</t>
  </si>
  <si>
    <t>房山区</t>
  </si>
  <si>
    <t>北京市房山区长阳镇06、07街区棚户区改造土地开发七片区项目FS10-0107-0005地块F3其他类多功能用地</t>
  </si>
  <si>
    <t>2021-01-28</t>
  </si>
  <si>
    <t>≤0.45</t>
  </si>
  <si>
    <t>北京市怀柔区怀北镇雁柏山庄北侧地块B1商业用地</t>
  </si>
  <si>
    <t>北京公联鼎成交通枢纽建设发展有限公司</t>
  </si>
  <si>
    <t>2021-02-07</t>
  </si>
  <si>
    <t>≤2.15</t>
  </si>
  <si>
    <t>通州区</t>
  </si>
  <si>
    <t>北京城市副中心12组团西北部</t>
  </si>
  <si>
    <t>北京城市副中心投资建设集团有限公司</t>
  </si>
  <si>
    <t>2021-05-19</t>
  </si>
  <si>
    <t>B2商务用地</t>
  </si>
  <si>
    <t>≤3.1</t>
  </si>
  <si>
    <t>北京城市副中心FZX-0902-0229、0230地块</t>
  </si>
  <si>
    <t>北京永丰数字先导科技有限责任公司</t>
  </si>
  <si>
    <t>2021-10-26</t>
  </si>
  <si>
    <t>北京市海淀区西北旺镇永丰产业基地(新)HD00-0403-003地块F3其他类多功能用地</t>
  </si>
  <si>
    <t>福建隆恩建材贸易有限公司</t>
  </si>
  <si>
    <t>F3(其他多功能用地)</t>
  </si>
  <si>
    <t>东城区</t>
  </si>
  <si>
    <t>北京市东城区广渠门外大街马圈土地一级开发项目0407-001地块F3其他类多功能用地</t>
  </si>
  <si>
    <t>北京首鹰置业有限公司</t>
  </si>
  <si>
    <t>北京市石景山区首钢园区东南区土地一级开发项目1612-774地块B4综合性商业金融服务业用地</t>
  </si>
  <si>
    <t>北京市基础设施投资有限公司、北京首都旅游集团有限责任公司、北京城建集团有限责任公司</t>
  </si>
  <si>
    <t>北京市通州区张家湾车辆段综合利用供地项目FZX-1202-0079-02(上盖区)、FZX-1202-0079-03(落地区)、FZX-1202-0079-04(落地区)地块F3其他类多功能用地</t>
  </si>
  <si>
    <t>北京永丰数字融合科技有限责任公司</t>
  </si>
  <si>
    <t>北京市海淀区西北旺镇永丰产业基地(新)HD00-0403-011地块F3其他类多功能用地</t>
  </si>
  <si>
    <t>北京永丰数字共享科技有限责任公司</t>
  </si>
  <si>
    <t>北京市海淀区西北旺镇永丰产业基地(新)HD00-0403-024地块F3其他类多功能用地</t>
  </si>
  <si>
    <t>北京大兴宾馆有限责任公司</t>
  </si>
  <si>
    <t>2021-12-24</t>
  </si>
  <si>
    <t>第三批</t>
  </si>
  <si>
    <t>B14旅馆用地</t>
  </si>
  <si>
    <t>北京市大兴区黄村镇DX00-0201-6001地块B14旅馆用地</t>
  </si>
  <si>
    <t>华夏银行股份有限公司</t>
  </si>
  <si>
    <t>2022-01-05</t>
  </si>
  <si>
    <t>北京城市副中心0101街区FZX-0101-0902地块F3其他类多功能用地</t>
  </si>
  <si>
    <t>北京怀柔科学城城开四部开发建设有限公司</t>
  </si>
  <si>
    <t>2022-01-19</t>
  </si>
  <si>
    <t>北京市怀柔区北房镇、怀北镇HR00-0211-6027、6028、6029、6030地块(城市客厅C地块)F3其他类多功能用地(怀柔科学城核心区及周边土地一级开发项目)</t>
  </si>
  <si>
    <t>北京怀柔科学城城开三部开发建设有限公司</t>
  </si>
  <si>
    <t>北京市怀柔区怀北、雁栖镇HR00-0211-6031地块〔城市客厅B地块(北侧地块)〕F3其他类多功能用地(怀柔科学城核心区及周边土地一级开发项目)</t>
  </si>
  <si>
    <t>中国太平洋人寿保险股份有限公司</t>
  </si>
  <si>
    <t>2022-02-08</t>
  </si>
  <si>
    <t>北京经济技术开发区亦庄新城0902街区JG01-07地块F3其他类多功能用地</t>
  </si>
  <si>
    <t>北京新航城建设实业发展有限公司</t>
  </si>
  <si>
    <t>2022-03-01</t>
  </si>
  <si>
    <t>北京大兴国际机场临空经济区(北京部分)0205街区DX09-0103-0205地块B4综合性商业金融服务业用地</t>
  </si>
  <si>
    <t>2022-04-29</t>
  </si>
  <si>
    <t>≤2.2</t>
  </si>
  <si>
    <t>北京大兴国际机场临空经济区*DX12-0105-6006、6009*地块F3其他类多功能用地</t>
  </si>
  <si>
    <t>北京京东昆岳科技产业创新发展有限公司</t>
  </si>
  <si>
    <t>2022-06-23</t>
  </si>
  <si>
    <t>≤5.0</t>
  </si>
  <si>
    <t>北京经济技术开发区亦庄新城0303街区C14C-3地块F3其他类多功能用地</t>
  </si>
  <si>
    <t>北京首旅城市副中心投资有限公司</t>
  </si>
  <si>
    <t>2022-07-19</t>
  </si>
  <si>
    <t>≤2.8</t>
  </si>
  <si>
    <t>北京城市副中心1202街区FZX-1202-0001地块*F3其他类多功能用地</t>
  </si>
  <si>
    <t>北京未来科创建筑有限公司</t>
  </si>
  <si>
    <t>2022-08-22</t>
  </si>
  <si>
    <t>北京市通州经济开发区西区南扩区*三、五、六期棚户区改造项目*FZX-1102-6002地块*F3其他类多功能用地</t>
  </si>
  <si>
    <t>北京市工程咨询有限公司</t>
  </si>
  <si>
    <t>2022-08-23</t>
  </si>
  <si>
    <t>北京市通州经济开发区西区南扩区三、五、六期棚户区改造项目FZX-1102-6219地块F3其他类多功能用地</t>
  </si>
  <si>
    <t>北京福榕置业有限公司</t>
  </si>
  <si>
    <t>2022-08-25</t>
  </si>
  <si>
    <t>≤6.33</t>
  </si>
  <si>
    <t>丰台区</t>
  </si>
  <si>
    <t>北京市丰台区丽泽金融商务区D-01地块B4综合性商业金融服务业用地</t>
  </si>
  <si>
    <t>北京永丰数字先行科技有限责任公司</t>
  </si>
  <si>
    <t>2022-10-31</t>
  </si>
  <si>
    <t>北京市海淀区西北旺镇永丰产业基地(新)HD00-0403-001地块F3其他类多功能用地</t>
  </si>
  <si>
    <t>北京永丰数字融汇科技有限责任公司</t>
  </si>
  <si>
    <t>北京市海淀区西北旺镇永丰产业基地(新)HD00-0403-009地块F3其他类多功能用地</t>
  </si>
  <si>
    <t>北京中关村工业互联网产业发展有限公司</t>
  </si>
  <si>
    <t>2023-01-05</t>
  </si>
  <si>
    <t>B23研发设计用地</t>
  </si>
  <si>
    <t>北京市石景山区中关村科技园石景山园北Ⅱ区西井地块土地一级开发项目1606-605地块B23研发设计用地</t>
  </si>
  <si>
    <t>北京市平谷区联扶实业管理有限公司</t>
  </si>
  <si>
    <t>2023-01-10</t>
  </si>
  <si>
    <t>平谷区</t>
  </si>
  <si>
    <t>北京市平谷区兴谷新消费综合体项目商业地块PG00-0106-0106地块B1商业用地</t>
  </si>
  <si>
    <t>空气(北京)氢能科技有限公司</t>
  </si>
  <si>
    <t>2023-01-19</t>
  </si>
  <si>
    <t>S5加油加气站(加氢站)用地</t>
  </si>
  <si>
    <t>≤0.4</t>
  </si>
  <si>
    <t>北京大兴国际机场临空经济区DX12-0105-6103地块S5加油加气站(加氢站)用地</t>
  </si>
  <si>
    <t>竞报整体自持比例(%)</t>
  </si>
  <si>
    <t>溢价率</t>
  </si>
  <si>
    <t>成交楼面价(元/㎡)</t>
  </si>
  <si>
    <t>成交每亩价(万元/亩)</t>
  </si>
  <si>
    <t>成交价(万元)</t>
  </si>
  <si>
    <t>起始价(万元)</t>
  </si>
  <si>
    <t>受让单位</t>
  </si>
  <si>
    <t>成交日期</t>
  </si>
  <si>
    <t>截止日期</t>
  </si>
  <si>
    <t>集中供地</t>
  </si>
  <si>
    <t>详细规划</t>
  </si>
  <si>
    <t>出让方式</t>
  </si>
  <si>
    <t>容积率</t>
  </si>
  <si>
    <t>规划建筑面积(㎡)</t>
  </si>
  <si>
    <t>建设用地面积(㎡)</t>
  </si>
  <si>
    <t>区县</t>
  </si>
  <si>
    <t>用地性质</t>
  </si>
  <si>
    <t>城市</t>
  </si>
  <si>
    <t>地块名称</t>
  </si>
  <si>
    <t>商业</t>
    <phoneticPr fontId="7" type="noConversion"/>
  </si>
  <si>
    <r>
      <rPr>
        <sz val="10"/>
        <rFont val="Arial"/>
        <family val="2"/>
      </rPr>
      <t>2021</t>
    </r>
    <r>
      <rPr>
        <sz val="10"/>
        <rFont val="微软雅黑"/>
        <family val="2"/>
        <charset val="134"/>
      </rPr>
      <t>年收入预估（含税）</t>
    </r>
  </si>
  <si>
    <t>费项</t>
  </si>
  <si>
    <t>上报收入</t>
  </si>
  <si>
    <t>备注</t>
  </si>
  <si>
    <t>租金</t>
  </si>
  <si>
    <t>物业</t>
  </si>
  <si>
    <t>宣传推广</t>
  </si>
  <si>
    <t>多经</t>
  </si>
  <si>
    <t>广告</t>
  </si>
  <si>
    <t>停车场</t>
  </si>
  <si>
    <t>其他</t>
  </si>
  <si>
    <t>合计</t>
  </si>
  <si>
    <t>时点</t>
    <phoneticPr fontId="134" type="noConversion"/>
  </si>
  <si>
    <t>租期</t>
    <phoneticPr fontId="134" type="noConversion"/>
  </si>
  <si>
    <t>租赁面积</t>
    <phoneticPr fontId="134" type="noConversion"/>
  </si>
  <si>
    <t>租期/天</t>
    <phoneticPr fontId="134" type="noConversion"/>
  </si>
  <si>
    <t>租金</t>
    <phoneticPr fontId="134" type="noConversion"/>
  </si>
  <si>
    <t>日租金</t>
    <phoneticPr fontId="134" type="noConversion"/>
  </si>
  <si>
    <t>剩余租期</t>
    <phoneticPr fontId="134" type="noConversion"/>
  </si>
  <si>
    <t>增长率</t>
    <phoneticPr fontId="134" type="noConversion"/>
  </si>
  <si>
    <t>现正常租金</t>
    <phoneticPr fontId="134" type="noConversion"/>
  </si>
  <si>
    <t>租约结束后租金</t>
    <phoneticPr fontId="134" type="noConversion"/>
  </si>
  <si>
    <t>收益法</t>
  </si>
  <si>
    <t>钢混</t>
  </si>
  <si>
    <t>非生产用房</t>
  </si>
  <si>
    <t>否</t>
  </si>
  <si>
    <t>地下车库收益法</t>
  </si>
  <si>
    <t>地下车库收益法</t>
    <phoneticPr fontId="16" type="noConversion"/>
  </si>
  <si>
    <t>成本法</t>
  </si>
  <si>
    <t>收益法（汇总）</t>
  </si>
  <si>
    <t>总价</t>
  </si>
  <si>
    <t>成本比率</t>
  </si>
  <si>
    <t>地下车库</t>
    <phoneticPr fontId="134" type="noConversion"/>
  </si>
  <si>
    <t>租约最终到期时点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</si>
</sst>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00_);[Red]\(0.0000\)"/>
    <numFmt numFmtId="198" formatCode="_ \¥* #,##0.00_ ;_ \¥* \-#,##0.00_ ;_ \¥* &quot;-&quot;??_ ;_ @_ "/>
    <numFmt numFmtId="199" formatCode="_ \¥* #,##0_ ;_ \¥* \-#,##0_ ;_ \¥* &quot;-&quot;_ ;_ @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5"/>
      <name val="宋体"/>
      <family val="3"/>
      <charset val="134"/>
    </font>
    <font>
      <sz val="1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4" fontId="95" fillId="0" borderId="0">
      <alignment vertical="center"/>
    </xf>
    <xf numFmtId="0" fontId="36" fillId="0" borderId="0">
      <alignment vertical="center"/>
    </xf>
    <xf numFmtId="0" fontId="53" fillId="0" borderId="0"/>
    <xf numFmtId="0" fontId="53" fillId="0" borderId="0"/>
    <xf numFmtId="177" fontId="53" fillId="0" borderId="0" applyFont="0" applyFill="0" applyBorder="0" applyAlignment="0" applyProtection="0">
      <alignment vertical="center"/>
    </xf>
    <xf numFmtId="177" fontId="53" fillId="0" borderId="0"/>
    <xf numFmtId="176" fontId="53" fillId="0" borderId="0"/>
    <xf numFmtId="198" fontId="53" fillId="0" borderId="0"/>
    <xf numFmtId="199" fontId="53" fillId="0" borderId="0"/>
    <xf numFmtId="199" fontId="53" fillId="0" borderId="0"/>
    <xf numFmtId="198" fontId="53" fillId="0" borderId="0"/>
    <xf numFmtId="198" fontId="53" fillId="0" borderId="0"/>
    <xf numFmtId="0" fontId="95" fillId="0" borderId="0">
      <alignment vertical="center"/>
    </xf>
    <xf numFmtId="9" fontId="53" fillId="0" borderId="0"/>
    <xf numFmtId="0" fontId="95" fillId="0" borderId="0">
      <alignment vertical="center"/>
    </xf>
    <xf numFmtId="177" fontId="95"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1" fontId="47" fillId="0" borderId="1" xfId="0" applyNumberFormat="1" applyFont="1" applyBorder="1" applyAlignment="1" applyProtection="1">
      <alignment horizontal="center" vertical="center" wrapText="1"/>
      <protection locked="0"/>
    </xf>
    <xf numFmtId="181"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8"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8" fontId="47" fillId="6" borderId="9" xfId="0" applyNumberFormat="1" applyFont="1" applyFill="1" applyBorder="1" applyAlignment="1" applyProtection="1">
      <alignment horizontal="center" vertical="center" wrapText="1"/>
    </xf>
    <xf numFmtId="178" fontId="47" fillId="6" borderId="10" xfId="0" applyNumberFormat="1" applyFont="1" applyFill="1" applyBorder="1" applyAlignment="1" applyProtection="1">
      <alignment horizontal="center" vertical="center" wrapText="1"/>
    </xf>
    <xf numFmtId="178" fontId="47" fillId="6" borderId="13" xfId="0" applyNumberFormat="1" applyFont="1" applyFill="1" applyBorder="1" applyAlignment="1" applyProtection="1">
      <alignment horizontal="center" vertical="center" wrapText="1"/>
    </xf>
    <xf numFmtId="178" fontId="47" fillId="6" borderId="23" xfId="0" applyNumberFormat="1" applyFont="1" applyFill="1" applyBorder="1" applyAlignment="1" applyProtection="1">
      <alignment horizontal="center" vertical="center" wrapText="1"/>
    </xf>
    <xf numFmtId="178"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8" fontId="47" fillId="0" borderId="2" xfId="0" applyNumberFormat="1" applyFont="1" applyFill="1" applyBorder="1" applyAlignment="1" applyProtection="1">
      <alignment horizontal="center" vertical="center" wrapText="1"/>
      <protection locked="0"/>
    </xf>
    <xf numFmtId="178"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8" fontId="44" fillId="6" borderId="1" xfId="0" applyNumberFormat="1" applyFont="1" applyFill="1" applyBorder="1" applyAlignment="1" applyProtection="1">
      <alignment horizontal="center" vertical="center" wrapText="1"/>
    </xf>
    <xf numFmtId="178" fontId="44" fillId="0" borderId="2" xfId="0" applyNumberFormat="1" applyFont="1" applyFill="1" applyBorder="1" applyAlignment="1" applyProtection="1">
      <alignment horizontal="center" vertical="center" wrapText="1"/>
      <protection locked="0"/>
    </xf>
    <xf numFmtId="178" fontId="44" fillId="6" borderId="2" xfId="0" applyNumberFormat="1" applyFont="1" applyFill="1" applyBorder="1" applyAlignment="1" applyProtection="1">
      <alignment horizontal="center" vertical="center" wrapText="1"/>
    </xf>
    <xf numFmtId="178" fontId="44" fillId="6" borderId="13" xfId="0" applyNumberFormat="1" applyFont="1" applyFill="1" applyBorder="1" applyAlignment="1" applyProtection="1">
      <alignment horizontal="center" vertical="center" wrapText="1"/>
    </xf>
    <xf numFmtId="178" fontId="44" fillId="0" borderId="1" xfId="0" applyNumberFormat="1" applyFont="1" applyBorder="1" applyAlignment="1" applyProtection="1">
      <alignment vertical="center" wrapText="1"/>
      <protection locked="0"/>
    </xf>
    <xf numFmtId="178" fontId="44" fillId="0" borderId="1" xfId="0" applyNumberFormat="1" applyFont="1" applyBorder="1" applyAlignment="1" applyProtection="1">
      <alignment horizontal="center" vertical="center" wrapText="1"/>
      <protection locked="0"/>
    </xf>
    <xf numFmtId="178"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8" fontId="44" fillId="6" borderId="24" xfId="0" applyNumberFormat="1" applyFont="1" applyFill="1" applyBorder="1" applyAlignment="1" applyProtection="1">
      <alignment horizontal="center" vertical="center" wrapText="1"/>
    </xf>
    <xf numFmtId="178"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8"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8"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9"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183"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1" fontId="44" fillId="6" borderId="23" xfId="1" applyNumberFormat="1" applyFont="1" applyFill="1" applyBorder="1" applyAlignment="1" applyProtection="1">
      <alignment horizontal="center" vertical="center"/>
    </xf>
    <xf numFmtId="183" fontId="44" fillId="0" borderId="1" xfId="0" applyNumberFormat="1" applyFont="1" applyBorder="1" applyAlignment="1" applyProtection="1">
      <alignment vertical="center"/>
      <protection locked="0"/>
    </xf>
    <xf numFmtId="183"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3"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4" fontId="44" fillId="0" borderId="1" xfId="0" applyNumberFormat="1" applyFont="1" applyBorder="1" applyAlignment="1" applyProtection="1">
      <alignment horizontal="center" vertical="center"/>
      <protection locked="0"/>
    </xf>
    <xf numFmtId="183"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9"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4" fontId="44" fillId="0" borderId="1" xfId="0" applyNumberFormat="1" applyFont="1" applyFill="1" applyBorder="1" applyAlignment="1" applyProtection="1">
      <alignment horizontal="center" vertical="center"/>
      <protection locked="0"/>
    </xf>
    <xf numFmtId="183"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3"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8"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1"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8" fontId="51" fillId="0" borderId="10" xfId="1" applyNumberFormat="1" applyFont="1" applyFill="1" applyBorder="1" applyAlignment="1" applyProtection="1">
      <alignment horizontal="center" vertical="center"/>
      <protection locked="0"/>
    </xf>
    <xf numFmtId="178" fontId="44" fillId="0" borderId="24" xfId="1" applyNumberFormat="1" applyFont="1" applyFill="1" applyBorder="1" applyAlignment="1" applyProtection="1">
      <alignment horizontal="center" vertical="center"/>
      <protection locked="0"/>
    </xf>
    <xf numFmtId="178" fontId="51" fillId="6" borderId="24" xfId="1" applyNumberFormat="1" applyFont="1" applyFill="1" applyBorder="1" applyAlignment="1" applyProtection="1">
      <alignment horizontal="center" vertical="center"/>
    </xf>
    <xf numFmtId="178"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3" fontId="47" fillId="0" borderId="24" xfId="0" applyNumberFormat="1" applyFont="1" applyFill="1" applyBorder="1" applyAlignment="1" applyProtection="1">
      <alignment horizontal="center" vertical="center"/>
      <protection locked="0"/>
    </xf>
    <xf numFmtId="183" fontId="47" fillId="0" borderId="49" xfId="0" applyNumberFormat="1" applyFont="1" applyFill="1" applyBorder="1" applyAlignment="1" applyProtection="1">
      <alignment horizontal="center" vertical="center"/>
      <protection locked="0"/>
    </xf>
    <xf numFmtId="183"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4"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80"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1"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9"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9" fontId="53" fillId="0" borderId="1" xfId="1" applyNumberFormat="1" applyFont="1" applyFill="1" applyBorder="1" applyAlignment="1" applyProtection="1">
      <alignment horizontal="center"/>
      <protection locked="0"/>
    </xf>
    <xf numFmtId="181"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9"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9"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9"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1"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1"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9"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9"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9" fontId="54" fillId="6" borderId="1" xfId="0" applyNumberFormat="1" applyFont="1" applyFill="1" applyBorder="1" applyAlignment="1" applyProtection="1">
      <alignment horizontal="center" vertical="center"/>
    </xf>
    <xf numFmtId="183"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9"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3" fontId="53" fillId="6" borderId="1" xfId="0" applyNumberFormat="1" applyFont="1" applyFill="1" applyBorder="1" applyAlignment="1" applyProtection="1">
      <alignment horizontal="center"/>
    </xf>
    <xf numFmtId="183"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8" fontId="99" fillId="6" borderId="1" xfId="0" applyNumberFormat="1" applyFont="1" applyFill="1" applyBorder="1" applyAlignment="1" applyProtection="1">
      <alignment horizontal="center" vertical="center"/>
    </xf>
    <xf numFmtId="178" fontId="99" fillId="6" borderId="24" xfId="0" applyNumberFormat="1" applyFont="1" applyFill="1" applyBorder="1" applyAlignment="1" applyProtection="1">
      <alignment horizontal="center" vertical="center"/>
    </xf>
    <xf numFmtId="179"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9" fontId="46" fillId="6" borderId="1" xfId="1" applyNumberFormat="1" applyFont="1" applyFill="1" applyBorder="1" applyAlignment="1" applyProtection="1">
      <alignment vertical="center"/>
    </xf>
    <xf numFmtId="179"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8" fontId="47" fillId="6" borderId="1" xfId="0" applyNumberFormat="1" applyFont="1" applyFill="1" applyBorder="1" applyAlignment="1" applyProtection="1">
      <alignment horizontal="center" vertical="center"/>
    </xf>
    <xf numFmtId="179"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9"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9"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3"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3" fontId="47" fillId="6" borderId="8" xfId="0" applyNumberFormat="1"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4"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1"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1"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7"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3"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5"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5"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7" fontId="50" fillId="6" borderId="38" xfId="0" applyNumberFormat="1" applyFont="1" applyFill="1" applyBorder="1" applyAlignment="1" applyProtection="1">
      <alignment vertical="center" wrapText="1"/>
    </xf>
    <xf numFmtId="187"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7" fontId="50" fillId="6" borderId="47" xfId="0" applyNumberFormat="1" applyFont="1" applyFill="1" applyBorder="1" applyAlignment="1" applyProtection="1">
      <alignment vertical="center" wrapText="1"/>
    </xf>
    <xf numFmtId="190"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3" fontId="51" fillId="6" borderId="5" xfId="0" applyNumberFormat="1" applyFont="1" applyFill="1" applyBorder="1" applyAlignment="1" applyProtection="1">
      <alignment horizontal="center" vertical="center"/>
    </xf>
    <xf numFmtId="183"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7" fontId="57" fillId="6" borderId="13" xfId="0" applyNumberFormat="1" applyFont="1" applyFill="1" applyBorder="1" applyAlignment="1" applyProtection="1">
      <alignment horizontal="right" vertical="center"/>
    </xf>
    <xf numFmtId="190"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90" fontId="51" fillId="3" borderId="3" xfId="0" applyNumberFormat="1" applyFont="1" applyFill="1" applyBorder="1" applyAlignment="1" applyProtection="1">
      <alignment horizontal="center" vertical="center"/>
      <protection locked="0"/>
    </xf>
    <xf numFmtId="190"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9"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8"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7"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9"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1"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9"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3"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1" fontId="46" fillId="6" borderId="66" xfId="0" applyNumberFormat="1" applyFont="1" applyFill="1" applyBorder="1" applyAlignment="1" applyProtection="1">
      <alignment vertical="center"/>
    </xf>
    <xf numFmtId="181" fontId="46" fillId="6" borderId="32" xfId="0" applyNumberFormat="1" applyFont="1" applyFill="1" applyBorder="1" applyAlignment="1" applyProtection="1">
      <alignment vertical="center"/>
    </xf>
    <xf numFmtId="181"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90" fontId="62" fillId="6" borderId="36" xfId="0" applyNumberFormat="1" applyFont="1" applyFill="1" applyBorder="1" applyAlignment="1" applyProtection="1">
      <alignment horizontal="center" vertical="center"/>
    </xf>
    <xf numFmtId="183"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8"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90" fontId="51" fillId="6" borderId="0" xfId="0" applyNumberFormat="1" applyFont="1" applyFill="1" applyBorder="1" applyAlignment="1" applyProtection="1">
      <alignment horizontal="center"/>
    </xf>
    <xf numFmtId="183"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9"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9"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3" fontId="105" fillId="6" borderId="65" xfId="0" applyNumberFormat="1" applyFont="1" applyFill="1" applyBorder="1" applyAlignment="1" applyProtection="1">
      <alignment horizontal="center" vertical="center"/>
    </xf>
    <xf numFmtId="181"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3" fontId="99" fillId="0" borderId="1"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3"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3"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1"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8"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8"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3"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9"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7" fontId="47" fillId="0" borderId="1" xfId="0" applyNumberFormat="1" applyFont="1" applyFill="1" applyBorder="1" applyAlignment="1" applyProtection="1">
      <alignment horizontal="center" vertical="center"/>
      <protection locked="0"/>
    </xf>
    <xf numFmtId="187"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7"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9"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9"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9"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7" fontId="47" fillId="3" borderId="0" xfId="0" applyNumberFormat="1" applyFont="1" applyFill="1" applyAlignment="1" applyProtection="1">
      <alignment horizontal="center" vertical="center"/>
      <protection locked="0"/>
    </xf>
    <xf numFmtId="187" fontId="46" fillId="6" borderId="28" xfId="0" applyNumberFormat="1" applyFont="1" applyFill="1" applyBorder="1" applyAlignment="1" applyProtection="1">
      <alignment horizontal="center" vertical="center"/>
    </xf>
    <xf numFmtId="187" fontId="99" fillId="0" borderId="13" xfId="0" applyNumberFormat="1" applyFont="1" applyFill="1" applyBorder="1" applyAlignment="1" applyProtection="1">
      <alignment horizontal="center" vertical="center"/>
      <protection locked="0"/>
    </xf>
    <xf numFmtId="187" fontId="47" fillId="0" borderId="13" xfId="0" applyNumberFormat="1" applyFont="1" applyFill="1" applyBorder="1" applyAlignment="1" applyProtection="1">
      <alignment horizontal="center" vertical="center"/>
      <protection locked="0"/>
    </xf>
    <xf numFmtId="187"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7"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9"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9"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9" fontId="46" fillId="6" borderId="33" xfId="0" applyNumberFormat="1" applyFont="1" applyFill="1" applyBorder="1" applyAlignment="1" applyProtection="1">
      <alignment vertical="center"/>
    </xf>
    <xf numFmtId="179" fontId="46" fillId="6" borderId="52" xfId="0" applyNumberFormat="1" applyFont="1" applyFill="1" applyBorder="1" applyAlignment="1" applyProtection="1">
      <alignment vertical="center"/>
    </xf>
    <xf numFmtId="179"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shrinkToFit="1"/>
      <protection locked="0"/>
    </xf>
    <xf numFmtId="185" fontId="47" fillId="6" borderId="1"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3" fontId="44" fillId="6" borderId="8" xfId="0" applyNumberFormat="1" applyFont="1" applyFill="1" applyBorder="1" applyProtection="1">
      <alignment vertical="center"/>
    </xf>
    <xf numFmtId="183"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8"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80" fontId="58" fillId="6" borderId="24" xfId="0" applyNumberFormat="1" applyFont="1" applyFill="1" applyBorder="1" applyAlignment="1" applyProtection="1">
      <alignment horizontal="center" vertical="center"/>
    </xf>
    <xf numFmtId="180"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80" fontId="58" fillId="6" borderId="49" xfId="0" applyNumberFormat="1" applyFont="1" applyFill="1" applyBorder="1" applyAlignment="1" applyProtection="1">
      <alignment horizontal="center" vertical="center"/>
    </xf>
    <xf numFmtId="179"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90" fontId="51" fillId="6" borderId="0" xfId="0" applyNumberFormat="1" applyFont="1" applyFill="1" applyAlignment="1" applyProtection="1">
      <alignment horizontal="center" vertical="center"/>
      <protection locked="0"/>
    </xf>
    <xf numFmtId="183"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90" fontId="62" fillId="6" borderId="0" xfId="0" applyNumberFormat="1" applyFont="1" applyFill="1" applyBorder="1" applyAlignment="1" applyProtection="1">
      <alignment horizontal="center" vertical="center"/>
      <protection locked="0"/>
    </xf>
    <xf numFmtId="183"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3"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3"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3"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3"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3" fontId="68" fillId="6" borderId="0" xfId="0" applyNumberFormat="1" applyFont="1" applyFill="1" applyAlignment="1" applyProtection="1">
      <alignment horizontal="center" vertical="center"/>
      <protection locked="0"/>
    </xf>
    <xf numFmtId="178"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90"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90" fontId="51" fillId="6" borderId="0" xfId="0" applyNumberFormat="1" applyFont="1" applyFill="1" applyBorder="1" applyAlignment="1" applyProtection="1">
      <alignment horizontal="center"/>
      <protection locked="0"/>
    </xf>
    <xf numFmtId="183"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8"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3" fontId="49" fillId="6" borderId="1" xfId="0" applyNumberFormat="1" applyFont="1" applyFill="1" applyBorder="1" applyAlignment="1" applyProtection="1">
      <alignment horizontal="center" vertical="center"/>
      <protection locked="0"/>
    </xf>
    <xf numFmtId="181" fontId="47" fillId="6" borderId="23" xfId="1" applyNumberFormat="1" applyFont="1" applyFill="1" applyBorder="1" applyAlignment="1" applyProtection="1">
      <alignment horizontal="center" vertical="center"/>
    </xf>
    <xf numFmtId="179"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1" fontId="44" fillId="6" borderId="25" xfId="1" applyNumberFormat="1" applyFont="1" applyFill="1" applyBorder="1" applyAlignment="1" applyProtection="1">
      <alignment horizontal="center" vertical="center"/>
    </xf>
    <xf numFmtId="183" fontId="44" fillId="6" borderId="1" xfId="0" applyNumberFormat="1" applyFont="1" applyFill="1" applyBorder="1" applyAlignment="1" applyProtection="1">
      <alignment vertical="center"/>
    </xf>
    <xf numFmtId="183" fontId="44" fillId="6" borderId="5" xfId="0" applyNumberFormat="1" applyFont="1" applyFill="1" applyBorder="1" applyAlignment="1" applyProtection="1">
      <alignment vertical="center"/>
    </xf>
    <xf numFmtId="183"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3" fontId="44" fillId="6" borderId="1" xfId="0" applyNumberFormat="1" applyFont="1" applyFill="1" applyBorder="1" applyAlignment="1" applyProtection="1">
      <alignment horizontal="center" vertical="center"/>
    </xf>
    <xf numFmtId="183"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4" fontId="44" fillId="6" borderId="1" xfId="0" applyNumberFormat="1" applyFont="1" applyFill="1" applyBorder="1" applyAlignment="1" applyProtection="1">
      <alignment horizontal="center" vertical="center"/>
    </xf>
    <xf numFmtId="183"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8" fontId="47" fillId="0" borderId="1" xfId="0" applyNumberFormat="1" applyFont="1" applyFill="1" applyBorder="1" applyAlignment="1" applyProtection="1">
      <alignment horizontal="center" vertical="center" wrapText="1"/>
      <protection locked="0"/>
    </xf>
    <xf numFmtId="181" fontId="44" fillId="6" borderId="2" xfId="0" applyNumberFormat="1" applyFont="1" applyFill="1" applyBorder="1" applyProtection="1">
      <alignment vertical="center"/>
    </xf>
    <xf numFmtId="183"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3"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3"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3"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3"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80" fontId="54" fillId="6" borderId="1" xfId="0" applyNumberFormat="1" applyFont="1" applyFill="1" applyBorder="1" applyAlignment="1" applyProtection="1">
      <alignment horizontal="center" vertical="center"/>
    </xf>
    <xf numFmtId="180" fontId="53" fillId="6" borderId="1" xfId="0" applyNumberFormat="1" applyFont="1" applyFill="1" applyBorder="1" applyAlignment="1" applyProtection="1">
      <alignment horizontal="center" vertical="center"/>
    </xf>
    <xf numFmtId="179" fontId="46" fillId="6" borderId="0" xfId="0" applyNumberFormat="1" applyFont="1" applyFill="1" applyBorder="1" applyAlignment="1" applyProtection="1">
      <alignment horizontal="center" vertical="center"/>
    </xf>
    <xf numFmtId="188" fontId="47" fillId="6" borderId="3" xfId="0" applyNumberFormat="1" applyFont="1" applyFill="1" applyBorder="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3"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8" fontId="46" fillId="6" borderId="1" xfId="0" applyNumberFormat="1" applyFont="1" applyFill="1" applyBorder="1" applyAlignment="1" applyProtection="1">
      <alignment vertical="center"/>
    </xf>
    <xf numFmtId="178" fontId="46" fillId="6" borderId="1" xfId="0" applyNumberFormat="1" applyFont="1" applyFill="1" applyBorder="1" applyAlignment="1" applyProtection="1">
      <alignment horizontal="center" vertical="center"/>
    </xf>
    <xf numFmtId="178" fontId="46" fillId="6" borderId="24" xfId="0" applyNumberFormat="1" applyFont="1" applyFill="1" applyBorder="1" applyAlignment="1" applyProtection="1">
      <alignment vertical="center"/>
    </xf>
    <xf numFmtId="178" fontId="46" fillId="6" borderId="25" xfId="0" applyNumberFormat="1" applyFont="1" applyFill="1" applyBorder="1" applyAlignment="1" applyProtection="1">
      <alignment vertical="center"/>
    </xf>
    <xf numFmtId="178"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3"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1" fontId="44" fillId="6" borderId="30" xfId="0" applyNumberFormat="1" applyFont="1" applyFill="1" applyBorder="1" applyAlignment="1" applyProtection="1">
      <alignment horizontal="center" vertical="center" wrapText="1"/>
    </xf>
    <xf numFmtId="191" fontId="44" fillId="6" borderId="9" xfId="0" applyNumberFormat="1" applyFont="1" applyFill="1" applyBorder="1" applyAlignment="1" applyProtection="1">
      <alignment horizontal="center" vertical="center" wrapText="1"/>
    </xf>
    <xf numFmtId="191"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4"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1"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90" fontId="62" fillId="6" borderId="88" xfId="0" applyNumberFormat="1" applyFont="1" applyFill="1" applyBorder="1" applyAlignment="1" applyProtection="1">
      <alignment horizontal="center" vertical="center"/>
      <protection locked="0"/>
    </xf>
    <xf numFmtId="183"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90" fontId="62" fillId="6" borderId="88" xfId="0" applyNumberFormat="1" applyFont="1" applyFill="1" applyBorder="1" applyAlignment="1" applyProtection="1">
      <alignment horizontal="center" vertical="center"/>
    </xf>
    <xf numFmtId="183"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9"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9"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5"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3"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3"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5"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5"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8"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1" fontId="47" fillId="6" borderId="0" xfId="0" applyNumberFormat="1" applyFont="1" applyFill="1" applyBorder="1" applyAlignment="1" applyProtection="1">
      <alignment horizontal="center" vertical="center" wrapText="1"/>
    </xf>
    <xf numFmtId="181" fontId="48" fillId="6" borderId="0" xfId="0" applyNumberFormat="1" applyFont="1" applyFill="1" applyBorder="1" applyAlignment="1" applyProtection="1">
      <alignment horizontal="center" vertical="center" wrapText="1"/>
    </xf>
    <xf numFmtId="178"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8" fontId="47" fillId="6" borderId="54" xfId="0" applyNumberFormat="1" applyFont="1" applyFill="1" applyBorder="1" applyAlignment="1" applyProtection="1">
      <alignment horizontal="center" vertical="center" wrapText="1"/>
    </xf>
    <xf numFmtId="178" fontId="47" fillId="6" borderId="3" xfId="0" applyNumberFormat="1" applyFont="1" applyFill="1" applyBorder="1" applyAlignment="1" applyProtection="1">
      <alignment horizontal="center" vertical="center" wrapText="1"/>
    </xf>
    <xf numFmtId="178" fontId="47" fillId="6" borderId="5" xfId="0" applyNumberFormat="1" applyFont="1" applyFill="1" applyBorder="1" applyAlignment="1" applyProtection="1">
      <alignment horizontal="center" vertical="center" wrapText="1"/>
    </xf>
    <xf numFmtId="178"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1"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1" fontId="47" fillId="6" borderId="54" xfId="0" applyNumberFormat="1" applyFont="1" applyFill="1" applyBorder="1" applyAlignment="1" applyProtection="1">
      <alignment horizontal="center" vertical="center"/>
    </xf>
    <xf numFmtId="181"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1"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1"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1"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1"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1" fontId="47" fillId="6" borderId="7" xfId="0" applyNumberFormat="1" applyFont="1" applyFill="1" applyBorder="1" applyAlignment="1" applyProtection="1">
      <alignment horizontal="center" vertical="center" wrapText="1"/>
    </xf>
    <xf numFmtId="181" fontId="47" fillId="6" borderId="2" xfId="0" applyNumberFormat="1" applyFont="1" applyFill="1" applyBorder="1" applyAlignment="1" applyProtection="1">
      <alignment horizontal="center" vertical="center" wrapText="1"/>
    </xf>
    <xf numFmtId="181"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1"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8" fontId="47" fillId="0" borderId="1" xfId="0" applyNumberFormat="1" applyFont="1" applyBorder="1" applyAlignment="1" applyProtection="1">
      <alignment vertical="center" wrapText="1"/>
      <protection locked="0"/>
    </xf>
    <xf numFmtId="178" fontId="47" fillId="0" borderId="1" xfId="0" applyNumberFormat="1" applyFont="1" applyBorder="1" applyAlignment="1" applyProtection="1">
      <alignment horizontal="center" vertical="center" wrapText="1"/>
      <protection locked="0"/>
    </xf>
    <xf numFmtId="178"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8"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8"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8"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8"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8" fontId="50" fillId="6" borderId="29" xfId="1" applyNumberFormat="1" applyFont="1" applyFill="1" applyBorder="1" applyAlignment="1" applyProtection="1">
      <alignment horizontal="center" vertical="center"/>
    </xf>
    <xf numFmtId="178" fontId="50" fillId="6" borderId="20" xfId="1" applyNumberFormat="1" applyFont="1" applyFill="1" applyBorder="1" applyAlignment="1" applyProtection="1">
      <alignment horizontal="center" vertical="center"/>
    </xf>
    <xf numFmtId="178"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1"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8"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8"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1"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1"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1"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2" fontId="51" fillId="6" borderId="6" xfId="1" applyNumberFormat="1" applyFont="1" applyFill="1" applyBorder="1" applyAlignment="1" applyProtection="1">
      <alignment horizontal="center" vertical="center" wrapText="1"/>
    </xf>
    <xf numFmtId="181"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9"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1"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9" fontId="47" fillId="6" borderId="23" xfId="1" applyNumberFormat="1" applyFont="1" applyFill="1" applyBorder="1" applyAlignment="1" applyProtection="1">
      <alignment horizontal="left" vertical="center"/>
    </xf>
    <xf numFmtId="179" fontId="44" fillId="6" borderId="1" xfId="1" applyNumberFormat="1" applyFont="1" applyFill="1" applyBorder="1" applyAlignment="1" applyProtection="1">
      <alignment vertical="center"/>
    </xf>
    <xf numFmtId="179"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9" fontId="44" fillId="6" borderId="23" xfId="1" applyNumberFormat="1" applyFont="1" applyFill="1" applyBorder="1" applyAlignment="1" applyProtection="1">
      <alignment horizontal="left" vertical="center" wrapText="1"/>
      <protection locked="0"/>
    </xf>
    <xf numFmtId="179"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8" fontId="51" fillId="6" borderId="6" xfId="1" applyNumberFormat="1" applyFont="1" applyFill="1" applyBorder="1" applyAlignment="1" applyProtection="1">
      <alignment vertical="center" wrapText="1"/>
    </xf>
    <xf numFmtId="178" fontId="51" fillId="6" borderId="23" xfId="1" applyNumberFormat="1" applyFont="1" applyFill="1" applyBorder="1" applyAlignment="1" applyProtection="1">
      <alignment vertical="center" wrapText="1"/>
    </xf>
    <xf numFmtId="178" fontId="44" fillId="6" borderId="23" xfId="1" applyNumberFormat="1" applyFont="1" applyFill="1" applyBorder="1" applyAlignment="1" applyProtection="1">
      <alignment vertical="center" wrapText="1"/>
    </xf>
    <xf numFmtId="178"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1"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1"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1"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9"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7"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90"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90" fontId="44" fillId="6" borderId="21"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90" fontId="51" fillId="6" borderId="48" xfId="0" applyNumberFormat="1" applyFont="1" applyFill="1" applyBorder="1" applyAlignment="1" applyProtection="1">
      <alignment horizontal="center" vertical="center"/>
    </xf>
    <xf numFmtId="190"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5"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8" fontId="53" fillId="6" borderId="15" xfId="0" applyNumberFormat="1" applyFont="1" applyFill="1" applyBorder="1" applyAlignment="1" applyProtection="1">
      <alignment horizontal="center" vertical="center" wrapText="1"/>
    </xf>
    <xf numFmtId="188"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8"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8"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3"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7"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7"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9"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7" fontId="102" fillId="11" borderId="123" xfId="9" applyNumberFormat="1" applyFont="1" applyFill="1" applyBorder="1" applyAlignment="1" applyProtection="1">
      <alignment horizontal="left" vertical="center" wrapText="1"/>
    </xf>
    <xf numFmtId="187"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7" fontId="102" fillId="11" borderId="123" xfId="9" applyNumberFormat="1" applyFont="1" applyFill="1" applyBorder="1" applyAlignment="1">
      <alignment horizontal="left" vertical="center" wrapText="1"/>
    </xf>
    <xf numFmtId="187" fontId="102" fillId="11" borderId="129" xfId="9" applyNumberFormat="1" applyFont="1" applyFill="1" applyBorder="1" applyAlignment="1">
      <alignment horizontal="left" vertical="center" wrapText="1"/>
    </xf>
    <xf numFmtId="183" fontId="99" fillId="0" borderId="121" xfId="9" applyNumberFormat="1" applyFont="1" applyBorder="1" applyAlignment="1">
      <alignment horizontal="left" vertical="center"/>
    </xf>
    <xf numFmtId="183"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7" fontId="102" fillId="11" borderId="126" xfId="9" applyNumberFormat="1" applyFont="1" applyFill="1" applyBorder="1" applyAlignment="1">
      <alignment horizontal="left" vertical="center" wrapText="1"/>
    </xf>
    <xf numFmtId="187"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7"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9"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7" fontId="102" fillId="11" borderId="132" xfId="9" applyNumberFormat="1" applyFont="1" applyFill="1" applyBorder="1" applyAlignment="1">
      <alignment horizontal="left" vertical="center" wrapText="1"/>
    </xf>
    <xf numFmtId="187" fontId="102" fillId="11" borderId="136" xfId="9" applyNumberFormat="1" applyFont="1" applyFill="1" applyBorder="1" applyAlignment="1">
      <alignment horizontal="left" vertical="center" wrapText="1"/>
    </xf>
    <xf numFmtId="187" fontId="99" fillId="13" borderId="0" xfId="9" applyNumberFormat="1" applyFont="1" applyFill="1" applyAlignment="1">
      <alignment horizontal="left" vertical="center"/>
    </xf>
    <xf numFmtId="187"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9"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80"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80"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2" fontId="99" fillId="0" borderId="0" xfId="9" applyNumberFormat="1" applyFont="1" applyAlignment="1">
      <alignment horizontal="left" vertical="center"/>
    </xf>
    <xf numFmtId="182" fontId="99" fillId="0" borderId="121" xfId="9" applyNumberFormat="1" applyFont="1" applyBorder="1" applyAlignment="1">
      <alignment horizontal="left" vertical="center"/>
    </xf>
    <xf numFmtId="179"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2"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80"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2" fontId="113" fillId="0" borderId="0" xfId="9" applyNumberFormat="1" applyFont="1" applyAlignment="1">
      <alignment horizontal="left" vertical="center"/>
    </xf>
    <xf numFmtId="182"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3"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3" fontId="50" fillId="18" borderId="68" xfId="0" applyNumberFormat="1" applyFont="1" applyFill="1" applyBorder="1" applyAlignment="1" applyProtection="1">
      <alignment horizontal="left" vertical="center" wrapText="1"/>
      <protection locked="0"/>
    </xf>
    <xf numFmtId="178" fontId="51" fillId="18" borderId="48" xfId="0" applyNumberFormat="1" applyFont="1" applyFill="1" applyBorder="1" applyAlignment="1" applyProtection="1">
      <alignment horizontal="left" vertical="center" wrapText="1"/>
    </xf>
    <xf numFmtId="178"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3" fontId="118" fillId="0" borderId="1" xfId="5" applyNumberFormat="1" applyFont="1" applyFill="1" applyBorder="1" applyAlignment="1">
      <alignment horizontal="left" vertical="center"/>
    </xf>
    <xf numFmtId="193"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5"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3"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5"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5"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9"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1"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3"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9" fontId="54" fillId="6" borderId="2" xfId="0" applyNumberFormat="1" applyFont="1" applyFill="1" applyBorder="1" applyAlignment="1" applyProtection="1">
      <alignment horizontal="left" vertical="center" wrapText="1"/>
    </xf>
    <xf numFmtId="179" fontId="53" fillId="6" borderId="1" xfId="0" applyNumberFormat="1" applyFont="1" applyFill="1" applyBorder="1" applyAlignment="1" applyProtection="1">
      <alignment horizontal="left" vertical="center" wrapText="1"/>
    </xf>
    <xf numFmtId="179"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9" fontId="54" fillId="6" borderId="1" xfId="0" applyNumberFormat="1" applyFont="1" applyFill="1" applyBorder="1" applyAlignment="1" applyProtection="1">
      <alignment horizontal="left" vertical="center" wrapText="1"/>
    </xf>
    <xf numFmtId="179"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9"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3"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2"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1" fontId="47" fillId="6" borderId="58" xfId="0" applyNumberFormat="1" applyFont="1" applyFill="1" applyBorder="1" applyAlignment="1" applyProtection="1">
      <alignment horizontal="center" vertical="center" wrapText="1"/>
      <protection locked="0"/>
    </xf>
    <xf numFmtId="181"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5"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5"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1" fontId="47" fillId="12" borderId="0" xfId="0" applyNumberFormat="1" applyFont="1" applyFill="1" applyAlignment="1" applyProtection="1">
      <alignment vertical="center"/>
      <protection locked="0"/>
    </xf>
    <xf numFmtId="181"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1"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3" fontId="98" fillId="12" borderId="0" xfId="0" applyNumberFormat="1" applyFont="1" applyFill="1" applyAlignment="1" applyProtection="1">
      <alignment horizontal="center" vertical="center"/>
    </xf>
    <xf numFmtId="181"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3"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1"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9"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3"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3"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3"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3"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3" fontId="49" fillId="12" borderId="0" xfId="0" applyNumberFormat="1" applyFont="1" applyFill="1" applyBorder="1" applyAlignment="1" applyProtection="1">
      <alignment horizontal="center" vertical="center" wrapText="1"/>
      <protection locked="0"/>
    </xf>
    <xf numFmtId="183"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3"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3" fontId="51" fillId="12" borderId="0" xfId="0" applyNumberFormat="1" applyFont="1" applyFill="1" applyAlignment="1" applyProtection="1">
      <alignment horizontal="center" vertical="center"/>
      <protection locked="0"/>
    </xf>
    <xf numFmtId="183"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90"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8" fontId="51" fillId="12" borderId="0" xfId="0" applyNumberFormat="1" applyFont="1" applyFill="1" applyAlignment="1" applyProtection="1">
      <alignment horizontal="center" vertical="center"/>
      <protection locked="0"/>
    </xf>
    <xf numFmtId="190" fontId="68" fillId="12" borderId="0" xfId="0" applyNumberFormat="1" applyFont="1" applyFill="1" applyAlignment="1" applyProtection="1">
      <alignment horizontal="center" vertical="center"/>
      <protection locked="0"/>
    </xf>
    <xf numFmtId="183"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6"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1"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7"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9" fontId="99" fillId="0" borderId="1" xfId="1" applyNumberFormat="1" applyFont="1" applyBorder="1" applyAlignment="1" applyProtection="1">
      <alignment horizontal="left" vertical="center"/>
      <protection locked="0" hidden="1"/>
    </xf>
    <xf numFmtId="179" fontId="99" fillId="0" borderId="24" xfId="1" applyNumberFormat="1" applyFont="1" applyBorder="1" applyAlignment="1" applyProtection="1">
      <alignment horizontal="left" vertical="center"/>
      <protection locked="0" hidden="1"/>
    </xf>
    <xf numFmtId="179"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7"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7" fontId="54" fillId="6" borderId="71" xfId="4" applyNumberFormat="1" applyFont="1" applyFill="1" applyBorder="1" applyAlignment="1">
      <alignment horizontal="left" vertical="center"/>
    </xf>
    <xf numFmtId="187"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9"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7"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3"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7" fontId="53" fillId="6" borderId="1" xfId="4" applyNumberFormat="1" applyFont="1" applyFill="1" applyBorder="1" applyAlignment="1">
      <alignment horizontal="left" vertical="center"/>
    </xf>
    <xf numFmtId="183"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8" fontId="53" fillId="0" borderId="1" xfId="4" applyNumberFormat="1" applyFont="1" applyFill="1" applyBorder="1" applyAlignment="1" applyProtection="1">
      <alignment horizontal="left" vertical="center"/>
      <protection locked="0"/>
    </xf>
    <xf numFmtId="183"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9" fontId="54" fillId="6" borderId="1" xfId="4" applyNumberFormat="1" applyFont="1" applyFill="1" applyBorder="1" applyAlignment="1" applyProtection="1">
      <alignment horizontal="left" vertical="center"/>
      <protection locked="0"/>
    </xf>
    <xf numFmtId="179" fontId="53" fillId="0" borderId="24" xfId="4" applyNumberFormat="1" applyFont="1" applyFill="1" applyBorder="1" applyAlignment="1" applyProtection="1">
      <alignment horizontal="left" vertical="center"/>
      <protection locked="0"/>
    </xf>
    <xf numFmtId="187" fontId="53" fillId="0" borderId="1" xfId="4" applyNumberFormat="1" applyFont="1" applyFill="1" applyBorder="1" applyAlignment="1" applyProtection="1">
      <alignment horizontal="left" vertical="center"/>
      <protection locked="0"/>
    </xf>
    <xf numFmtId="183"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7" fontId="54" fillId="6" borderId="32" xfId="4" applyNumberFormat="1" applyFont="1" applyFill="1" applyBorder="1" applyAlignment="1">
      <alignment horizontal="left" vertical="center"/>
    </xf>
    <xf numFmtId="183"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7" fontId="54" fillId="6" borderId="60" xfId="4" applyNumberFormat="1" applyFont="1" applyFill="1" applyBorder="1" applyAlignment="1">
      <alignment horizontal="left" vertical="center"/>
    </xf>
    <xf numFmtId="183"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9"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7" fontId="53" fillId="6" borderId="5" xfId="4" applyNumberFormat="1" applyFont="1" applyFill="1" applyBorder="1" applyAlignment="1">
      <alignment horizontal="left" vertical="center"/>
    </xf>
    <xf numFmtId="187" fontId="53" fillId="6" borderId="158" xfId="4" applyNumberFormat="1" applyFont="1" applyFill="1" applyBorder="1" applyAlignment="1">
      <alignment horizontal="left" vertical="center"/>
    </xf>
    <xf numFmtId="187"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7" fontId="53" fillId="6" borderId="5" xfId="4" applyNumberFormat="1" applyFont="1" applyFill="1" applyBorder="1" applyAlignment="1">
      <alignment horizontal="right" vertical="center"/>
    </xf>
    <xf numFmtId="183" fontId="53" fillId="0" borderId="158" xfId="4" applyNumberFormat="1" applyFont="1" applyFill="1" applyBorder="1" applyAlignment="1" applyProtection="1">
      <alignment horizontal="right" vertical="center"/>
      <protection locked="0"/>
    </xf>
    <xf numFmtId="183"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3"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3"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3" fontId="53" fillId="6" borderId="158" xfId="4" applyNumberFormat="1" applyFont="1" applyFill="1" applyBorder="1" applyAlignment="1">
      <alignment horizontal="right" vertical="center"/>
    </xf>
    <xf numFmtId="183"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9"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3" fontId="53" fillId="0" borderId="5" xfId="4" applyNumberFormat="1" applyFont="1" applyFill="1" applyBorder="1" applyAlignment="1" applyProtection="1">
      <alignment horizontal="left" vertical="center"/>
      <protection locked="0"/>
    </xf>
    <xf numFmtId="183" fontId="53" fillId="0" borderId="158" xfId="4" applyNumberFormat="1" applyFont="1" applyFill="1" applyBorder="1" applyAlignment="1" applyProtection="1">
      <alignment horizontal="left" vertical="center"/>
      <protection locked="0"/>
    </xf>
    <xf numFmtId="183" fontId="53" fillId="0" borderId="3" xfId="4" applyNumberFormat="1" applyFont="1" applyFill="1" applyBorder="1" applyAlignment="1" applyProtection="1">
      <alignment horizontal="left" vertical="center"/>
      <protection locked="0"/>
    </xf>
    <xf numFmtId="178"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8" fontId="53" fillId="0" borderId="33" xfId="4" applyNumberFormat="1" applyFont="1" applyFill="1" applyBorder="1" applyAlignment="1" applyProtection="1">
      <alignment horizontal="left" vertical="center"/>
      <protection locked="0"/>
    </xf>
    <xf numFmtId="178" fontId="53" fillId="0" borderId="159" xfId="4" applyNumberFormat="1" applyFont="1" applyFill="1" applyBorder="1" applyAlignment="1" applyProtection="1">
      <alignment horizontal="left" vertical="center"/>
      <protection locked="0"/>
    </xf>
    <xf numFmtId="178" fontId="53" fillId="0" borderId="66" xfId="4" applyNumberFormat="1" applyFont="1" applyFill="1" applyBorder="1" applyAlignment="1" applyProtection="1">
      <alignment horizontal="left" vertical="center"/>
      <protection locked="0"/>
    </xf>
    <xf numFmtId="178"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7"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7"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7"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81"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8" fontId="249" fillId="0" borderId="0" xfId="3" applyNumberFormat="1" applyFont="1" applyBorder="1" applyAlignment="1" applyProtection="1">
      <alignment horizontal="left" vertical="center"/>
    </xf>
    <xf numFmtId="178" fontId="250" fillId="6" borderId="6" xfId="3" applyNumberFormat="1" applyFont="1" applyFill="1" applyBorder="1" applyAlignment="1" applyProtection="1">
      <alignment horizontal="left" vertical="center"/>
    </xf>
    <xf numFmtId="178" fontId="250" fillId="6" borderId="9" xfId="3" applyNumberFormat="1" applyFont="1" applyFill="1" applyBorder="1" applyAlignment="1" applyProtection="1">
      <alignment horizontal="left" vertical="center"/>
    </xf>
    <xf numFmtId="178" fontId="250" fillId="6" borderId="9" xfId="3" applyNumberFormat="1" applyFont="1" applyFill="1" applyBorder="1" applyAlignment="1" applyProtection="1">
      <alignment horizontal="left" vertical="center" wrapText="1"/>
    </xf>
    <xf numFmtId="178" fontId="250" fillId="6" borderId="17" xfId="3" applyNumberFormat="1" applyFont="1" applyFill="1" applyBorder="1" applyAlignment="1" applyProtection="1">
      <alignment horizontal="left" vertical="center"/>
    </xf>
    <xf numFmtId="178" fontId="250" fillId="6" borderId="62" xfId="3" applyNumberFormat="1" applyFont="1" applyFill="1" applyBorder="1" applyAlignment="1" applyProtection="1">
      <alignment horizontal="left" vertical="center"/>
    </xf>
    <xf numFmtId="178" fontId="250" fillId="6" borderId="23" xfId="3" applyNumberFormat="1" applyFont="1" applyFill="1" applyBorder="1" applyAlignment="1" applyProtection="1">
      <alignment horizontal="left" vertical="center"/>
    </xf>
    <xf numFmtId="178" fontId="251" fillId="6" borderId="1" xfId="3" applyNumberFormat="1" applyFont="1" applyFill="1" applyBorder="1" applyAlignment="1" applyProtection="1">
      <alignment horizontal="left" vertical="center"/>
    </xf>
    <xf numFmtId="178" fontId="251" fillId="6" borderId="24" xfId="3" applyNumberFormat="1" applyFont="1" applyFill="1" applyBorder="1" applyAlignment="1" applyProtection="1">
      <alignment horizontal="left" vertical="center"/>
    </xf>
    <xf numFmtId="178" fontId="250" fillId="6" borderId="23" xfId="3" applyNumberFormat="1" applyFont="1" applyFill="1" applyBorder="1" applyAlignment="1" applyProtection="1">
      <alignment horizontal="left" vertical="center" wrapText="1"/>
    </xf>
    <xf numFmtId="178" fontId="250" fillId="6" borderId="25" xfId="3" applyNumberFormat="1" applyFont="1" applyFill="1" applyBorder="1" applyAlignment="1" applyProtection="1">
      <alignment horizontal="left" vertical="center" wrapText="1"/>
    </xf>
    <xf numFmtId="178" fontId="251" fillId="6" borderId="32" xfId="3" applyNumberFormat="1" applyFont="1" applyFill="1" applyBorder="1" applyAlignment="1" applyProtection="1">
      <alignment horizontal="left" vertical="center"/>
    </xf>
    <xf numFmtId="178" fontId="251" fillId="6" borderId="49" xfId="3" applyNumberFormat="1" applyFont="1" applyFill="1" applyBorder="1" applyAlignment="1" applyProtection="1">
      <alignment horizontal="left" vertical="center"/>
    </xf>
    <xf numFmtId="178" fontId="248" fillId="0" borderId="0" xfId="0" applyNumberFormat="1" applyFont="1" applyAlignment="1" applyProtection="1">
      <alignment horizontal="left" vertical="center"/>
    </xf>
    <xf numFmtId="178" fontId="246" fillId="0" borderId="0" xfId="0" applyNumberFormat="1" applyFont="1" applyAlignment="1" applyProtection="1">
      <alignment horizontal="left" vertical="center"/>
    </xf>
    <xf numFmtId="178"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4"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1" fontId="113" fillId="6" borderId="15" xfId="0" applyNumberFormat="1" applyFont="1" applyFill="1" applyBorder="1" applyAlignment="1" applyProtection="1">
      <alignment horizontal="left" vertical="center" wrapText="1"/>
    </xf>
    <xf numFmtId="179" fontId="77" fillId="0" borderId="1" xfId="1" applyNumberFormat="1" applyFont="1" applyFill="1" applyBorder="1" applyAlignment="1" applyProtection="1">
      <alignment vertical="center"/>
      <protection locked="0" hidden="1"/>
    </xf>
    <xf numFmtId="179"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8" fontId="57" fillId="6" borderId="1" xfId="1" applyNumberFormat="1" applyFont="1" applyFill="1" applyBorder="1" applyAlignment="1" applyProtection="1">
      <alignment horizontal="right" vertical="center"/>
    </xf>
    <xf numFmtId="188"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8" fontId="57" fillId="6" borderId="2" xfId="0" applyNumberFormat="1" applyFont="1" applyFill="1" applyBorder="1" applyAlignment="1" applyProtection="1">
      <alignment horizontal="right" vertical="center"/>
    </xf>
    <xf numFmtId="181" fontId="44" fillId="0" borderId="23" xfId="0" applyNumberFormat="1" applyFont="1" applyBorder="1" applyAlignment="1" applyProtection="1">
      <alignment horizontal="center" vertical="center"/>
      <protection locked="0"/>
    </xf>
    <xf numFmtId="181" fontId="47" fillId="0" borderId="23" xfId="0" applyNumberFormat="1" applyFont="1" applyBorder="1" applyAlignment="1" applyProtection="1">
      <alignment horizontal="center" vertical="center"/>
      <protection locked="0"/>
    </xf>
    <xf numFmtId="181"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8" fontId="44" fillId="0" borderId="23" xfId="0" applyNumberFormat="1" applyFont="1" applyFill="1" applyBorder="1" applyAlignment="1" applyProtection="1">
      <alignment horizontal="center" vertical="center" wrapText="1"/>
      <protection locked="0"/>
    </xf>
    <xf numFmtId="178"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8"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36" fillId="0" borderId="0" xfId="19" applyFont="1" applyFill="1">
      <alignment vertical="center"/>
    </xf>
    <xf numFmtId="0" fontId="185" fillId="0" borderId="1" xfId="19" applyFont="1" applyFill="1" applyBorder="1" applyAlignment="1">
      <alignment horizontal="center" vertical="center" wrapText="1"/>
    </xf>
    <xf numFmtId="0" fontId="80" fillId="0" borderId="1" xfId="19" applyFont="1" applyFill="1" applyBorder="1" applyAlignment="1">
      <alignment horizontal="center" vertical="center" wrapText="1"/>
    </xf>
    <xf numFmtId="49" fontId="185" fillId="0" borderId="1" xfId="19" applyNumberFormat="1" applyFont="1" applyFill="1" applyBorder="1" applyAlignment="1">
      <alignment horizontal="center" vertical="center" wrapText="1"/>
    </xf>
    <xf numFmtId="0" fontId="94" fillId="0" borderId="0" xfId="19" applyFont="1" applyFill="1">
      <alignment vertical="center"/>
    </xf>
    <xf numFmtId="0" fontId="19" fillId="0" borderId="1" xfId="19" applyFont="1" applyFill="1" applyBorder="1" applyAlignment="1">
      <alignment horizontal="center" vertical="center" wrapText="1"/>
    </xf>
    <xf numFmtId="0" fontId="269" fillId="0" borderId="1" xfId="19" applyFont="1" applyFill="1" applyBorder="1" applyAlignment="1">
      <alignment horizontal="center" vertical="center" wrapText="1"/>
    </xf>
    <xf numFmtId="49" fontId="19" fillId="0" borderId="1" xfId="19" applyNumberFormat="1" applyFont="1" applyFill="1" applyBorder="1" applyAlignment="1" applyProtection="1">
      <alignment horizontal="center" vertical="center" wrapText="1"/>
    </xf>
    <xf numFmtId="0" fontId="19" fillId="0" borderId="1" xfId="19" applyNumberFormat="1" applyFont="1" applyFill="1" applyBorder="1" applyAlignment="1" applyProtection="1">
      <alignment horizontal="center" vertical="center" shrinkToFit="1"/>
    </xf>
    <xf numFmtId="0" fontId="19" fillId="0" borderId="0" xfId="19" applyFont="1" applyFill="1">
      <alignment vertical="center"/>
    </xf>
    <xf numFmtId="49" fontId="19" fillId="0" borderId="1" xfId="19" applyNumberFormat="1" applyFont="1" applyFill="1" applyBorder="1" applyAlignment="1" applyProtection="1">
      <alignment horizontal="center" vertical="center" shrinkToFit="1"/>
    </xf>
    <xf numFmtId="178" fontId="19" fillId="0" borderId="1" xfId="19" applyNumberFormat="1" applyFont="1" applyFill="1" applyBorder="1" applyAlignment="1" applyProtection="1">
      <alignment horizontal="center" vertical="center" shrinkToFit="1"/>
      <protection locked="0"/>
    </xf>
    <xf numFmtId="0" fontId="135" fillId="0" borderId="1" xfId="19" applyFont="1" applyFill="1" applyBorder="1" applyAlignment="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9" fillId="0" borderId="1" xfId="0" applyNumberFormat="1" applyFont="1" applyFill="1" applyBorder="1" applyAlignment="1" applyProtection="1">
      <alignment horizontal="left" vertical="center"/>
      <protection locked="0"/>
    </xf>
    <xf numFmtId="0" fontId="53" fillId="0" borderId="0" xfId="20" applyAlignment="1">
      <alignment horizontal="left" vertical="center"/>
    </xf>
    <xf numFmtId="0" fontId="53" fillId="5" borderId="0" xfId="20" applyFill="1" applyAlignment="1">
      <alignment horizontal="left" vertical="center"/>
    </xf>
    <xf numFmtId="0" fontId="95" fillId="0" borderId="0" xfId="0" applyFont="1" applyAlignment="1">
      <alignment horizontal="left" vertical="center"/>
    </xf>
    <xf numFmtId="14" fontId="0" fillId="0" borderId="0" xfId="0" applyNumberFormat="1" applyAlignment="1">
      <alignment horizontal="left" vertical="center"/>
    </xf>
    <xf numFmtId="0" fontId="95" fillId="9" borderId="0" xfId="0" applyFont="1" applyFill="1" applyAlignment="1">
      <alignment horizontal="left" vertical="center"/>
    </xf>
    <xf numFmtId="0" fontId="0" fillId="9" borderId="0" xfId="0" applyNumberFormat="1" applyFill="1" applyAlignment="1">
      <alignment horizontal="left" vertical="center"/>
    </xf>
    <xf numFmtId="183" fontId="0" fillId="9" borderId="0" xfId="0" applyNumberFormat="1" applyFill="1" applyAlignment="1">
      <alignment horizontal="left" vertical="center"/>
    </xf>
    <xf numFmtId="0" fontId="0" fillId="9" borderId="0" xfId="0" applyFill="1" applyAlignment="1">
      <alignment horizontal="left" vertical="center"/>
    </xf>
    <xf numFmtId="177" fontId="52" fillId="0" borderId="78" xfId="0" applyNumberFormat="1" applyFont="1" applyFill="1" applyBorder="1" applyAlignment="1" applyProtection="1">
      <alignment horizontal="center" vertical="center"/>
      <protection locked="0"/>
    </xf>
    <xf numFmtId="177" fontId="0" fillId="0" borderId="0" xfId="0" applyNumberFormat="1" applyAlignment="1">
      <alignment horizontal="left" vertical="center"/>
    </xf>
    <xf numFmtId="0" fontId="19" fillId="0" borderId="1" xfId="21" applyFont="1" applyBorder="1" applyAlignment="1">
      <alignment horizontal="left" vertical="center"/>
    </xf>
    <xf numFmtId="177" fontId="0" fillId="5" borderId="1" xfId="22" applyFont="1" applyFill="1" applyBorder="1" applyAlignment="1">
      <alignment horizontal="left" vertical="center"/>
    </xf>
    <xf numFmtId="0" fontId="53" fillId="0" borderId="1" xfId="21" applyBorder="1" applyAlignment="1">
      <alignment horizontal="left" vertical="center"/>
    </xf>
    <xf numFmtId="177" fontId="0" fillId="9" borderId="1" xfId="22" applyFont="1" applyFill="1" applyBorder="1" applyAlignment="1">
      <alignment horizontal="left" vertical="center"/>
    </xf>
    <xf numFmtId="0" fontId="53" fillId="0" borderId="1" xfId="20" applyBorder="1" applyAlignment="1">
      <alignment horizontal="left" vertical="center"/>
    </xf>
    <xf numFmtId="177" fontId="53" fillId="0" borderId="0" xfId="20" applyNumberFormat="1" applyAlignment="1">
      <alignment horizontal="left" vertical="center"/>
    </xf>
    <xf numFmtId="177" fontId="0" fillId="22" borderId="1" xfId="22" applyFont="1" applyFill="1" applyBorder="1" applyAlignment="1">
      <alignment horizontal="left" vertical="center"/>
    </xf>
    <xf numFmtId="0" fontId="19" fillId="0" borderId="1" xfId="21" applyFont="1" applyBorder="1" applyAlignment="1">
      <alignment horizontal="left" vertical="center" wrapText="1"/>
    </xf>
    <xf numFmtId="0" fontId="0" fillId="0" borderId="1" xfId="21" applyFont="1" applyBorder="1" applyAlignment="1">
      <alignment horizontal="left" vertical="center" wrapText="1"/>
    </xf>
    <xf numFmtId="177" fontId="0" fillId="0" borderId="1" xfId="22" applyFont="1" applyBorder="1" applyAlignment="1">
      <alignment horizontal="left" vertical="center"/>
    </xf>
    <xf numFmtId="0" fontId="19" fillId="0" borderId="0" xfId="20" applyFont="1" applyAlignment="1">
      <alignment horizontal="left" vertical="center"/>
    </xf>
    <xf numFmtId="10" fontId="53" fillId="0" borderId="0" xfId="20" applyNumberFormat="1" applyAlignment="1">
      <alignment horizontal="left" vertical="center"/>
    </xf>
    <xf numFmtId="0" fontId="53" fillId="0" borderId="0" xfId="20" applyNumberFormat="1" applyAlignment="1">
      <alignment horizontal="left" vertical="center"/>
    </xf>
    <xf numFmtId="0" fontId="114" fillId="0" borderId="0" xfId="0" applyFo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4"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64" fillId="0" borderId="0" xfId="19" applyFont="1" applyFill="1" applyBorder="1" applyAlignment="1">
      <alignment horizontal="center" vertical="center"/>
    </xf>
    <xf numFmtId="0" fontId="135" fillId="0" borderId="1" xfId="19" applyFont="1" applyFill="1" applyBorder="1" applyAlignment="1">
      <alignment horizontal="center" vertical="center"/>
    </xf>
    <xf numFmtId="0" fontId="0" fillId="0" borderId="60" xfId="21" applyFont="1" applyBorder="1" applyAlignment="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3"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87"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9" borderId="1" xfId="0" applyFont="1" applyFill="1" applyBorder="1" applyAlignment="1" applyProtection="1">
      <alignment vertical="center" wrapText="1"/>
      <protection locked="0"/>
    </xf>
  </cellXfs>
  <cellStyles count="34">
    <cellStyle name="Comma" xfId="23"/>
    <cellStyle name="Comma [0]" xfId="24"/>
    <cellStyle name="Currency" xfId="25"/>
    <cellStyle name="Currency [0]" xfId="26"/>
    <cellStyle name="Currency [0] 2" xfId="27"/>
    <cellStyle name="Currency 2" xfId="28"/>
    <cellStyle name="Currency 3" xfId="29"/>
    <cellStyle name="Normal" xfId="21"/>
    <cellStyle name="Normal 2" xfId="30"/>
    <cellStyle name="Percent" xfId="31"/>
    <cellStyle name="百分比" xfId="17" builtinId="5"/>
    <cellStyle name="百分比 2" xfId="14"/>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2 3" xfId="32"/>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2 2 2" xfId="3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估价对象为房地产，为所有。根据《国有土地使用证》[]，估价对象（分摊）出让国有建设用地使用权面积为0平方米，建筑面积为168606.380000001平方米。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估价对象为房地产,属开发建设的，该项目尚在开发建设中。根据《国有土地使用证》[]，估价对象（分摊）出让国有建设用地使用权面积为0平方米，规划建筑面积为168606.380000001平方米。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2023年2月6日（评估专业人员实地查勘之日）</v>
      </c>
    </row>
    <row r="13" spans="1:2" s="1203" customFormat="1">
      <c r="A13" s="1201" t="s">
        <v>529</v>
      </c>
      <c r="B13" s="1202"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365765</v>
      </c>
    </row>
    <row r="21" spans="1:2" s="1203" customFormat="1">
      <c r="A21" s="1201" t="s">
        <v>537</v>
      </c>
      <c r="B21" s="1202">
        <f ca="1">'预评函-2'!D7</f>
        <v>21693</v>
      </c>
    </row>
    <row r="22" spans="1:2" s="1203" customFormat="1">
      <c r="A22" s="1201" t="s">
        <v>538</v>
      </c>
      <c r="B22" s="1202" t="str">
        <f ca="1">'预评函-2'!D6</f>
        <v>叁拾陆亿伍仟柒佰陆拾伍万元整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365765</v>
      </c>
    </row>
    <row r="31" spans="1:2" s="1203" customFormat="1">
      <c r="A31" s="1201" t="s">
        <v>576</v>
      </c>
      <c r="B31" s="1202">
        <f ca="1">'预评函-2'!D15</f>
        <v>21693</v>
      </c>
    </row>
    <row r="32" spans="1:2" s="1203" customFormat="1">
      <c r="A32" s="1201" t="s">
        <v>543</v>
      </c>
      <c r="B32" s="1202" t="str">
        <f ca="1">'预评函-2'!D14</f>
        <v>叁拾陆亿伍仟柒佰陆拾伍万元整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168606.38000000117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250549</v>
      </c>
    </row>
    <row r="48" spans="1:2" s="1203" customFormat="1">
      <c r="A48" s="1201" t="s">
        <v>549</v>
      </c>
      <c r="B48" s="1202">
        <f ca="1">'预评函-3'!E4</f>
        <v>14860</v>
      </c>
    </row>
    <row r="49" spans="1:2" s="1203" customFormat="1">
      <c r="A49" s="1201" t="s">
        <v>550</v>
      </c>
      <c r="B49" s="1202" t="str">
        <f ca="1">'预评函-3'!D5</f>
        <v>贰拾伍亿零伍佰肆拾玖万元整</v>
      </c>
    </row>
    <row r="50" spans="1:2" s="1203" customFormat="1">
      <c r="A50" s="1201" t="s">
        <v>574</v>
      </c>
      <c r="B50" s="1202" t="str">
        <f>'预评函-3'!F2</f>
        <v>在建建筑物价值</v>
      </c>
    </row>
    <row r="51" spans="1:2" s="1203" customFormat="1">
      <c r="A51" s="1201" t="s">
        <v>551</v>
      </c>
      <c r="B51" s="1202">
        <f ca="1">'预评函-3'!F4</f>
        <v>115216</v>
      </c>
    </row>
    <row r="52" spans="1:2" s="1203" customFormat="1">
      <c r="A52" s="1201" t="s">
        <v>552</v>
      </c>
      <c r="B52" s="1202">
        <f ca="1">'预评函-3'!G4</f>
        <v>6833</v>
      </c>
    </row>
    <row r="53" spans="1:2" s="1203" customFormat="1">
      <c r="A53" s="1201" t="s">
        <v>580</v>
      </c>
      <c r="B53" s="1202" t="str">
        <f ca="1">'预评函-3'!F5</f>
        <v>壹拾壹亿伍仟贰佰壹拾陆万元整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4854</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4" t="s">
        <v>385</v>
      </c>
      <c r="C54" s="1551" t="s">
        <v>583</v>
      </c>
    </row>
    <row r="55" spans="1:4">
      <c r="A55" s="3541"/>
      <c r="B55" s="1554" t="s">
        <v>386</v>
      </c>
      <c r="C55" s="1551" t="s">
        <v>584</v>
      </c>
    </row>
    <row r="56" spans="1:4">
      <c r="A56" s="3541"/>
      <c r="B56" s="1554" t="s">
        <v>387</v>
      </c>
      <c r="C56" s="1551" t="s">
        <v>588</v>
      </c>
    </row>
    <row r="57" spans="1:4">
      <c r="A57" s="35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42" t="s">
        <v>2583</v>
      </c>
      <c r="J2" s="3542"/>
      <c r="K2" s="3542"/>
      <c r="L2" s="3542"/>
      <c r="M2" s="3542"/>
      <c r="N2" s="3542"/>
      <c r="O2" s="3542"/>
      <c r="P2" s="3542"/>
      <c r="Q2" s="3542"/>
      <c r="R2" s="3542"/>
    </row>
    <row r="3" spans="1:18">
      <c r="A3" s="3020" t="s">
        <v>2504</v>
      </c>
      <c r="B3" s="3021">
        <f>项目基本情况!D3</f>
        <v>44963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3.86</v>
      </c>
      <c r="D5" s="3025">
        <f>IF(ISERROR(ROUND(POWER(1+E5,A5-C5)*(POWER(1+E5,C5)-1)/(POWER(1+E5,A5)-1),3)),0,ROUND(POWER(1+E5,A5-C5)*(POWER(1+E5,C5)-1)/(POWER(1+E5,A5)-1),4))</f>
        <v>0.17749999999999999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13.87</v>
      </c>
      <c r="D6" s="3025">
        <f>IF(ISERROR(ROUND(POWER(1+E6,A6-C6)*(POWER(1+E6,C6)-1)/(POWER(1+E6,A6)-1),3)),0,ROUND(POWER(1+E6,A6-C6)*(POWER(1+E6,C6)-1)/(POWER(1+E6,A6)-1),4))</f>
        <v>0.48830000000000001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33.89</v>
      </c>
      <c r="D7" s="3025">
        <f>IF(ISERROR(ROUND(POWER(1+E7,A7-C7)*(POWER(1+E7,C7)-1)/(POWER(1+E7,A7)-1),3)),0,ROUND(POWER(1+E7,A7-C7)*(POWER(1+E7,C7)-1)/(POWER(1+E7,A7)-1),4))</f>
        <v>0.78580000000000005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4"/>
  <sheetViews>
    <sheetView workbookViewId="0">
      <pane ySplit="2" topLeftCell="A3" activePane="bottomLeft" state="frozen"/>
      <selection pane="bottomLeft" activeCell="I37" sqref="I37"/>
    </sheetView>
  </sheetViews>
  <sheetFormatPr defaultRowHeight="14.25"/>
  <cols>
    <col min="1" max="2" width="11.125" style="3461" customWidth="1"/>
    <col min="3" max="3" width="14.375" style="3461" customWidth="1"/>
    <col min="4" max="4" width="11.125" style="3461" customWidth="1"/>
    <col min="5" max="5" width="14.375" style="3461" customWidth="1"/>
    <col min="6" max="6" width="16.5" style="3461" customWidth="1"/>
    <col min="7" max="256" width="9" style="3461"/>
    <col min="257" max="258" width="11.125" style="3461" customWidth="1"/>
    <col min="259" max="259" width="14.375" style="3461" customWidth="1"/>
    <col min="260" max="260" width="11.125" style="3461" customWidth="1"/>
    <col min="261" max="261" width="14.375" style="3461" customWidth="1"/>
    <col min="262" max="262" width="16.5" style="3461" customWidth="1"/>
    <col min="263" max="512" width="9" style="3461"/>
    <col min="513" max="514" width="11.125" style="3461" customWidth="1"/>
    <col min="515" max="515" width="14.375" style="3461" customWidth="1"/>
    <col min="516" max="516" width="11.125" style="3461" customWidth="1"/>
    <col min="517" max="517" width="14.375" style="3461" customWidth="1"/>
    <col min="518" max="518" width="16.5" style="3461" customWidth="1"/>
    <col min="519" max="768" width="9" style="3461"/>
    <col min="769" max="770" width="11.125" style="3461" customWidth="1"/>
    <col min="771" max="771" width="14.375" style="3461" customWidth="1"/>
    <col min="772" max="772" width="11.125" style="3461" customWidth="1"/>
    <col min="773" max="773" width="14.375" style="3461" customWidth="1"/>
    <col min="774" max="774" width="16.5" style="3461" customWidth="1"/>
    <col min="775" max="1024" width="9" style="3461"/>
    <col min="1025" max="1026" width="11.125" style="3461" customWidth="1"/>
    <col min="1027" max="1027" width="14.375" style="3461" customWidth="1"/>
    <col min="1028" max="1028" width="11.125" style="3461" customWidth="1"/>
    <col min="1029" max="1029" width="14.375" style="3461" customWidth="1"/>
    <col min="1030" max="1030" width="16.5" style="3461" customWidth="1"/>
    <col min="1031" max="1280" width="9" style="3461"/>
    <col min="1281" max="1282" width="11.125" style="3461" customWidth="1"/>
    <col min="1283" max="1283" width="14.375" style="3461" customWidth="1"/>
    <col min="1284" max="1284" width="11.125" style="3461" customWidth="1"/>
    <col min="1285" max="1285" width="14.375" style="3461" customWidth="1"/>
    <col min="1286" max="1286" width="16.5" style="3461" customWidth="1"/>
    <col min="1287" max="1536" width="9" style="3461"/>
    <col min="1537" max="1538" width="11.125" style="3461" customWidth="1"/>
    <col min="1539" max="1539" width="14.375" style="3461" customWidth="1"/>
    <col min="1540" max="1540" width="11.125" style="3461" customWidth="1"/>
    <col min="1541" max="1541" width="14.375" style="3461" customWidth="1"/>
    <col min="1542" max="1542" width="16.5" style="3461" customWidth="1"/>
    <col min="1543" max="1792" width="9" style="3461"/>
    <col min="1793" max="1794" width="11.125" style="3461" customWidth="1"/>
    <col min="1795" max="1795" width="14.375" style="3461" customWidth="1"/>
    <col min="1796" max="1796" width="11.125" style="3461" customWidth="1"/>
    <col min="1797" max="1797" width="14.375" style="3461" customWidth="1"/>
    <col min="1798" max="1798" width="16.5" style="3461" customWidth="1"/>
    <col min="1799" max="2048" width="9" style="3461"/>
    <col min="2049" max="2050" width="11.125" style="3461" customWidth="1"/>
    <col min="2051" max="2051" width="14.375" style="3461" customWidth="1"/>
    <col min="2052" max="2052" width="11.125" style="3461" customWidth="1"/>
    <col min="2053" max="2053" width="14.375" style="3461" customWidth="1"/>
    <col min="2054" max="2054" width="16.5" style="3461" customWidth="1"/>
    <col min="2055" max="2304" width="9" style="3461"/>
    <col min="2305" max="2306" width="11.125" style="3461" customWidth="1"/>
    <col min="2307" max="2307" width="14.375" style="3461" customWidth="1"/>
    <col min="2308" max="2308" width="11.125" style="3461" customWidth="1"/>
    <col min="2309" max="2309" width="14.375" style="3461" customWidth="1"/>
    <col min="2310" max="2310" width="16.5" style="3461" customWidth="1"/>
    <col min="2311" max="2560" width="9" style="3461"/>
    <col min="2561" max="2562" width="11.125" style="3461" customWidth="1"/>
    <col min="2563" max="2563" width="14.375" style="3461" customWidth="1"/>
    <col min="2564" max="2564" width="11.125" style="3461" customWidth="1"/>
    <col min="2565" max="2565" width="14.375" style="3461" customWidth="1"/>
    <col min="2566" max="2566" width="16.5" style="3461" customWidth="1"/>
    <col min="2567" max="2816" width="9" style="3461"/>
    <col min="2817" max="2818" width="11.125" style="3461" customWidth="1"/>
    <col min="2819" max="2819" width="14.375" style="3461" customWidth="1"/>
    <col min="2820" max="2820" width="11.125" style="3461" customWidth="1"/>
    <col min="2821" max="2821" width="14.375" style="3461" customWidth="1"/>
    <col min="2822" max="2822" width="16.5" style="3461" customWidth="1"/>
    <col min="2823" max="3072" width="9" style="3461"/>
    <col min="3073" max="3074" width="11.125" style="3461" customWidth="1"/>
    <col min="3075" max="3075" width="14.375" style="3461" customWidth="1"/>
    <col min="3076" max="3076" width="11.125" style="3461" customWidth="1"/>
    <col min="3077" max="3077" width="14.375" style="3461" customWidth="1"/>
    <col min="3078" max="3078" width="16.5" style="3461" customWidth="1"/>
    <col min="3079" max="3328" width="9" style="3461"/>
    <col min="3329" max="3330" width="11.125" style="3461" customWidth="1"/>
    <col min="3331" max="3331" width="14.375" style="3461" customWidth="1"/>
    <col min="3332" max="3332" width="11.125" style="3461" customWidth="1"/>
    <col min="3333" max="3333" width="14.375" style="3461" customWidth="1"/>
    <col min="3334" max="3334" width="16.5" style="3461" customWidth="1"/>
    <col min="3335" max="3584" width="9" style="3461"/>
    <col min="3585" max="3586" width="11.125" style="3461" customWidth="1"/>
    <col min="3587" max="3587" width="14.375" style="3461" customWidth="1"/>
    <col min="3588" max="3588" width="11.125" style="3461" customWidth="1"/>
    <col min="3589" max="3589" width="14.375" style="3461" customWidth="1"/>
    <col min="3590" max="3590" width="16.5" style="3461" customWidth="1"/>
    <col min="3591" max="3840" width="9" style="3461"/>
    <col min="3841" max="3842" width="11.125" style="3461" customWidth="1"/>
    <col min="3843" max="3843" width="14.375" style="3461" customWidth="1"/>
    <col min="3844" max="3844" width="11.125" style="3461" customWidth="1"/>
    <col min="3845" max="3845" width="14.375" style="3461" customWidth="1"/>
    <col min="3846" max="3846" width="16.5" style="3461" customWidth="1"/>
    <col min="3847" max="4096" width="9" style="3461"/>
    <col min="4097" max="4098" width="11.125" style="3461" customWidth="1"/>
    <col min="4099" max="4099" width="14.375" style="3461" customWidth="1"/>
    <col min="4100" max="4100" width="11.125" style="3461" customWidth="1"/>
    <col min="4101" max="4101" width="14.375" style="3461" customWidth="1"/>
    <col min="4102" max="4102" width="16.5" style="3461" customWidth="1"/>
    <col min="4103" max="4352" width="9" style="3461"/>
    <col min="4353" max="4354" width="11.125" style="3461" customWidth="1"/>
    <col min="4355" max="4355" width="14.375" style="3461" customWidth="1"/>
    <col min="4356" max="4356" width="11.125" style="3461" customWidth="1"/>
    <col min="4357" max="4357" width="14.375" style="3461" customWidth="1"/>
    <col min="4358" max="4358" width="16.5" style="3461" customWidth="1"/>
    <col min="4359" max="4608" width="9" style="3461"/>
    <col min="4609" max="4610" width="11.125" style="3461" customWidth="1"/>
    <col min="4611" max="4611" width="14.375" style="3461" customWidth="1"/>
    <col min="4612" max="4612" width="11.125" style="3461" customWidth="1"/>
    <col min="4613" max="4613" width="14.375" style="3461" customWidth="1"/>
    <col min="4614" max="4614" width="16.5" style="3461" customWidth="1"/>
    <col min="4615" max="4864" width="9" style="3461"/>
    <col min="4865" max="4866" width="11.125" style="3461" customWidth="1"/>
    <col min="4867" max="4867" width="14.375" style="3461" customWidth="1"/>
    <col min="4868" max="4868" width="11.125" style="3461" customWidth="1"/>
    <col min="4869" max="4869" width="14.375" style="3461" customWidth="1"/>
    <col min="4870" max="4870" width="16.5" style="3461" customWidth="1"/>
    <col min="4871" max="5120" width="9" style="3461"/>
    <col min="5121" max="5122" width="11.125" style="3461" customWidth="1"/>
    <col min="5123" max="5123" width="14.375" style="3461" customWidth="1"/>
    <col min="5124" max="5124" width="11.125" style="3461" customWidth="1"/>
    <col min="5125" max="5125" width="14.375" style="3461" customWidth="1"/>
    <col min="5126" max="5126" width="16.5" style="3461" customWidth="1"/>
    <col min="5127" max="5376" width="9" style="3461"/>
    <col min="5377" max="5378" width="11.125" style="3461" customWidth="1"/>
    <col min="5379" max="5379" width="14.375" style="3461" customWidth="1"/>
    <col min="5380" max="5380" width="11.125" style="3461" customWidth="1"/>
    <col min="5381" max="5381" width="14.375" style="3461" customWidth="1"/>
    <col min="5382" max="5382" width="16.5" style="3461" customWidth="1"/>
    <col min="5383" max="5632" width="9" style="3461"/>
    <col min="5633" max="5634" width="11.125" style="3461" customWidth="1"/>
    <col min="5635" max="5635" width="14.375" style="3461" customWidth="1"/>
    <col min="5636" max="5636" width="11.125" style="3461" customWidth="1"/>
    <col min="5637" max="5637" width="14.375" style="3461" customWidth="1"/>
    <col min="5638" max="5638" width="16.5" style="3461" customWidth="1"/>
    <col min="5639" max="5888" width="9" style="3461"/>
    <col min="5889" max="5890" width="11.125" style="3461" customWidth="1"/>
    <col min="5891" max="5891" width="14.375" style="3461" customWidth="1"/>
    <col min="5892" max="5892" width="11.125" style="3461" customWidth="1"/>
    <col min="5893" max="5893" width="14.375" style="3461" customWidth="1"/>
    <col min="5894" max="5894" width="16.5" style="3461" customWidth="1"/>
    <col min="5895" max="6144" width="9" style="3461"/>
    <col min="6145" max="6146" width="11.125" style="3461" customWidth="1"/>
    <col min="6147" max="6147" width="14.375" style="3461" customWidth="1"/>
    <col min="6148" max="6148" width="11.125" style="3461" customWidth="1"/>
    <col min="6149" max="6149" width="14.375" style="3461" customWidth="1"/>
    <col min="6150" max="6150" width="16.5" style="3461" customWidth="1"/>
    <col min="6151" max="6400" width="9" style="3461"/>
    <col min="6401" max="6402" width="11.125" style="3461" customWidth="1"/>
    <col min="6403" max="6403" width="14.375" style="3461" customWidth="1"/>
    <col min="6404" max="6404" width="11.125" style="3461" customWidth="1"/>
    <col min="6405" max="6405" width="14.375" style="3461" customWidth="1"/>
    <col min="6406" max="6406" width="16.5" style="3461" customWidth="1"/>
    <col min="6407" max="6656" width="9" style="3461"/>
    <col min="6657" max="6658" width="11.125" style="3461" customWidth="1"/>
    <col min="6659" max="6659" width="14.375" style="3461" customWidth="1"/>
    <col min="6660" max="6660" width="11.125" style="3461" customWidth="1"/>
    <col min="6661" max="6661" width="14.375" style="3461" customWidth="1"/>
    <col min="6662" max="6662" width="16.5" style="3461" customWidth="1"/>
    <col min="6663" max="6912" width="9" style="3461"/>
    <col min="6913" max="6914" width="11.125" style="3461" customWidth="1"/>
    <col min="6915" max="6915" width="14.375" style="3461" customWidth="1"/>
    <col min="6916" max="6916" width="11.125" style="3461" customWidth="1"/>
    <col min="6917" max="6917" width="14.375" style="3461" customWidth="1"/>
    <col min="6918" max="6918" width="16.5" style="3461" customWidth="1"/>
    <col min="6919" max="7168" width="9" style="3461"/>
    <col min="7169" max="7170" width="11.125" style="3461" customWidth="1"/>
    <col min="7171" max="7171" width="14.375" style="3461" customWidth="1"/>
    <col min="7172" max="7172" width="11.125" style="3461" customWidth="1"/>
    <col min="7173" max="7173" width="14.375" style="3461" customWidth="1"/>
    <col min="7174" max="7174" width="16.5" style="3461" customWidth="1"/>
    <col min="7175" max="7424" width="9" style="3461"/>
    <col min="7425" max="7426" width="11.125" style="3461" customWidth="1"/>
    <col min="7427" max="7427" width="14.375" style="3461" customWidth="1"/>
    <col min="7428" max="7428" width="11.125" style="3461" customWidth="1"/>
    <col min="7429" max="7429" width="14.375" style="3461" customWidth="1"/>
    <col min="7430" max="7430" width="16.5" style="3461" customWidth="1"/>
    <col min="7431" max="7680" width="9" style="3461"/>
    <col min="7681" max="7682" width="11.125" style="3461" customWidth="1"/>
    <col min="7683" max="7683" width="14.375" style="3461" customWidth="1"/>
    <col min="7684" max="7684" width="11.125" style="3461" customWidth="1"/>
    <col min="7685" max="7685" width="14.375" style="3461" customWidth="1"/>
    <col min="7686" max="7686" width="16.5" style="3461" customWidth="1"/>
    <col min="7687" max="7936" width="9" style="3461"/>
    <col min="7937" max="7938" width="11.125" style="3461" customWidth="1"/>
    <col min="7939" max="7939" width="14.375" style="3461" customWidth="1"/>
    <col min="7940" max="7940" width="11.125" style="3461" customWidth="1"/>
    <col min="7941" max="7941" width="14.375" style="3461" customWidth="1"/>
    <col min="7942" max="7942" width="16.5" style="3461" customWidth="1"/>
    <col min="7943" max="8192" width="9" style="3461"/>
    <col min="8193" max="8194" width="11.125" style="3461" customWidth="1"/>
    <col min="8195" max="8195" width="14.375" style="3461" customWidth="1"/>
    <col min="8196" max="8196" width="11.125" style="3461" customWidth="1"/>
    <col min="8197" max="8197" width="14.375" style="3461" customWidth="1"/>
    <col min="8198" max="8198" width="16.5" style="3461" customWidth="1"/>
    <col min="8199" max="8448" width="9" style="3461"/>
    <col min="8449" max="8450" width="11.125" style="3461" customWidth="1"/>
    <col min="8451" max="8451" width="14.375" style="3461" customWidth="1"/>
    <col min="8452" max="8452" width="11.125" style="3461" customWidth="1"/>
    <col min="8453" max="8453" width="14.375" style="3461" customWidth="1"/>
    <col min="8454" max="8454" width="16.5" style="3461" customWidth="1"/>
    <col min="8455" max="8704" width="9" style="3461"/>
    <col min="8705" max="8706" width="11.125" style="3461" customWidth="1"/>
    <col min="8707" max="8707" width="14.375" style="3461" customWidth="1"/>
    <col min="8708" max="8708" width="11.125" style="3461" customWidth="1"/>
    <col min="8709" max="8709" width="14.375" style="3461" customWidth="1"/>
    <col min="8710" max="8710" width="16.5" style="3461" customWidth="1"/>
    <col min="8711" max="8960" width="9" style="3461"/>
    <col min="8961" max="8962" width="11.125" style="3461" customWidth="1"/>
    <col min="8963" max="8963" width="14.375" style="3461" customWidth="1"/>
    <col min="8964" max="8964" width="11.125" style="3461" customWidth="1"/>
    <col min="8965" max="8965" width="14.375" style="3461" customWidth="1"/>
    <col min="8966" max="8966" width="16.5" style="3461" customWidth="1"/>
    <col min="8967" max="9216" width="9" style="3461"/>
    <col min="9217" max="9218" width="11.125" style="3461" customWidth="1"/>
    <col min="9219" max="9219" width="14.375" style="3461" customWidth="1"/>
    <col min="9220" max="9220" width="11.125" style="3461" customWidth="1"/>
    <col min="9221" max="9221" width="14.375" style="3461" customWidth="1"/>
    <col min="9222" max="9222" width="16.5" style="3461" customWidth="1"/>
    <col min="9223" max="9472" width="9" style="3461"/>
    <col min="9473" max="9474" width="11.125" style="3461" customWidth="1"/>
    <col min="9475" max="9475" width="14.375" style="3461" customWidth="1"/>
    <col min="9476" max="9476" width="11.125" style="3461" customWidth="1"/>
    <col min="9477" max="9477" width="14.375" style="3461" customWidth="1"/>
    <col min="9478" max="9478" width="16.5" style="3461" customWidth="1"/>
    <col min="9479" max="9728" width="9" style="3461"/>
    <col min="9729" max="9730" width="11.125" style="3461" customWidth="1"/>
    <col min="9731" max="9731" width="14.375" style="3461" customWidth="1"/>
    <col min="9732" max="9732" width="11.125" style="3461" customWidth="1"/>
    <col min="9733" max="9733" width="14.375" style="3461" customWidth="1"/>
    <col min="9734" max="9734" width="16.5" style="3461" customWidth="1"/>
    <col min="9735" max="9984" width="9" style="3461"/>
    <col min="9985" max="9986" width="11.125" style="3461" customWidth="1"/>
    <col min="9987" max="9987" width="14.375" style="3461" customWidth="1"/>
    <col min="9988" max="9988" width="11.125" style="3461" customWidth="1"/>
    <col min="9989" max="9989" width="14.375" style="3461" customWidth="1"/>
    <col min="9990" max="9990" width="16.5" style="3461" customWidth="1"/>
    <col min="9991" max="10240" width="9" style="3461"/>
    <col min="10241" max="10242" width="11.125" style="3461" customWidth="1"/>
    <col min="10243" max="10243" width="14.375" style="3461" customWidth="1"/>
    <col min="10244" max="10244" width="11.125" style="3461" customWidth="1"/>
    <col min="10245" max="10245" width="14.375" style="3461" customWidth="1"/>
    <col min="10246" max="10246" width="16.5" style="3461" customWidth="1"/>
    <col min="10247" max="10496" width="9" style="3461"/>
    <col min="10497" max="10498" width="11.125" style="3461" customWidth="1"/>
    <col min="10499" max="10499" width="14.375" style="3461" customWidth="1"/>
    <col min="10500" max="10500" width="11.125" style="3461" customWidth="1"/>
    <col min="10501" max="10501" width="14.375" style="3461" customWidth="1"/>
    <col min="10502" max="10502" width="16.5" style="3461" customWidth="1"/>
    <col min="10503" max="10752" width="9" style="3461"/>
    <col min="10753" max="10754" width="11.125" style="3461" customWidth="1"/>
    <col min="10755" max="10755" width="14.375" style="3461" customWidth="1"/>
    <col min="10756" max="10756" width="11.125" style="3461" customWidth="1"/>
    <col min="10757" max="10757" width="14.375" style="3461" customWidth="1"/>
    <col min="10758" max="10758" width="16.5" style="3461" customWidth="1"/>
    <col min="10759" max="11008" width="9" style="3461"/>
    <col min="11009" max="11010" width="11.125" style="3461" customWidth="1"/>
    <col min="11011" max="11011" width="14.375" style="3461" customWidth="1"/>
    <col min="11012" max="11012" width="11.125" style="3461" customWidth="1"/>
    <col min="11013" max="11013" width="14.375" style="3461" customWidth="1"/>
    <col min="11014" max="11014" width="16.5" style="3461" customWidth="1"/>
    <col min="11015" max="11264" width="9" style="3461"/>
    <col min="11265" max="11266" width="11.125" style="3461" customWidth="1"/>
    <col min="11267" max="11267" width="14.375" style="3461" customWidth="1"/>
    <col min="11268" max="11268" width="11.125" style="3461" customWidth="1"/>
    <col min="11269" max="11269" width="14.375" style="3461" customWidth="1"/>
    <col min="11270" max="11270" width="16.5" style="3461" customWidth="1"/>
    <col min="11271" max="11520" width="9" style="3461"/>
    <col min="11521" max="11522" width="11.125" style="3461" customWidth="1"/>
    <col min="11523" max="11523" width="14.375" style="3461" customWidth="1"/>
    <col min="11524" max="11524" width="11.125" style="3461" customWidth="1"/>
    <col min="11525" max="11525" width="14.375" style="3461" customWidth="1"/>
    <col min="11526" max="11526" width="16.5" style="3461" customWidth="1"/>
    <col min="11527" max="11776" width="9" style="3461"/>
    <col min="11777" max="11778" width="11.125" style="3461" customWidth="1"/>
    <col min="11779" max="11779" width="14.375" style="3461" customWidth="1"/>
    <col min="11780" max="11780" width="11.125" style="3461" customWidth="1"/>
    <col min="11781" max="11781" width="14.375" style="3461" customWidth="1"/>
    <col min="11782" max="11782" width="16.5" style="3461" customWidth="1"/>
    <col min="11783" max="12032" width="9" style="3461"/>
    <col min="12033" max="12034" width="11.125" style="3461" customWidth="1"/>
    <col min="12035" max="12035" width="14.375" style="3461" customWidth="1"/>
    <col min="12036" max="12036" width="11.125" style="3461" customWidth="1"/>
    <col min="12037" max="12037" width="14.375" style="3461" customWidth="1"/>
    <col min="12038" max="12038" width="16.5" style="3461" customWidth="1"/>
    <col min="12039" max="12288" width="9" style="3461"/>
    <col min="12289" max="12290" width="11.125" style="3461" customWidth="1"/>
    <col min="12291" max="12291" width="14.375" style="3461" customWidth="1"/>
    <col min="12292" max="12292" width="11.125" style="3461" customWidth="1"/>
    <col min="12293" max="12293" width="14.375" style="3461" customWidth="1"/>
    <col min="12294" max="12294" width="16.5" style="3461" customWidth="1"/>
    <col min="12295" max="12544" width="9" style="3461"/>
    <col min="12545" max="12546" width="11.125" style="3461" customWidth="1"/>
    <col min="12547" max="12547" width="14.375" style="3461" customWidth="1"/>
    <col min="12548" max="12548" width="11.125" style="3461" customWidth="1"/>
    <col min="12549" max="12549" width="14.375" style="3461" customWidth="1"/>
    <col min="12550" max="12550" width="16.5" style="3461" customWidth="1"/>
    <col min="12551" max="12800" width="9" style="3461"/>
    <col min="12801" max="12802" width="11.125" style="3461" customWidth="1"/>
    <col min="12803" max="12803" width="14.375" style="3461" customWidth="1"/>
    <col min="12804" max="12804" width="11.125" style="3461" customWidth="1"/>
    <col min="12805" max="12805" width="14.375" style="3461" customWidth="1"/>
    <col min="12806" max="12806" width="16.5" style="3461" customWidth="1"/>
    <col min="12807" max="13056" width="9" style="3461"/>
    <col min="13057" max="13058" width="11.125" style="3461" customWidth="1"/>
    <col min="13059" max="13059" width="14.375" style="3461" customWidth="1"/>
    <col min="13060" max="13060" width="11.125" style="3461" customWidth="1"/>
    <col min="13061" max="13061" width="14.375" style="3461" customWidth="1"/>
    <col min="13062" max="13062" width="16.5" style="3461" customWidth="1"/>
    <col min="13063" max="13312" width="9" style="3461"/>
    <col min="13313" max="13314" width="11.125" style="3461" customWidth="1"/>
    <col min="13315" max="13315" width="14.375" style="3461" customWidth="1"/>
    <col min="13316" max="13316" width="11.125" style="3461" customWidth="1"/>
    <col min="13317" max="13317" width="14.375" style="3461" customWidth="1"/>
    <col min="13318" max="13318" width="16.5" style="3461" customWidth="1"/>
    <col min="13319" max="13568" width="9" style="3461"/>
    <col min="13569" max="13570" width="11.125" style="3461" customWidth="1"/>
    <col min="13571" max="13571" width="14.375" style="3461" customWidth="1"/>
    <col min="13572" max="13572" width="11.125" style="3461" customWidth="1"/>
    <col min="13573" max="13573" width="14.375" style="3461" customWidth="1"/>
    <col min="13574" max="13574" width="16.5" style="3461" customWidth="1"/>
    <col min="13575" max="13824" width="9" style="3461"/>
    <col min="13825" max="13826" width="11.125" style="3461" customWidth="1"/>
    <col min="13827" max="13827" width="14.375" style="3461" customWidth="1"/>
    <col min="13828" max="13828" width="11.125" style="3461" customWidth="1"/>
    <col min="13829" max="13829" width="14.375" style="3461" customWidth="1"/>
    <col min="13830" max="13830" width="16.5" style="3461" customWidth="1"/>
    <col min="13831" max="14080" width="9" style="3461"/>
    <col min="14081" max="14082" width="11.125" style="3461" customWidth="1"/>
    <col min="14083" max="14083" width="14.375" style="3461" customWidth="1"/>
    <col min="14084" max="14084" width="11.125" style="3461" customWidth="1"/>
    <col min="14085" max="14085" width="14.375" style="3461" customWidth="1"/>
    <col min="14086" max="14086" width="16.5" style="3461" customWidth="1"/>
    <col min="14087" max="14336" width="9" style="3461"/>
    <col min="14337" max="14338" width="11.125" style="3461" customWidth="1"/>
    <col min="14339" max="14339" width="14.375" style="3461" customWidth="1"/>
    <col min="14340" max="14340" width="11.125" style="3461" customWidth="1"/>
    <col min="14341" max="14341" width="14.375" style="3461" customWidth="1"/>
    <col min="14342" max="14342" width="16.5" style="3461" customWidth="1"/>
    <col min="14343" max="14592" width="9" style="3461"/>
    <col min="14593" max="14594" width="11.125" style="3461" customWidth="1"/>
    <col min="14595" max="14595" width="14.375" style="3461" customWidth="1"/>
    <col min="14596" max="14596" width="11.125" style="3461" customWidth="1"/>
    <col min="14597" max="14597" width="14.375" style="3461" customWidth="1"/>
    <col min="14598" max="14598" width="16.5" style="3461" customWidth="1"/>
    <col min="14599" max="14848" width="9" style="3461"/>
    <col min="14849" max="14850" width="11.125" style="3461" customWidth="1"/>
    <col min="14851" max="14851" width="14.375" style="3461" customWidth="1"/>
    <col min="14852" max="14852" width="11.125" style="3461" customWidth="1"/>
    <col min="14853" max="14853" width="14.375" style="3461" customWidth="1"/>
    <col min="14854" max="14854" width="16.5" style="3461" customWidth="1"/>
    <col min="14855" max="15104" width="9" style="3461"/>
    <col min="15105" max="15106" width="11.125" style="3461" customWidth="1"/>
    <col min="15107" max="15107" width="14.375" style="3461" customWidth="1"/>
    <col min="15108" max="15108" width="11.125" style="3461" customWidth="1"/>
    <col min="15109" max="15109" width="14.375" style="3461" customWidth="1"/>
    <col min="15110" max="15110" width="16.5" style="3461" customWidth="1"/>
    <col min="15111" max="15360" width="9" style="3461"/>
    <col min="15361" max="15362" width="11.125" style="3461" customWidth="1"/>
    <col min="15363" max="15363" width="14.375" style="3461" customWidth="1"/>
    <col min="15364" max="15364" width="11.125" style="3461" customWidth="1"/>
    <col min="15365" max="15365" width="14.375" style="3461" customWidth="1"/>
    <col min="15366" max="15366" width="16.5" style="3461" customWidth="1"/>
    <col min="15367" max="15616" width="9" style="3461"/>
    <col min="15617" max="15618" width="11.125" style="3461" customWidth="1"/>
    <col min="15619" max="15619" width="14.375" style="3461" customWidth="1"/>
    <col min="15620" max="15620" width="11.125" style="3461" customWidth="1"/>
    <col min="15621" max="15621" width="14.375" style="3461" customWidth="1"/>
    <col min="15622" max="15622" width="16.5" style="3461" customWidth="1"/>
    <col min="15623" max="15872" width="9" style="3461"/>
    <col min="15873" max="15874" width="11.125" style="3461" customWidth="1"/>
    <col min="15875" max="15875" width="14.375" style="3461" customWidth="1"/>
    <col min="15876" max="15876" width="11.125" style="3461" customWidth="1"/>
    <col min="15877" max="15877" width="14.375" style="3461" customWidth="1"/>
    <col min="15878" max="15878" width="16.5" style="3461" customWidth="1"/>
    <col min="15879" max="16128" width="9" style="3461"/>
    <col min="16129" max="16130" width="11.125" style="3461" customWidth="1"/>
    <col min="16131" max="16131" width="14.375" style="3461" customWidth="1"/>
    <col min="16132" max="16132" width="11.125" style="3461" customWidth="1"/>
    <col min="16133" max="16133" width="14.375" style="3461" customWidth="1"/>
    <col min="16134" max="16134" width="16.5" style="3461" customWidth="1"/>
    <col min="16135" max="16384" width="9" style="3461"/>
  </cols>
  <sheetData>
    <row r="1" spans="1:6" ht="34.5" customHeight="1">
      <c r="A1" s="3543" t="s">
        <v>3379</v>
      </c>
      <c r="B1" s="3543"/>
      <c r="C1" s="3543"/>
      <c r="D1" s="3543"/>
      <c r="E1" s="3543"/>
      <c r="F1" s="3543"/>
    </row>
    <row r="2" spans="1:6" s="3465" customFormat="1" ht="33.75" customHeight="1">
      <c r="A2" s="3462" t="s">
        <v>3380</v>
      </c>
      <c r="B2" s="3462" t="s">
        <v>3381</v>
      </c>
      <c r="C2" s="3463" t="s">
        <v>3382</v>
      </c>
      <c r="D2" s="3464" t="s">
        <v>3383</v>
      </c>
      <c r="E2" s="3464" t="s">
        <v>3384</v>
      </c>
      <c r="F2" s="3464" t="s">
        <v>3385</v>
      </c>
    </row>
    <row r="3" spans="1:6" s="3470" customFormat="1" ht="13.5" customHeight="1">
      <c r="A3" s="3466">
        <v>1</v>
      </c>
      <c r="B3" s="3467" t="s">
        <v>3386</v>
      </c>
      <c r="C3" s="3466" t="s">
        <v>3387</v>
      </c>
      <c r="D3" s="3468" t="s">
        <v>3388</v>
      </c>
      <c r="E3" s="3469">
        <v>101</v>
      </c>
      <c r="F3" s="3469">
        <v>91353.25</v>
      </c>
    </row>
    <row r="4" spans="1:6" s="3470" customFormat="1" ht="13.5" customHeight="1">
      <c r="A4" s="3466">
        <v>2</v>
      </c>
      <c r="B4" s="3467" t="s">
        <v>3389</v>
      </c>
      <c r="C4" s="3466" t="s">
        <v>3390</v>
      </c>
      <c r="D4" s="3466">
        <v>-4</v>
      </c>
      <c r="E4" s="3471" t="s">
        <v>3391</v>
      </c>
      <c r="F4" s="3472">
        <v>45.73</v>
      </c>
    </row>
    <row r="5" spans="1:6" s="3470" customFormat="1" ht="13.5" customHeight="1">
      <c r="A5" s="3466">
        <v>3</v>
      </c>
      <c r="B5" s="3467" t="s">
        <v>3389</v>
      </c>
      <c r="C5" s="3466" t="s">
        <v>3390</v>
      </c>
      <c r="D5" s="3466">
        <v>-4</v>
      </c>
      <c r="E5" s="3471" t="s">
        <v>3392</v>
      </c>
      <c r="F5" s="3472">
        <v>45.73</v>
      </c>
    </row>
    <row r="6" spans="1:6" s="3470" customFormat="1" ht="13.5" customHeight="1">
      <c r="A6" s="3466">
        <v>4</v>
      </c>
      <c r="B6" s="3467" t="s">
        <v>3389</v>
      </c>
      <c r="C6" s="3466" t="s">
        <v>3390</v>
      </c>
      <c r="D6" s="3466">
        <v>-4</v>
      </c>
      <c r="E6" s="3471" t="s">
        <v>3393</v>
      </c>
      <c r="F6" s="3472">
        <v>45.73</v>
      </c>
    </row>
    <row r="7" spans="1:6" s="3470" customFormat="1" ht="13.5" customHeight="1">
      <c r="A7" s="3466">
        <v>5</v>
      </c>
      <c r="B7" s="3467" t="s">
        <v>3389</v>
      </c>
      <c r="C7" s="3466" t="s">
        <v>3390</v>
      </c>
      <c r="D7" s="3466">
        <v>-4</v>
      </c>
      <c r="E7" s="3471" t="s">
        <v>3394</v>
      </c>
      <c r="F7" s="3472">
        <v>45.73</v>
      </c>
    </row>
    <row r="8" spans="1:6" s="3470" customFormat="1" ht="13.5" customHeight="1">
      <c r="A8" s="3466">
        <v>6</v>
      </c>
      <c r="B8" s="3467" t="s">
        <v>3389</v>
      </c>
      <c r="C8" s="3466" t="s">
        <v>3390</v>
      </c>
      <c r="D8" s="3466">
        <v>-4</v>
      </c>
      <c r="E8" s="3471" t="s">
        <v>3395</v>
      </c>
      <c r="F8" s="3472">
        <v>45.73</v>
      </c>
    </row>
    <row r="9" spans="1:6" s="3470" customFormat="1" ht="13.5" customHeight="1">
      <c r="A9" s="3466">
        <v>7</v>
      </c>
      <c r="B9" s="3467" t="s">
        <v>3389</v>
      </c>
      <c r="C9" s="3466" t="s">
        <v>3390</v>
      </c>
      <c r="D9" s="3466">
        <v>-4</v>
      </c>
      <c r="E9" s="3471" t="s">
        <v>3396</v>
      </c>
      <c r="F9" s="3472">
        <v>45.73</v>
      </c>
    </row>
    <row r="10" spans="1:6" s="3470" customFormat="1" ht="13.5" customHeight="1">
      <c r="A10" s="3466">
        <v>8</v>
      </c>
      <c r="B10" s="3467" t="s">
        <v>3389</v>
      </c>
      <c r="C10" s="3466" t="s">
        <v>3390</v>
      </c>
      <c r="D10" s="3466">
        <v>-4</v>
      </c>
      <c r="E10" s="3471" t="s">
        <v>3397</v>
      </c>
      <c r="F10" s="3472">
        <v>45.73</v>
      </c>
    </row>
    <row r="11" spans="1:6" s="3470" customFormat="1" ht="13.5" customHeight="1">
      <c r="A11" s="3466">
        <v>9</v>
      </c>
      <c r="B11" s="3467" t="s">
        <v>3389</v>
      </c>
      <c r="C11" s="3466" t="s">
        <v>3390</v>
      </c>
      <c r="D11" s="3466">
        <v>-4</v>
      </c>
      <c r="E11" s="3471" t="s">
        <v>3398</v>
      </c>
      <c r="F11" s="3472">
        <v>45.73</v>
      </c>
    </row>
    <row r="12" spans="1:6" s="3470" customFormat="1" ht="13.5" customHeight="1">
      <c r="A12" s="3466">
        <v>10</v>
      </c>
      <c r="B12" s="3467" t="s">
        <v>3389</v>
      </c>
      <c r="C12" s="3466" t="s">
        <v>3390</v>
      </c>
      <c r="D12" s="3466">
        <v>-4</v>
      </c>
      <c r="E12" s="3471" t="s">
        <v>3399</v>
      </c>
      <c r="F12" s="3472">
        <v>45.73</v>
      </c>
    </row>
    <row r="13" spans="1:6" s="3470" customFormat="1" ht="13.5" customHeight="1">
      <c r="A13" s="3466">
        <v>11</v>
      </c>
      <c r="B13" s="3467" t="s">
        <v>3389</v>
      </c>
      <c r="C13" s="3466" t="s">
        <v>3390</v>
      </c>
      <c r="D13" s="3466">
        <v>-4</v>
      </c>
      <c r="E13" s="3471" t="s">
        <v>3400</v>
      </c>
      <c r="F13" s="3472">
        <v>45.73</v>
      </c>
    </row>
    <row r="14" spans="1:6" s="3470" customFormat="1" ht="13.5" customHeight="1">
      <c r="A14" s="3466">
        <v>12</v>
      </c>
      <c r="B14" s="3467" t="s">
        <v>3389</v>
      </c>
      <c r="C14" s="3466" t="s">
        <v>3390</v>
      </c>
      <c r="D14" s="3466">
        <v>-4</v>
      </c>
      <c r="E14" s="3471" t="s">
        <v>3401</v>
      </c>
      <c r="F14" s="3472">
        <v>45.73</v>
      </c>
    </row>
    <row r="15" spans="1:6" s="3470" customFormat="1" ht="13.5" customHeight="1">
      <c r="A15" s="3466">
        <v>13</v>
      </c>
      <c r="B15" s="3467" t="s">
        <v>3389</v>
      </c>
      <c r="C15" s="3466" t="s">
        <v>3390</v>
      </c>
      <c r="D15" s="3466">
        <v>-4</v>
      </c>
      <c r="E15" s="3471" t="s">
        <v>3402</v>
      </c>
      <c r="F15" s="3472">
        <v>45.73</v>
      </c>
    </row>
    <row r="16" spans="1:6" s="3470" customFormat="1" ht="13.5" customHeight="1">
      <c r="A16" s="3466">
        <v>14</v>
      </c>
      <c r="B16" s="3467" t="s">
        <v>3389</v>
      </c>
      <c r="C16" s="3466" t="s">
        <v>3390</v>
      </c>
      <c r="D16" s="3466">
        <v>-4</v>
      </c>
      <c r="E16" s="3471" t="s">
        <v>3403</v>
      </c>
      <c r="F16" s="3472">
        <v>45.73</v>
      </c>
    </row>
    <row r="17" spans="1:6" s="3470" customFormat="1" ht="13.5" customHeight="1">
      <c r="A17" s="3466">
        <v>15</v>
      </c>
      <c r="B17" s="3467" t="s">
        <v>3389</v>
      </c>
      <c r="C17" s="3466" t="s">
        <v>3390</v>
      </c>
      <c r="D17" s="3466">
        <v>-4</v>
      </c>
      <c r="E17" s="3471" t="s">
        <v>3404</v>
      </c>
      <c r="F17" s="3472">
        <v>45.73</v>
      </c>
    </row>
    <row r="18" spans="1:6" s="3470" customFormat="1" ht="13.5" customHeight="1">
      <c r="A18" s="3466">
        <v>16</v>
      </c>
      <c r="B18" s="3467" t="s">
        <v>3389</v>
      </c>
      <c r="C18" s="3466" t="s">
        <v>3390</v>
      </c>
      <c r="D18" s="3466">
        <v>-4</v>
      </c>
      <c r="E18" s="3471" t="s">
        <v>3405</v>
      </c>
      <c r="F18" s="3472">
        <v>45.73</v>
      </c>
    </row>
    <row r="19" spans="1:6" s="3470" customFormat="1" ht="13.5" customHeight="1">
      <c r="A19" s="3466">
        <v>17</v>
      </c>
      <c r="B19" s="3467" t="s">
        <v>3389</v>
      </c>
      <c r="C19" s="3466" t="s">
        <v>3390</v>
      </c>
      <c r="D19" s="3466">
        <v>-4</v>
      </c>
      <c r="E19" s="3471" t="s">
        <v>3406</v>
      </c>
      <c r="F19" s="3472">
        <v>45.73</v>
      </c>
    </row>
    <row r="20" spans="1:6" s="3470" customFormat="1" ht="13.5" customHeight="1">
      <c r="A20" s="3466">
        <v>18</v>
      </c>
      <c r="B20" s="3467" t="s">
        <v>3389</v>
      </c>
      <c r="C20" s="3466" t="s">
        <v>3390</v>
      </c>
      <c r="D20" s="3466">
        <v>-4</v>
      </c>
      <c r="E20" s="3471" t="s">
        <v>3407</v>
      </c>
      <c r="F20" s="3472">
        <v>45.73</v>
      </c>
    </row>
    <row r="21" spans="1:6" s="3470" customFormat="1" ht="13.5" customHeight="1">
      <c r="A21" s="3466">
        <v>19</v>
      </c>
      <c r="B21" s="3467" t="s">
        <v>3389</v>
      </c>
      <c r="C21" s="3466" t="s">
        <v>3390</v>
      </c>
      <c r="D21" s="3466">
        <v>-4</v>
      </c>
      <c r="E21" s="3471" t="s">
        <v>3408</v>
      </c>
      <c r="F21" s="3472">
        <v>45.73</v>
      </c>
    </row>
    <row r="22" spans="1:6" s="3470" customFormat="1" ht="13.5" customHeight="1">
      <c r="A22" s="3466">
        <v>20</v>
      </c>
      <c r="B22" s="3467" t="s">
        <v>3389</v>
      </c>
      <c r="C22" s="3466" t="s">
        <v>3390</v>
      </c>
      <c r="D22" s="3466">
        <v>-4</v>
      </c>
      <c r="E22" s="3471" t="s">
        <v>3409</v>
      </c>
      <c r="F22" s="3472">
        <v>45.73</v>
      </c>
    </row>
    <row r="23" spans="1:6" s="3470" customFormat="1" ht="13.5" customHeight="1">
      <c r="A23" s="3466">
        <v>21</v>
      </c>
      <c r="B23" s="3467" t="s">
        <v>3389</v>
      </c>
      <c r="C23" s="3466" t="s">
        <v>3390</v>
      </c>
      <c r="D23" s="3466">
        <v>-4</v>
      </c>
      <c r="E23" s="3471" t="s">
        <v>3410</v>
      </c>
      <c r="F23" s="3472">
        <v>45.73</v>
      </c>
    </row>
    <row r="24" spans="1:6" s="3470" customFormat="1" ht="13.5" customHeight="1">
      <c r="A24" s="3466">
        <v>22</v>
      </c>
      <c r="B24" s="3467" t="s">
        <v>3389</v>
      </c>
      <c r="C24" s="3466" t="s">
        <v>3390</v>
      </c>
      <c r="D24" s="3466">
        <v>-4</v>
      </c>
      <c r="E24" s="3471" t="s">
        <v>3411</v>
      </c>
      <c r="F24" s="3472">
        <v>45.73</v>
      </c>
    </row>
    <row r="25" spans="1:6" s="3470" customFormat="1" ht="13.5" customHeight="1">
      <c r="A25" s="3466">
        <v>23</v>
      </c>
      <c r="B25" s="3467" t="s">
        <v>3389</v>
      </c>
      <c r="C25" s="3466" t="s">
        <v>3390</v>
      </c>
      <c r="D25" s="3466">
        <v>-4</v>
      </c>
      <c r="E25" s="3471" t="s">
        <v>3412</v>
      </c>
      <c r="F25" s="3472">
        <v>45.73</v>
      </c>
    </row>
    <row r="26" spans="1:6" s="3470" customFormat="1" ht="13.5" customHeight="1">
      <c r="A26" s="3466">
        <v>24</v>
      </c>
      <c r="B26" s="3467" t="s">
        <v>3389</v>
      </c>
      <c r="C26" s="3466" t="s">
        <v>3390</v>
      </c>
      <c r="D26" s="3466">
        <v>-4</v>
      </c>
      <c r="E26" s="3471" t="s">
        <v>3413</v>
      </c>
      <c r="F26" s="3472">
        <v>45.73</v>
      </c>
    </row>
    <row r="27" spans="1:6" s="3470" customFormat="1" ht="13.5" customHeight="1">
      <c r="A27" s="3466">
        <v>25</v>
      </c>
      <c r="B27" s="3467" t="s">
        <v>3389</v>
      </c>
      <c r="C27" s="3466" t="s">
        <v>3390</v>
      </c>
      <c r="D27" s="3466">
        <v>-4</v>
      </c>
      <c r="E27" s="3471" t="s">
        <v>3414</v>
      </c>
      <c r="F27" s="3472">
        <v>45.73</v>
      </c>
    </row>
    <row r="28" spans="1:6" s="3470" customFormat="1" ht="13.5" customHeight="1">
      <c r="A28" s="3466">
        <v>26</v>
      </c>
      <c r="B28" s="3467" t="s">
        <v>3389</v>
      </c>
      <c r="C28" s="3466" t="s">
        <v>3390</v>
      </c>
      <c r="D28" s="3466">
        <v>-4</v>
      </c>
      <c r="E28" s="3471" t="s">
        <v>3415</v>
      </c>
      <c r="F28" s="3472">
        <v>45.73</v>
      </c>
    </row>
    <row r="29" spans="1:6" s="3470" customFormat="1" ht="13.5" customHeight="1">
      <c r="A29" s="3466">
        <v>27</v>
      </c>
      <c r="B29" s="3467" t="s">
        <v>3389</v>
      </c>
      <c r="C29" s="3466" t="s">
        <v>3390</v>
      </c>
      <c r="D29" s="3466">
        <v>-4</v>
      </c>
      <c r="E29" s="3471" t="s">
        <v>3416</v>
      </c>
      <c r="F29" s="3472">
        <v>45.73</v>
      </c>
    </row>
    <row r="30" spans="1:6" s="3470" customFormat="1" ht="13.5" customHeight="1">
      <c r="A30" s="3466">
        <v>28</v>
      </c>
      <c r="B30" s="3467" t="s">
        <v>3389</v>
      </c>
      <c r="C30" s="3466" t="s">
        <v>3390</v>
      </c>
      <c r="D30" s="3466">
        <v>-4</v>
      </c>
      <c r="E30" s="3471" t="s">
        <v>3417</v>
      </c>
      <c r="F30" s="3472">
        <v>45.73</v>
      </c>
    </row>
    <row r="31" spans="1:6" s="3470" customFormat="1" ht="13.5" customHeight="1">
      <c r="A31" s="3466">
        <v>29</v>
      </c>
      <c r="B31" s="3467" t="s">
        <v>3389</v>
      </c>
      <c r="C31" s="3466" t="s">
        <v>3390</v>
      </c>
      <c r="D31" s="3466">
        <v>-4</v>
      </c>
      <c r="E31" s="3471" t="s">
        <v>3418</v>
      </c>
      <c r="F31" s="3472">
        <v>45.73</v>
      </c>
    </row>
    <row r="32" spans="1:6" s="3470" customFormat="1" ht="13.5" customHeight="1">
      <c r="A32" s="3466">
        <v>30</v>
      </c>
      <c r="B32" s="3467" t="s">
        <v>3389</v>
      </c>
      <c r="C32" s="3466" t="s">
        <v>3390</v>
      </c>
      <c r="D32" s="3466">
        <v>-4</v>
      </c>
      <c r="E32" s="3471" t="s">
        <v>3419</v>
      </c>
      <c r="F32" s="3472">
        <v>45.73</v>
      </c>
    </row>
    <row r="33" spans="1:6" s="3470" customFormat="1" ht="13.5" customHeight="1">
      <c r="A33" s="3466">
        <v>31</v>
      </c>
      <c r="B33" s="3467" t="s">
        <v>3389</v>
      </c>
      <c r="C33" s="3466" t="s">
        <v>3390</v>
      </c>
      <c r="D33" s="3466">
        <v>-4</v>
      </c>
      <c r="E33" s="3471" t="s">
        <v>3420</v>
      </c>
      <c r="F33" s="3472">
        <v>45.73</v>
      </c>
    </row>
    <row r="34" spans="1:6" s="3470" customFormat="1" ht="13.5" customHeight="1">
      <c r="A34" s="3466">
        <v>32</v>
      </c>
      <c r="B34" s="3467" t="s">
        <v>3389</v>
      </c>
      <c r="C34" s="3466" t="s">
        <v>3390</v>
      </c>
      <c r="D34" s="3466">
        <v>-4</v>
      </c>
      <c r="E34" s="3471" t="s">
        <v>3421</v>
      </c>
      <c r="F34" s="3472">
        <v>45.73</v>
      </c>
    </row>
    <row r="35" spans="1:6" s="3470" customFormat="1" ht="13.5" customHeight="1">
      <c r="A35" s="3466">
        <v>33</v>
      </c>
      <c r="B35" s="3467" t="s">
        <v>3389</v>
      </c>
      <c r="C35" s="3466" t="s">
        <v>3390</v>
      </c>
      <c r="D35" s="3466">
        <v>-4</v>
      </c>
      <c r="E35" s="3471" t="s">
        <v>3422</v>
      </c>
      <c r="F35" s="3472">
        <v>45.73</v>
      </c>
    </row>
    <row r="36" spans="1:6" s="3470" customFormat="1" ht="13.5" customHeight="1">
      <c r="A36" s="3466">
        <v>34</v>
      </c>
      <c r="B36" s="3467" t="s">
        <v>3389</v>
      </c>
      <c r="C36" s="3466" t="s">
        <v>3390</v>
      </c>
      <c r="D36" s="3466">
        <v>-4</v>
      </c>
      <c r="E36" s="3471" t="s">
        <v>3423</v>
      </c>
      <c r="F36" s="3472">
        <v>45.73</v>
      </c>
    </row>
    <row r="37" spans="1:6" s="3470" customFormat="1" ht="13.5" customHeight="1">
      <c r="A37" s="3466">
        <v>35</v>
      </c>
      <c r="B37" s="3467" t="s">
        <v>3389</v>
      </c>
      <c r="C37" s="3466" t="s">
        <v>3390</v>
      </c>
      <c r="D37" s="3466">
        <v>-4</v>
      </c>
      <c r="E37" s="3471" t="s">
        <v>3424</v>
      </c>
      <c r="F37" s="3472">
        <v>45.73</v>
      </c>
    </row>
    <row r="38" spans="1:6" s="3470" customFormat="1" ht="13.5" customHeight="1">
      <c r="A38" s="3466">
        <v>36</v>
      </c>
      <c r="B38" s="3467" t="s">
        <v>3389</v>
      </c>
      <c r="C38" s="3466" t="s">
        <v>3390</v>
      </c>
      <c r="D38" s="3466">
        <v>-4</v>
      </c>
      <c r="E38" s="3471" t="s">
        <v>3425</v>
      </c>
      <c r="F38" s="3472">
        <v>45.73</v>
      </c>
    </row>
    <row r="39" spans="1:6" s="3470" customFormat="1" ht="13.5" customHeight="1">
      <c r="A39" s="3466">
        <v>37</v>
      </c>
      <c r="B39" s="3467" t="s">
        <v>3389</v>
      </c>
      <c r="C39" s="3466" t="s">
        <v>3390</v>
      </c>
      <c r="D39" s="3466">
        <v>-4</v>
      </c>
      <c r="E39" s="3471" t="s">
        <v>3426</v>
      </c>
      <c r="F39" s="3472">
        <v>45.73</v>
      </c>
    </row>
    <row r="40" spans="1:6" s="3470" customFormat="1" ht="13.5" customHeight="1">
      <c r="A40" s="3466">
        <v>38</v>
      </c>
      <c r="B40" s="3467" t="s">
        <v>3389</v>
      </c>
      <c r="C40" s="3466" t="s">
        <v>3390</v>
      </c>
      <c r="D40" s="3466">
        <v>-4</v>
      </c>
      <c r="E40" s="3471" t="s">
        <v>3427</v>
      </c>
      <c r="F40" s="3472">
        <v>45.73</v>
      </c>
    </row>
    <row r="41" spans="1:6" s="3470" customFormat="1" ht="13.5" customHeight="1">
      <c r="A41" s="3466">
        <v>39</v>
      </c>
      <c r="B41" s="3467" t="s">
        <v>3389</v>
      </c>
      <c r="C41" s="3466" t="s">
        <v>3390</v>
      </c>
      <c r="D41" s="3466">
        <v>-4</v>
      </c>
      <c r="E41" s="3471" t="s">
        <v>3428</v>
      </c>
      <c r="F41" s="3472">
        <v>45.73</v>
      </c>
    </row>
    <row r="42" spans="1:6" s="3470" customFormat="1" ht="13.5" customHeight="1">
      <c r="A42" s="3466">
        <v>40</v>
      </c>
      <c r="B42" s="3467" t="s">
        <v>3389</v>
      </c>
      <c r="C42" s="3466" t="s">
        <v>3390</v>
      </c>
      <c r="D42" s="3466">
        <v>-4</v>
      </c>
      <c r="E42" s="3471" t="s">
        <v>3429</v>
      </c>
      <c r="F42" s="3472">
        <v>45.73</v>
      </c>
    </row>
    <row r="43" spans="1:6" s="3470" customFormat="1" ht="13.5" customHeight="1">
      <c r="A43" s="3466">
        <v>41</v>
      </c>
      <c r="B43" s="3467" t="s">
        <v>3389</v>
      </c>
      <c r="C43" s="3466" t="s">
        <v>3390</v>
      </c>
      <c r="D43" s="3466">
        <v>-4</v>
      </c>
      <c r="E43" s="3471" t="s">
        <v>3430</v>
      </c>
      <c r="F43" s="3472">
        <v>45.73</v>
      </c>
    </row>
    <row r="44" spans="1:6" s="3470" customFormat="1" ht="13.5" customHeight="1">
      <c r="A44" s="3466">
        <v>42</v>
      </c>
      <c r="B44" s="3467" t="s">
        <v>3389</v>
      </c>
      <c r="C44" s="3466" t="s">
        <v>3390</v>
      </c>
      <c r="D44" s="3466">
        <v>-4</v>
      </c>
      <c r="E44" s="3471" t="s">
        <v>3431</v>
      </c>
      <c r="F44" s="3472">
        <v>45.73</v>
      </c>
    </row>
    <row r="45" spans="1:6" ht="13.5" customHeight="1">
      <c r="A45" s="3466">
        <v>43</v>
      </c>
      <c r="B45" s="3467" t="s">
        <v>3389</v>
      </c>
      <c r="C45" s="3466" t="s">
        <v>3390</v>
      </c>
      <c r="D45" s="3466">
        <v>-4</v>
      </c>
      <c r="E45" s="3471" t="s">
        <v>3432</v>
      </c>
      <c r="F45" s="3472">
        <v>45.73</v>
      </c>
    </row>
    <row r="46" spans="1:6" ht="13.5" customHeight="1">
      <c r="A46" s="3466">
        <v>44</v>
      </c>
      <c r="B46" s="3467" t="s">
        <v>3389</v>
      </c>
      <c r="C46" s="3466" t="s">
        <v>3390</v>
      </c>
      <c r="D46" s="3466">
        <v>-4</v>
      </c>
      <c r="E46" s="3471" t="s">
        <v>3433</v>
      </c>
      <c r="F46" s="3472">
        <v>45.73</v>
      </c>
    </row>
    <row r="47" spans="1:6" ht="13.5" customHeight="1">
      <c r="A47" s="3466">
        <v>45</v>
      </c>
      <c r="B47" s="3467" t="s">
        <v>3389</v>
      </c>
      <c r="C47" s="3466" t="s">
        <v>3390</v>
      </c>
      <c r="D47" s="3466">
        <v>-4</v>
      </c>
      <c r="E47" s="3471" t="s">
        <v>3434</v>
      </c>
      <c r="F47" s="3472">
        <v>45.73</v>
      </c>
    </row>
    <row r="48" spans="1:6" ht="13.5" customHeight="1">
      <c r="A48" s="3466">
        <v>46</v>
      </c>
      <c r="B48" s="3467" t="s">
        <v>3389</v>
      </c>
      <c r="C48" s="3466" t="s">
        <v>3390</v>
      </c>
      <c r="D48" s="3466">
        <v>-4</v>
      </c>
      <c r="E48" s="3471" t="s">
        <v>3435</v>
      </c>
      <c r="F48" s="3472">
        <v>45.73</v>
      </c>
    </row>
    <row r="49" spans="1:6" ht="13.5" customHeight="1">
      <c r="A49" s="3466">
        <v>47</v>
      </c>
      <c r="B49" s="3467" t="s">
        <v>3389</v>
      </c>
      <c r="C49" s="3466" t="s">
        <v>3390</v>
      </c>
      <c r="D49" s="3466">
        <v>-4</v>
      </c>
      <c r="E49" s="3471" t="s">
        <v>3436</v>
      </c>
      <c r="F49" s="3472">
        <v>45.73</v>
      </c>
    </row>
    <row r="50" spans="1:6" ht="13.5" customHeight="1">
      <c r="A50" s="3466">
        <v>48</v>
      </c>
      <c r="B50" s="3467" t="s">
        <v>3389</v>
      </c>
      <c r="C50" s="3466" t="s">
        <v>3390</v>
      </c>
      <c r="D50" s="3466">
        <v>-4</v>
      </c>
      <c r="E50" s="3471" t="s">
        <v>3437</v>
      </c>
      <c r="F50" s="3472">
        <v>45.73</v>
      </c>
    </row>
    <row r="51" spans="1:6" ht="13.5" customHeight="1">
      <c r="A51" s="3466">
        <v>49</v>
      </c>
      <c r="B51" s="3467" t="s">
        <v>3389</v>
      </c>
      <c r="C51" s="3466" t="s">
        <v>3390</v>
      </c>
      <c r="D51" s="3466">
        <v>-4</v>
      </c>
      <c r="E51" s="3471" t="s">
        <v>3438</v>
      </c>
      <c r="F51" s="3472">
        <v>45.73</v>
      </c>
    </row>
    <row r="52" spans="1:6" ht="13.5" customHeight="1">
      <c r="A52" s="3466">
        <v>50</v>
      </c>
      <c r="B52" s="3467" t="s">
        <v>3389</v>
      </c>
      <c r="C52" s="3466" t="s">
        <v>3390</v>
      </c>
      <c r="D52" s="3466">
        <v>-4</v>
      </c>
      <c r="E52" s="3471" t="s">
        <v>3439</v>
      </c>
      <c r="F52" s="3472">
        <v>45.73</v>
      </c>
    </row>
    <row r="53" spans="1:6" ht="13.5" customHeight="1">
      <c r="A53" s="3466">
        <v>51</v>
      </c>
      <c r="B53" s="3467" t="s">
        <v>3389</v>
      </c>
      <c r="C53" s="3466" t="s">
        <v>3390</v>
      </c>
      <c r="D53" s="3466">
        <v>-4</v>
      </c>
      <c r="E53" s="3471" t="s">
        <v>3440</v>
      </c>
      <c r="F53" s="3472">
        <v>45.73</v>
      </c>
    </row>
    <row r="54" spans="1:6" ht="13.5" customHeight="1">
      <c r="A54" s="3466">
        <v>52</v>
      </c>
      <c r="B54" s="3467" t="s">
        <v>3389</v>
      </c>
      <c r="C54" s="3466" t="s">
        <v>3390</v>
      </c>
      <c r="D54" s="3466">
        <v>-4</v>
      </c>
      <c r="E54" s="3471" t="s">
        <v>3441</v>
      </c>
      <c r="F54" s="3472">
        <v>45.73</v>
      </c>
    </row>
    <row r="55" spans="1:6" ht="13.5" customHeight="1">
      <c r="A55" s="3466">
        <v>53</v>
      </c>
      <c r="B55" s="3467" t="s">
        <v>3389</v>
      </c>
      <c r="C55" s="3466" t="s">
        <v>3390</v>
      </c>
      <c r="D55" s="3466">
        <v>-4</v>
      </c>
      <c r="E55" s="3471" t="s">
        <v>3442</v>
      </c>
      <c r="F55" s="3472">
        <v>45.73</v>
      </c>
    </row>
    <row r="56" spans="1:6" ht="13.5" customHeight="1">
      <c r="A56" s="3466">
        <v>54</v>
      </c>
      <c r="B56" s="3467" t="s">
        <v>3389</v>
      </c>
      <c r="C56" s="3466" t="s">
        <v>3390</v>
      </c>
      <c r="D56" s="3466">
        <v>-4</v>
      </c>
      <c r="E56" s="3471" t="s">
        <v>3443</v>
      </c>
      <c r="F56" s="3472">
        <v>45.73</v>
      </c>
    </row>
    <row r="57" spans="1:6" ht="13.5" customHeight="1">
      <c r="A57" s="3466">
        <v>55</v>
      </c>
      <c r="B57" s="3467" t="s">
        <v>3389</v>
      </c>
      <c r="C57" s="3466" t="s">
        <v>3390</v>
      </c>
      <c r="D57" s="3466">
        <v>-4</v>
      </c>
      <c r="E57" s="3471" t="s">
        <v>3444</v>
      </c>
      <c r="F57" s="3472">
        <v>45.73</v>
      </c>
    </row>
    <row r="58" spans="1:6" ht="13.5" customHeight="1">
      <c r="A58" s="3466">
        <v>56</v>
      </c>
      <c r="B58" s="3467" t="s">
        <v>3389</v>
      </c>
      <c r="C58" s="3466" t="s">
        <v>3390</v>
      </c>
      <c r="D58" s="3466">
        <v>-4</v>
      </c>
      <c r="E58" s="3471" t="s">
        <v>3445</v>
      </c>
      <c r="F58" s="3472">
        <v>45.73</v>
      </c>
    </row>
    <row r="59" spans="1:6" ht="13.5" customHeight="1">
      <c r="A59" s="3466">
        <v>57</v>
      </c>
      <c r="B59" s="3467" t="s">
        <v>3389</v>
      </c>
      <c r="C59" s="3466" t="s">
        <v>3390</v>
      </c>
      <c r="D59" s="3466">
        <v>-4</v>
      </c>
      <c r="E59" s="3471" t="s">
        <v>3446</v>
      </c>
      <c r="F59" s="3472">
        <v>45.73</v>
      </c>
    </row>
    <row r="60" spans="1:6" ht="13.5" customHeight="1">
      <c r="A60" s="3466">
        <v>58</v>
      </c>
      <c r="B60" s="3467" t="s">
        <v>3389</v>
      </c>
      <c r="C60" s="3466" t="s">
        <v>3390</v>
      </c>
      <c r="D60" s="3466">
        <v>-4</v>
      </c>
      <c r="E60" s="3471" t="s">
        <v>3447</v>
      </c>
      <c r="F60" s="3472">
        <v>45.73</v>
      </c>
    </row>
    <row r="61" spans="1:6" ht="13.5" customHeight="1">
      <c r="A61" s="3466">
        <v>59</v>
      </c>
      <c r="B61" s="3467" t="s">
        <v>3389</v>
      </c>
      <c r="C61" s="3466" t="s">
        <v>3390</v>
      </c>
      <c r="D61" s="3466">
        <v>-4</v>
      </c>
      <c r="E61" s="3471" t="s">
        <v>3448</v>
      </c>
      <c r="F61" s="3472">
        <v>45.73</v>
      </c>
    </row>
    <row r="62" spans="1:6" ht="13.5" customHeight="1">
      <c r="A62" s="3466">
        <v>60</v>
      </c>
      <c r="B62" s="3467" t="s">
        <v>3389</v>
      </c>
      <c r="C62" s="3466" t="s">
        <v>3390</v>
      </c>
      <c r="D62" s="3466">
        <v>-4</v>
      </c>
      <c r="E62" s="3471" t="s">
        <v>3449</v>
      </c>
      <c r="F62" s="3472">
        <v>45.73</v>
      </c>
    </row>
    <row r="63" spans="1:6" ht="13.5" customHeight="1">
      <c r="A63" s="3466">
        <v>61</v>
      </c>
      <c r="B63" s="3467" t="s">
        <v>3389</v>
      </c>
      <c r="C63" s="3466" t="s">
        <v>3390</v>
      </c>
      <c r="D63" s="3466">
        <v>-4</v>
      </c>
      <c r="E63" s="3471" t="s">
        <v>3450</v>
      </c>
      <c r="F63" s="3472">
        <v>45.73</v>
      </c>
    </row>
    <row r="64" spans="1:6" ht="13.5" customHeight="1">
      <c r="A64" s="3466">
        <v>62</v>
      </c>
      <c r="B64" s="3467" t="s">
        <v>3389</v>
      </c>
      <c r="C64" s="3466" t="s">
        <v>3390</v>
      </c>
      <c r="D64" s="3466">
        <v>-4</v>
      </c>
      <c r="E64" s="3471" t="s">
        <v>3451</v>
      </c>
      <c r="F64" s="3472">
        <v>45.73</v>
      </c>
    </row>
    <row r="65" spans="1:6" ht="13.5" customHeight="1">
      <c r="A65" s="3466">
        <v>63</v>
      </c>
      <c r="B65" s="3467" t="s">
        <v>3389</v>
      </c>
      <c r="C65" s="3466" t="s">
        <v>3390</v>
      </c>
      <c r="D65" s="3466">
        <v>-4</v>
      </c>
      <c r="E65" s="3471" t="s">
        <v>3452</v>
      </c>
      <c r="F65" s="3472">
        <v>45.73</v>
      </c>
    </row>
    <row r="66" spans="1:6" ht="13.5" customHeight="1">
      <c r="A66" s="3466">
        <v>64</v>
      </c>
      <c r="B66" s="3467" t="s">
        <v>3389</v>
      </c>
      <c r="C66" s="3466" t="s">
        <v>3390</v>
      </c>
      <c r="D66" s="3466">
        <v>-4</v>
      </c>
      <c r="E66" s="3471" t="s">
        <v>3453</v>
      </c>
      <c r="F66" s="3472">
        <v>45.73</v>
      </c>
    </row>
    <row r="67" spans="1:6" ht="13.5" customHeight="1">
      <c r="A67" s="3466">
        <v>65</v>
      </c>
      <c r="B67" s="3467" t="s">
        <v>3389</v>
      </c>
      <c r="C67" s="3466" t="s">
        <v>3390</v>
      </c>
      <c r="D67" s="3466">
        <v>-4</v>
      </c>
      <c r="E67" s="3471" t="s">
        <v>3454</v>
      </c>
      <c r="F67" s="3472">
        <v>45.73</v>
      </c>
    </row>
    <row r="68" spans="1:6" ht="13.5" customHeight="1">
      <c r="A68" s="3466">
        <v>66</v>
      </c>
      <c r="B68" s="3467" t="s">
        <v>3389</v>
      </c>
      <c r="C68" s="3466" t="s">
        <v>3390</v>
      </c>
      <c r="D68" s="3466">
        <v>-4</v>
      </c>
      <c r="E68" s="3471" t="s">
        <v>3455</v>
      </c>
      <c r="F68" s="3472">
        <v>45.73</v>
      </c>
    </row>
    <row r="69" spans="1:6" ht="13.5" customHeight="1">
      <c r="A69" s="3466">
        <v>67</v>
      </c>
      <c r="B69" s="3467" t="s">
        <v>3389</v>
      </c>
      <c r="C69" s="3466" t="s">
        <v>3390</v>
      </c>
      <c r="D69" s="3466">
        <v>-4</v>
      </c>
      <c r="E69" s="3471" t="s">
        <v>3456</v>
      </c>
      <c r="F69" s="3472">
        <v>45.73</v>
      </c>
    </row>
    <row r="70" spans="1:6" ht="13.5" customHeight="1">
      <c r="A70" s="3466">
        <v>68</v>
      </c>
      <c r="B70" s="3467" t="s">
        <v>3389</v>
      </c>
      <c r="C70" s="3466" t="s">
        <v>3390</v>
      </c>
      <c r="D70" s="3466">
        <v>-4</v>
      </c>
      <c r="E70" s="3471" t="s">
        <v>3457</v>
      </c>
      <c r="F70" s="3472">
        <v>45.73</v>
      </c>
    </row>
    <row r="71" spans="1:6" ht="13.5" customHeight="1">
      <c r="A71" s="3466">
        <v>69</v>
      </c>
      <c r="B71" s="3467" t="s">
        <v>3389</v>
      </c>
      <c r="C71" s="3466" t="s">
        <v>3390</v>
      </c>
      <c r="D71" s="3466">
        <v>-4</v>
      </c>
      <c r="E71" s="3471" t="s">
        <v>3458</v>
      </c>
      <c r="F71" s="3472">
        <v>45.73</v>
      </c>
    </row>
    <row r="72" spans="1:6" ht="13.5" customHeight="1">
      <c r="A72" s="3466">
        <v>70</v>
      </c>
      <c r="B72" s="3467" t="s">
        <v>3389</v>
      </c>
      <c r="C72" s="3466" t="s">
        <v>3390</v>
      </c>
      <c r="D72" s="3466">
        <v>-4</v>
      </c>
      <c r="E72" s="3471" t="s">
        <v>3459</v>
      </c>
      <c r="F72" s="3472">
        <v>45.73</v>
      </c>
    </row>
    <row r="73" spans="1:6" ht="13.5" customHeight="1">
      <c r="A73" s="3466">
        <v>71</v>
      </c>
      <c r="B73" s="3467" t="s">
        <v>3389</v>
      </c>
      <c r="C73" s="3466" t="s">
        <v>3390</v>
      </c>
      <c r="D73" s="3466">
        <v>-4</v>
      </c>
      <c r="E73" s="3471" t="s">
        <v>3460</v>
      </c>
      <c r="F73" s="3472">
        <v>45.73</v>
      </c>
    </row>
    <row r="74" spans="1:6" ht="13.5" customHeight="1">
      <c r="A74" s="3466">
        <v>72</v>
      </c>
      <c r="B74" s="3467" t="s">
        <v>3389</v>
      </c>
      <c r="C74" s="3466" t="s">
        <v>3390</v>
      </c>
      <c r="D74" s="3466">
        <v>-4</v>
      </c>
      <c r="E74" s="3471" t="s">
        <v>3461</v>
      </c>
      <c r="F74" s="3472">
        <v>45.73</v>
      </c>
    </row>
    <row r="75" spans="1:6" ht="13.5" customHeight="1">
      <c r="A75" s="3466">
        <v>73</v>
      </c>
      <c r="B75" s="3467" t="s">
        <v>3389</v>
      </c>
      <c r="C75" s="3466" t="s">
        <v>3390</v>
      </c>
      <c r="D75" s="3466">
        <v>-4</v>
      </c>
      <c r="E75" s="3471" t="s">
        <v>3462</v>
      </c>
      <c r="F75" s="3472">
        <v>45.73</v>
      </c>
    </row>
    <row r="76" spans="1:6" ht="13.5" customHeight="1">
      <c r="A76" s="3466">
        <v>74</v>
      </c>
      <c r="B76" s="3467" t="s">
        <v>3389</v>
      </c>
      <c r="C76" s="3466" t="s">
        <v>3390</v>
      </c>
      <c r="D76" s="3466">
        <v>-4</v>
      </c>
      <c r="E76" s="3471" t="s">
        <v>3463</v>
      </c>
      <c r="F76" s="3472">
        <v>45.73</v>
      </c>
    </row>
    <row r="77" spans="1:6" ht="13.5" customHeight="1">
      <c r="A77" s="3466">
        <v>75</v>
      </c>
      <c r="B77" s="3467" t="s">
        <v>3389</v>
      </c>
      <c r="C77" s="3466" t="s">
        <v>3390</v>
      </c>
      <c r="D77" s="3466">
        <v>-4</v>
      </c>
      <c r="E77" s="3471" t="s">
        <v>3464</v>
      </c>
      <c r="F77" s="3472">
        <v>45.73</v>
      </c>
    </row>
    <row r="78" spans="1:6" ht="13.5" customHeight="1">
      <c r="A78" s="3466">
        <v>76</v>
      </c>
      <c r="B78" s="3467" t="s">
        <v>3389</v>
      </c>
      <c r="C78" s="3466" t="s">
        <v>3390</v>
      </c>
      <c r="D78" s="3466">
        <v>-4</v>
      </c>
      <c r="E78" s="3471" t="s">
        <v>3465</v>
      </c>
      <c r="F78" s="3472">
        <v>45.73</v>
      </c>
    </row>
    <row r="79" spans="1:6" ht="13.5" customHeight="1">
      <c r="A79" s="3466">
        <v>77</v>
      </c>
      <c r="B79" s="3467" t="s">
        <v>3389</v>
      </c>
      <c r="C79" s="3466" t="s">
        <v>3390</v>
      </c>
      <c r="D79" s="3466">
        <v>-4</v>
      </c>
      <c r="E79" s="3471" t="s">
        <v>3466</v>
      </c>
      <c r="F79" s="3472">
        <v>45.73</v>
      </c>
    </row>
    <row r="80" spans="1:6" ht="13.5" customHeight="1">
      <c r="A80" s="3466">
        <v>78</v>
      </c>
      <c r="B80" s="3467" t="s">
        <v>3389</v>
      </c>
      <c r="C80" s="3466" t="s">
        <v>3390</v>
      </c>
      <c r="D80" s="3466">
        <v>-4</v>
      </c>
      <c r="E80" s="3471" t="s">
        <v>3467</v>
      </c>
      <c r="F80" s="3472">
        <v>45.73</v>
      </c>
    </row>
    <row r="81" spans="1:6" ht="13.5" customHeight="1">
      <c r="A81" s="3466">
        <v>79</v>
      </c>
      <c r="B81" s="3467" t="s">
        <v>3389</v>
      </c>
      <c r="C81" s="3466" t="s">
        <v>3390</v>
      </c>
      <c r="D81" s="3466">
        <v>-4</v>
      </c>
      <c r="E81" s="3471" t="s">
        <v>3468</v>
      </c>
      <c r="F81" s="3472">
        <v>45.73</v>
      </c>
    </row>
    <row r="82" spans="1:6" ht="13.5" customHeight="1">
      <c r="A82" s="3466">
        <v>80</v>
      </c>
      <c r="B82" s="3467" t="s">
        <v>3389</v>
      </c>
      <c r="C82" s="3466" t="s">
        <v>3390</v>
      </c>
      <c r="D82" s="3466">
        <v>-4</v>
      </c>
      <c r="E82" s="3471" t="s">
        <v>3469</v>
      </c>
      <c r="F82" s="3472">
        <v>45.73</v>
      </c>
    </row>
    <row r="83" spans="1:6" ht="13.5" customHeight="1">
      <c r="A83" s="3466">
        <v>81</v>
      </c>
      <c r="B83" s="3467" t="s">
        <v>3389</v>
      </c>
      <c r="C83" s="3466" t="s">
        <v>3390</v>
      </c>
      <c r="D83" s="3466">
        <v>-4</v>
      </c>
      <c r="E83" s="3471" t="s">
        <v>3470</v>
      </c>
      <c r="F83" s="3472">
        <v>45.73</v>
      </c>
    </row>
    <row r="84" spans="1:6" ht="13.5" customHeight="1">
      <c r="A84" s="3466">
        <v>82</v>
      </c>
      <c r="B84" s="3467" t="s">
        <v>3389</v>
      </c>
      <c r="C84" s="3466" t="s">
        <v>3390</v>
      </c>
      <c r="D84" s="3466">
        <v>-4</v>
      </c>
      <c r="E84" s="3471" t="s">
        <v>3471</v>
      </c>
      <c r="F84" s="3472">
        <v>45.73</v>
      </c>
    </row>
    <row r="85" spans="1:6" ht="13.5" customHeight="1">
      <c r="A85" s="3466">
        <v>83</v>
      </c>
      <c r="B85" s="3467" t="s">
        <v>3389</v>
      </c>
      <c r="C85" s="3466" t="s">
        <v>3390</v>
      </c>
      <c r="D85" s="3466">
        <v>-4</v>
      </c>
      <c r="E85" s="3471" t="s">
        <v>3472</v>
      </c>
      <c r="F85" s="3472">
        <v>45.73</v>
      </c>
    </row>
    <row r="86" spans="1:6" ht="13.5" customHeight="1">
      <c r="A86" s="3466">
        <v>84</v>
      </c>
      <c r="B86" s="3467" t="s">
        <v>3389</v>
      </c>
      <c r="C86" s="3466" t="s">
        <v>3390</v>
      </c>
      <c r="D86" s="3466">
        <v>-4</v>
      </c>
      <c r="E86" s="3471" t="s">
        <v>3473</v>
      </c>
      <c r="F86" s="3472">
        <v>45.73</v>
      </c>
    </row>
    <row r="87" spans="1:6" ht="13.5" customHeight="1">
      <c r="A87" s="3466">
        <v>85</v>
      </c>
      <c r="B87" s="3467" t="s">
        <v>3389</v>
      </c>
      <c r="C87" s="3466" t="s">
        <v>3390</v>
      </c>
      <c r="D87" s="3466">
        <v>-4</v>
      </c>
      <c r="E87" s="3471" t="s">
        <v>3474</v>
      </c>
      <c r="F87" s="3472">
        <v>45.73</v>
      </c>
    </row>
    <row r="88" spans="1:6" ht="13.5" customHeight="1">
      <c r="A88" s="3466">
        <v>86</v>
      </c>
      <c r="B88" s="3467" t="s">
        <v>3389</v>
      </c>
      <c r="C88" s="3466" t="s">
        <v>3390</v>
      </c>
      <c r="D88" s="3466">
        <v>-4</v>
      </c>
      <c r="E88" s="3471" t="s">
        <v>3475</v>
      </c>
      <c r="F88" s="3472">
        <v>45.73</v>
      </c>
    </row>
    <row r="89" spans="1:6" ht="13.5" customHeight="1">
      <c r="A89" s="3466">
        <v>87</v>
      </c>
      <c r="B89" s="3467" t="s">
        <v>3389</v>
      </c>
      <c r="C89" s="3466" t="s">
        <v>3390</v>
      </c>
      <c r="D89" s="3466">
        <v>-4</v>
      </c>
      <c r="E89" s="3471" t="s">
        <v>3476</v>
      </c>
      <c r="F89" s="3472">
        <v>45.73</v>
      </c>
    </row>
    <row r="90" spans="1:6" ht="13.5" customHeight="1">
      <c r="A90" s="3466">
        <v>88</v>
      </c>
      <c r="B90" s="3467" t="s">
        <v>3389</v>
      </c>
      <c r="C90" s="3466" t="s">
        <v>3390</v>
      </c>
      <c r="D90" s="3466">
        <v>-4</v>
      </c>
      <c r="E90" s="3471" t="s">
        <v>3477</v>
      </c>
      <c r="F90" s="3472">
        <v>45.73</v>
      </c>
    </row>
    <row r="91" spans="1:6" ht="13.5" customHeight="1">
      <c r="A91" s="3466">
        <v>89</v>
      </c>
      <c r="B91" s="3467" t="s">
        <v>3389</v>
      </c>
      <c r="C91" s="3466" t="s">
        <v>3390</v>
      </c>
      <c r="D91" s="3466">
        <v>-4</v>
      </c>
      <c r="E91" s="3471" t="s">
        <v>3478</v>
      </c>
      <c r="F91" s="3472">
        <v>45.73</v>
      </c>
    </row>
    <row r="92" spans="1:6" ht="13.5" customHeight="1">
      <c r="A92" s="3466">
        <v>90</v>
      </c>
      <c r="B92" s="3467" t="s">
        <v>3389</v>
      </c>
      <c r="C92" s="3466" t="s">
        <v>3390</v>
      </c>
      <c r="D92" s="3466">
        <v>-4</v>
      </c>
      <c r="E92" s="3471" t="s">
        <v>3479</v>
      </c>
      <c r="F92" s="3472">
        <v>45.73</v>
      </c>
    </row>
    <row r="93" spans="1:6" ht="13.5" customHeight="1">
      <c r="A93" s="3466">
        <v>91</v>
      </c>
      <c r="B93" s="3467" t="s">
        <v>3389</v>
      </c>
      <c r="C93" s="3466" t="s">
        <v>3390</v>
      </c>
      <c r="D93" s="3466">
        <v>-4</v>
      </c>
      <c r="E93" s="3471" t="s">
        <v>3480</v>
      </c>
      <c r="F93" s="3472">
        <v>45.73</v>
      </c>
    </row>
    <row r="94" spans="1:6" ht="13.5" customHeight="1">
      <c r="A94" s="3466">
        <v>92</v>
      </c>
      <c r="B94" s="3467" t="s">
        <v>3389</v>
      </c>
      <c r="C94" s="3466" t="s">
        <v>3390</v>
      </c>
      <c r="D94" s="3466">
        <v>-4</v>
      </c>
      <c r="E94" s="3471" t="s">
        <v>3481</v>
      </c>
      <c r="F94" s="3472">
        <v>45.73</v>
      </c>
    </row>
    <row r="95" spans="1:6" ht="13.5" customHeight="1">
      <c r="A95" s="3466">
        <v>93</v>
      </c>
      <c r="B95" s="3467" t="s">
        <v>3389</v>
      </c>
      <c r="C95" s="3466" t="s">
        <v>3390</v>
      </c>
      <c r="D95" s="3466">
        <v>-4</v>
      </c>
      <c r="E95" s="3471" t="s">
        <v>3482</v>
      </c>
      <c r="F95" s="3472">
        <v>45.73</v>
      </c>
    </row>
    <row r="96" spans="1:6" ht="13.5" customHeight="1">
      <c r="A96" s="3466">
        <v>94</v>
      </c>
      <c r="B96" s="3467" t="s">
        <v>3389</v>
      </c>
      <c r="C96" s="3466" t="s">
        <v>3390</v>
      </c>
      <c r="D96" s="3466">
        <v>-4</v>
      </c>
      <c r="E96" s="3471" t="s">
        <v>3483</v>
      </c>
      <c r="F96" s="3472">
        <v>45.73</v>
      </c>
    </row>
    <row r="97" spans="1:6" ht="13.5" customHeight="1">
      <c r="A97" s="3466">
        <v>95</v>
      </c>
      <c r="B97" s="3467" t="s">
        <v>3389</v>
      </c>
      <c r="C97" s="3466" t="s">
        <v>3390</v>
      </c>
      <c r="D97" s="3466">
        <v>-4</v>
      </c>
      <c r="E97" s="3471" t="s">
        <v>3484</v>
      </c>
      <c r="F97" s="3472">
        <v>45.73</v>
      </c>
    </row>
    <row r="98" spans="1:6" ht="13.5" customHeight="1">
      <c r="A98" s="3466">
        <v>96</v>
      </c>
      <c r="B98" s="3467" t="s">
        <v>3389</v>
      </c>
      <c r="C98" s="3466" t="s">
        <v>3390</v>
      </c>
      <c r="D98" s="3466">
        <v>-4</v>
      </c>
      <c r="E98" s="3471" t="s">
        <v>3485</v>
      </c>
      <c r="F98" s="3472">
        <v>45.73</v>
      </c>
    </row>
    <row r="99" spans="1:6" ht="13.5" customHeight="1">
      <c r="A99" s="3466">
        <v>97</v>
      </c>
      <c r="B99" s="3467" t="s">
        <v>3389</v>
      </c>
      <c r="C99" s="3466" t="s">
        <v>3390</v>
      </c>
      <c r="D99" s="3466">
        <v>-4</v>
      </c>
      <c r="E99" s="3471" t="s">
        <v>3486</v>
      </c>
      <c r="F99" s="3472">
        <v>45.73</v>
      </c>
    </row>
    <row r="100" spans="1:6" ht="13.5" customHeight="1">
      <c r="A100" s="3466">
        <v>98</v>
      </c>
      <c r="B100" s="3467" t="s">
        <v>3389</v>
      </c>
      <c r="C100" s="3466" t="s">
        <v>3390</v>
      </c>
      <c r="D100" s="3466">
        <v>-4</v>
      </c>
      <c r="E100" s="3471" t="s">
        <v>3487</v>
      </c>
      <c r="F100" s="3472">
        <v>45.73</v>
      </c>
    </row>
    <row r="101" spans="1:6" ht="13.5" customHeight="1">
      <c r="A101" s="3466">
        <v>99</v>
      </c>
      <c r="B101" s="3467" t="s">
        <v>3389</v>
      </c>
      <c r="C101" s="3466" t="s">
        <v>3390</v>
      </c>
      <c r="D101" s="3466">
        <v>-4</v>
      </c>
      <c r="E101" s="3471" t="s">
        <v>3488</v>
      </c>
      <c r="F101" s="3472">
        <v>45.73</v>
      </c>
    </row>
    <row r="102" spans="1:6" ht="13.5" customHeight="1">
      <c r="A102" s="3466">
        <v>100</v>
      </c>
      <c r="B102" s="3467" t="s">
        <v>3389</v>
      </c>
      <c r="C102" s="3466" t="s">
        <v>3390</v>
      </c>
      <c r="D102" s="3466">
        <v>-4</v>
      </c>
      <c r="E102" s="3471" t="s">
        <v>3489</v>
      </c>
      <c r="F102" s="3472">
        <v>45.73</v>
      </c>
    </row>
    <row r="103" spans="1:6" ht="13.5" customHeight="1">
      <c r="A103" s="3466">
        <v>101</v>
      </c>
      <c r="B103" s="3467" t="s">
        <v>3389</v>
      </c>
      <c r="C103" s="3466" t="s">
        <v>3390</v>
      </c>
      <c r="D103" s="3466">
        <v>-4</v>
      </c>
      <c r="E103" s="3471" t="s">
        <v>3490</v>
      </c>
      <c r="F103" s="3472">
        <v>45.73</v>
      </c>
    </row>
    <row r="104" spans="1:6" ht="13.5" customHeight="1">
      <c r="A104" s="3466">
        <v>102</v>
      </c>
      <c r="B104" s="3467" t="s">
        <v>3389</v>
      </c>
      <c r="C104" s="3466" t="s">
        <v>3390</v>
      </c>
      <c r="D104" s="3466">
        <v>-4</v>
      </c>
      <c r="E104" s="3471" t="s">
        <v>3491</v>
      </c>
      <c r="F104" s="3472">
        <v>45.73</v>
      </c>
    </row>
    <row r="105" spans="1:6" ht="13.5" customHeight="1">
      <c r="A105" s="3466">
        <v>103</v>
      </c>
      <c r="B105" s="3467" t="s">
        <v>3389</v>
      </c>
      <c r="C105" s="3466" t="s">
        <v>3390</v>
      </c>
      <c r="D105" s="3466">
        <v>-4</v>
      </c>
      <c r="E105" s="3471" t="s">
        <v>3492</v>
      </c>
      <c r="F105" s="3472">
        <v>45.73</v>
      </c>
    </row>
    <row r="106" spans="1:6" ht="13.5" customHeight="1">
      <c r="A106" s="3466">
        <v>104</v>
      </c>
      <c r="B106" s="3467" t="s">
        <v>3389</v>
      </c>
      <c r="C106" s="3466" t="s">
        <v>3390</v>
      </c>
      <c r="D106" s="3466">
        <v>-4</v>
      </c>
      <c r="E106" s="3471" t="s">
        <v>3493</v>
      </c>
      <c r="F106" s="3472">
        <v>45.73</v>
      </c>
    </row>
    <row r="107" spans="1:6" ht="13.5" customHeight="1">
      <c r="A107" s="3466">
        <v>105</v>
      </c>
      <c r="B107" s="3467" t="s">
        <v>3389</v>
      </c>
      <c r="C107" s="3466" t="s">
        <v>3390</v>
      </c>
      <c r="D107" s="3466">
        <v>-4</v>
      </c>
      <c r="E107" s="3471" t="s">
        <v>3494</v>
      </c>
      <c r="F107" s="3472">
        <v>45.73</v>
      </c>
    </row>
    <row r="108" spans="1:6" ht="13.5" customHeight="1">
      <c r="A108" s="3466">
        <v>106</v>
      </c>
      <c r="B108" s="3467" t="s">
        <v>3389</v>
      </c>
      <c r="C108" s="3466" t="s">
        <v>3390</v>
      </c>
      <c r="D108" s="3466">
        <v>-4</v>
      </c>
      <c r="E108" s="3471" t="s">
        <v>3495</v>
      </c>
      <c r="F108" s="3472">
        <v>45.73</v>
      </c>
    </row>
    <row r="109" spans="1:6" ht="13.5" customHeight="1">
      <c r="A109" s="3466">
        <v>107</v>
      </c>
      <c r="B109" s="3467" t="s">
        <v>3389</v>
      </c>
      <c r="C109" s="3466" t="s">
        <v>3390</v>
      </c>
      <c r="D109" s="3466">
        <v>-4</v>
      </c>
      <c r="E109" s="3471" t="s">
        <v>3496</v>
      </c>
      <c r="F109" s="3472">
        <v>45.73</v>
      </c>
    </row>
    <row r="110" spans="1:6" ht="13.5" customHeight="1">
      <c r="A110" s="3466">
        <v>108</v>
      </c>
      <c r="B110" s="3467" t="s">
        <v>3389</v>
      </c>
      <c r="C110" s="3466" t="s">
        <v>3390</v>
      </c>
      <c r="D110" s="3466">
        <v>-4</v>
      </c>
      <c r="E110" s="3471" t="s">
        <v>3497</v>
      </c>
      <c r="F110" s="3472">
        <v>45.73</v>
      </c>
    </row>
    <row r="111" spans="1:6" ht="13.5" customHeight="1">
      <c r="A111" s="3466">
        <v>109</v>
      </c>
      <c r="B111" s="3467" t="s">
        <v>3389</v>
      </c>
      <c r="C111" s="3466" t="s">
        <v>3390</v>
      </c>
      <c r="D111" s="3466">
        <v>-4</v>
      </c>
      <c r="E111" s="3471" t="s">
        <v>3498</v>
      </c>
      <c r="F111" s="3472">
        <v>45.73</v>
      </c>
    </row>
    <row r="112" spans="1:6" ht="13.5" customHeight="1">
      <c r="A112" s="3466">
        <v>110</v>
      </c>
      <c r="B112" s="3467" t="s">
        <v>3389</v>
      </c>
      <c r="C112" s="3466" t="s">
        <v>3390</v>
      </c>
      <c r="D112" s="3466">
        <v>-4</v>
      </c>
      <c r="E112" s="3471" t="s">
        <v>3499</v>
      </c>
      <c r="F112" s="3472">
        <v>45.73</v>
      </c>
    </row>
    <row r="113" spans="1:6" ht="13.5" customHeight="1">
      <c r="A113" s="3466">
        <v>111</v>
      </c>
      <c r="B113" s="3467" t="s">
        <v>3389</v>
      </c>
      <c r="C113" s="3466" t="s">
        <v>3390</v>
      </c>
      <c r="D113" s="3466">
        <v>-4</v>
      </c>
      <c r="E113" s="3471" t="s">
        <v>3500</v>
      </c>
      <c r="F113" s="3472">
        <v>45.73</v>
      </c>
    </row>
    <row r="114" spans="1:6" ht="13.5" customHeight="1">
      <c r="A114" s="3466">
        <v>112</v>
      </c>
      <c r="B114" s="3467" t="s">
        <v>3389</v>
      </c>
      <c r="C114" s="3466" t="s">
        <v>3390</v>
      </c>
      <c r="D114" s="3466">
        <v>-4</v>
      </c>
      <c r="E114" s="3471" t="s">
        <v>3501</v>
      </c>
      <c r="F114" s="3472">
        <v>45.73</v>
      </c>
    </row>
    <row r="115" spans="1:6" ht="13.5" customHeight="1">
      <c r="A115" s="3466">
        <v>113</v>
      </c>
      <c r="B115" s="3467" t="s">
        <v>3389</v>
      </c>
      <c r="C115" s="3466" t="s">
        <v>3390</v>
      </c>
      <c r="D115" s="3466">
        <v>-4</v>
      </c>
      <c r="E115" s="3471" t="s">
        <v>3502</v>
      </c>
      <c r="F115" s="3472">
        <v>45.73</v>
      </c>
    </row>
    <row r="116" spans="1:6" ht="13.5" customHeight="1">
      <c r="A116" s="3466">
        <v>114</v>
      </c>
      <c r="B116" s="3467" t="s">
        <v>3389</v>
      </c>
      <c r="C116" s="3466" t="s">
        <v>3390</v>
      </c>
      <c r="D116" s="3466">
        <v>-4</v>
      </c>
      <c r="E116" s="3471" t="s">
        <v>3503</v>
      </c>
      <c r="F116" s="3472">
        <v>45.73</v>
      </c>
    </row>
    <row r="117" spans="1:6" ht="13.5" customHeight="1">
      <c r="A117" s="3466">
        <v>115</v>
      </c>
      <c r="B117" s="3467" t="s">
        <v>3389</v>
      </c>
      <c r="C117" s="3466" t="s">
        <v>3390</v>
      </c>
      <c r="D117" s="3466">
        <v>-4</v>
      </c>
      <c r="E117" s="3471" t="s">
        <v>3504</v>
      </c>
      <c r="F117" s="3472">
        <v>45.73</v>
      </c>
    </row>
    <row r="118" spans="1:6" ht="13.5" customHeight="1">
      <c r="A118" s="3466">
        <v>116</v>
      </c>
      <c r="B118" s="3467" t="s">
        <v>3389</v>
      </c>
      <c r="C118" s="3466" t="s">
        <v>3390</v>
      </c>
      <c r="D118" s="3466">
        <v>-4</v>
      </c>
      <c r="E118" s="3471" t="s">
        <v>3505</v>
      </c>
      <c r="F118" s="3472">
        <v>45.73</v>
      </c>
    </row>
    <row r="119" spans="1:6" ht="13.5" customHeight="1">
      <c r="A119" s="3466">
        <v>117</v>
      </c>
      <c r="B119" s="3467" t="s">
        <v>3389</v>
      </c>
      <c r="C119" s="3466" t="s">
        <v>3390</v>
      </c>
      <c r="D119" s="3466">
        <v>-4</v>
      </c>
      <c r="E119" s="3471" t="s">
        <v>3506</v>
      </c>
      <c r="F119" s="3472">
        <v>45.73</v>
      </c>
    </row>
    <row r="120" spans="1:6" ht="13.5" customHeight="1">
      <c r="A120" s="3466">
        <v>118</v>
      </c>
      <c r="B120" s="3467" t="s">
        <v>3389</v>
      </c>
      <c r="C120" s="3466" t="s">
        <v>3390</v>
      </c>
      <c r="D120" s="3466">
        <v>-4</v>
      </c>
      <c r="E120" s="3471" t="s">
        <v>3507</v>
      </c>
      <c r="F120" s="3472">
        <v>45.73</v>
      </c>
    </row>
    <row r="121" spans="1:6" ht="13.5" customHeight="1">
      <c r="A121" s="3466">
        <v>119</v>
      </c>
      <c r="B121" s="3467" t="s">
        <v>3389</v>
      </c>
      <c r="C121" s="3466" t="s">
        <v>3390</v>
      </c>
      <c r="D121" s="3466">
        <v>-4</v>
      </c>
      <c r="E121" s="3471" t="s">
        <v>3508</v>
      </c>
      <c r="F121" s="3472">
        <v>45.73</v>
      </c>
    </row>
    <row r="122" spans="1:6" ht="13.5" customHeight="1">
      <c r="A122" s="3466">
        <v>120</v>
      </c>
      <c r="B122" s="3467" t="s">
        <v>3389</v>
      </c>
      <c r="C122" s="3466" t="s">
        <v>3390</v>
      </c>
      <c r="D122" s="3466">
        <v>-4</v>
      </c>
      <c r="E122" s="3471" t="s">
        <v>3509</v>
      </c>
      <c r="F122" s="3472">
        <v>45.73</v>
      </c>
    </row>
    <row r="123" spans="1:6" ht="13.5" customHeight="1">
      <c r="A123" s="3466">
        <v>121</v>
      </c>
      <c r="B123" s="3467" t="s">
        <v>3389</v>
      </c>
      <c r="C123" s="3466" t="s">
        <v>3390</v>
      </c>
      <c r="D123" s="3466">
        <v>-4</v>
      </c>
      <c r="E123" s="3471" t="s">
        <v>3510</v>
      </c>
      <c r="F123" s="3472">
        <v>45.73</v>
      </c>
    </row>
    <row r="124" spans="1:6" ht="13.5" customHeight="1">
      <c r="A124" s="3466">
        <v>122</v>
      </c>
      <c r="B124" s="3467" t="s">
        <v>3389</v>
      </c>
      <c r="C124" s="3466" t="s">
        <v>3390</v>
      </c>
      <c r="D124" s="3466">
        <v>-4</v>
      </c>
      <c r="E124" s="3471" t="s">
        <v>3511</v>
      </c>
      <c r="F124" s="3472">
        <v>45.73</v>
      </c>
    </row>
    <row r="125" spans="1:6" ht="13.5" customHeight="1">
      <c r="A125" s="3466">
        <v>123</v>
      </c>
      <c r="B125" s="3467" t="s">
        <v>3389</v>
      </c>
      <c r="C125" s="3466" t="s">
        <v>3390</v>
      </c>
      <c r="D125" s="3466">
        <v>-4</v>
      </c>
      <c r="E125" s="3471" t="s">
        <v>3512</v>
      </c>
      <c r="F125" s="3472">
        <v>45.73</v>
      </c>
    </row>
    <row r="126" spans="1:6" ht="13.5" customHeight="1">
      <c r="A126" s="3466">
        <v>124</v>
      </c>
      <c r="B126" s="3467" t="s">
        <v>3389</v>
      </c>
      <c r="C126" s="3466" t="s">
        <v>3390</v>
      </c>
      <c r="D126" s="3466">
        <v>-4</v>
      </c>
      <c r="E126" s="3471" t="s">
        <v>3513</v>
      </c>
      <c r="F126" s="3472">
        <v>45.73</v>
      </c>
    </row>
    <row r="127" spans="1:6" ht="13.5" customHeight="1">
      <c r="A127" s="3466">
        <v>125</v>
      </c>
      <c r="B127" s="3467" t="s">
        <v>3389</v>
      </c>
      <c r="C127" s="3466" t="s">
        <v>3390</v>
      </c>
      <c r="D127" s="3466">
        <v>-4</v>
      </c>
      <c r="E127" s="3471" t="s">
        <v>3514</v>
      </c>
      <c r="F127" s="3472">
        <v>45.73</v>
      </c>
    </row>
    <row r="128" spans="1:6" ht="13.5" customHeight="1">
      <c r="A128" s="3466">
        <v>126</v>
      </c>
      <c r="B128" s="3467" t="s">
        <v>3389</v>
      </c>
      <c r="C128" s="3466" t="s">
        <v>3390</v>
      </c>
      <c r="D128" s="3466">
        <v>-4</v>
      </c>
      <c r="E128" s="3471" t="s">
        <v>3515</v>
      </c>
      <c r="F128" s="3472">
        <v>45.73</v>
      </c>
    </row>
    <row r="129" spans="1:6" ht="13.5" customHeight="1">
      <c r="A129" s="3466">
        <v>127</v>
      </c>
      <c r="B129" s="3467" t="s">
        <v>3389</v>
      </c>
      <c r="C129" s="3466" t="s">
        <v>3390</v>
      </c>
      <c r="D129" s="3466">
        <v>-4</v>
      </c>
      <c r="E129" s="3471" t="s">
        <v>3516</v>
      </c>
      <c r="F129" s="3472">
        <v>45.73</v>
      </c>
    </row>
    <row r="130" spans="1:6" ht="13.5" customHeight="1">
      <c r="A130" s="3466">
        <v>128</v>
      </c>
      <c r="B130" s="3467" t="s">
        <v>3389</v>
      </c>
      <c r="C130" s="3466" t="s">
        <v>3390</v>
      </c>
      <c r="D130" s="3466">
        <v>-4</v>
      </c>
      <c r="E130" s="3471" t="s">
        <v>3517</v>
      </c>
      <c r="F130" s="3472">
        <v>45.73</v>
      </c>
    </row>
    <row r="131" spans="1:6" ht="13.5" customHeight="1">
      <c r="A131" s="3466">
        <v>129</v>
      </c>
      <c r="B131" s="3467" t="s">
        <v>3389</v>
      </c>
      <c r="C131" s="3466" t="s">
        <v>3390</v>
      </c>
      <c r="D131" s="3466">
        <v>-4</v>
      </c>
      <c r="E131" s="3471" t="s">
        <v>3518</v>
      </c>
      <c r="F131" s="3472">
        <v>45.73</v>
      </c>
    </row>
    <row r="132" spans="1:6" ht="13.5" customHeight="1">
      <c r="A132" s="3466">
        <v>130</v>
      </c>
      <c r="B132" s="3467" t="s">
        <v>3389</v>
      </c>
      <c r="C132" s="3466" t="s">
        <v>3390</v>
      </c>
      <c r="D132" s="3466">
        <v>-4</v>
      </c>
      <c r="E132" s="3471" t="s">
        <v>3519</v>
      </c>
      <c r="F132" s="3472">
        <v>45.73</v>
      </c>
    </row>
    <row r="133" spans="1:6" ht="13.5" customHeight="1">
      <c r="A133" s="3466">
        <v>131</v>
      </c>
      <c r="B133" s="3467" t="s">
        <v>3389</v>
      </c>
      <c r="C133" s="3466" t="s">
        <v>3390</v>
      </c>
      <c r="D133" s="3466">
        <v>-4</v>
      </c>
      <c r="E133" s="3471" t="s">
        <v>3520</v>
      </c>
      <c r="F133" s="3472">
        <v>45.73</v>
      </c>
    </row>
    <row r="134" spans="1:6" ht="13.5" customHeight="1">
      <c r="A134" s="3466">
        <v>132</v>
      </c>
      <c r="B134" s="3467" t="s">
        <v>3389</v>
      </c>
      <c r="C134" s="3466" t="s">
        <v>3390</v>
      </c>
      <c r="D134" s="3466">
        <v>-4</v>
      </c>
      <c r="E134" s="3471" t="s">
        <v>3521</v>
      </c>
      <c r="F134" s="3472">
        <v>45.73</v>
      </c>
    </row>
    <row r="135" spans="1:6" ht="13.5" customHeight="1">
      <c r="A135" s="3466">
        <v>133</v>
      </c>
      <c r="B135" s="3467" t="s">
        <v>3389</v>
      </c>
      <c r="C135" s="3466" t="s">
        <v>3390</v>
      </c>
      <c r="D135" s="3466">
        <v>-4</v>
      </c>
      <c r="E135" s="3471" t="s">
        <v>3522</v>
      </c>
      <c r="F135" s="3472">
        <v>45.73</v>
      </c>
    </row>
    <row r="136" spans="1:6" ht="13.5" customHeight="1">
      <c r="A136" s="3466">
        <v>134</v>
      </c>
      <c r="B136" s="3467" t="s">
        <v>3389</v>
      </c>
      <c r="C136" s="3466" t="s">
        <v>3390</v>
      </c>
      <c r="D136" s="3466">
        <v>-4</v>
      </c>
      <c r="E136" s="3471" t="s">
        <v>3523</v>
      </c>
      <c r="F136" s="3472">
        <v>45.73</v>
      </c>
    </row>
    <row r="137" spans="1:6" ht="13.5" customHeight="1">
      <c r="A137" s="3466">
        <v>135</v>
      </c>
      <c r="B137" s="3467" t="s">
        <v>3389</v>
      </c>
      <c r="C137" s="3466" t="s">
        <v>3390</v>
      </c>
      <c r="D137" s="3466">
        <v>-4</v>
      </c>
      <c r="E137" s="3471" t="s">
        <v>3524</v>
      </c>
      <c r="F137" s="3472">
        <v>45.73</v>
      </c>
    </row>
    <row r="138" spans="1:6" ht="13.5" customHeight="1">
      <c r="A138" s="3466">
        <v>136</v>
      </c>
      <c r="B138" s="3467" t="s">
        <v>3389</v>
      </c>
      <c r="C138" s="3466" t="s">
        <v>3390</v>
      </c>
      <c r="D138" s="3466">
        <v>-4</v>
      </c>
      <c r="E138" s="3471" t="s">
        <v>3525</v>
      </c>
      <c r="F138" s="3472">
        <v>45.73</v>
      </c>
    </row>
    <row r="139" spans="1:6" ht="13.5" customHeight="1">
      <c r="A139" s="3466">
        <v>137</v>
      </c>
      <c r="B139" s="3467" t="s">
        <v>3389</v>
      </c>
      <c r="C139" s="3466" t="s">
        <v>3390</v>
      </c>
      <c r="D139" s="3466">
        <v>-4</v>
      </c>
      <c r="E139" s="3471" t="s">
        <v>3526</v>
      </c>
      <c r="F139" s="3472">
        <v>45.73</v>
      </c>
    </row>
    <row r="140" spans="1:6" ht="13.5" customHeight="1">
      <c r="A140" s="3466">
        <v>138</v>
      </c>
      <c r="B140" s="3467" t="s">
        <v>3389</v>
      </c>
      <c r="C140" s="3466" t="s">
        <v>3390</v>
      </c>
      <c r="D140" s="3466">
        <v>-4</v>
      </c>
      <c r="E140" s="3471" t="s">
        <v>3527</v>
      </c>
      <c r="F140" s="3472">
        <v>45.73</v>
      </c>
    </row>
    <row r="141" spans="1:6" ht="13.5" customHeight="1">
      <c r="A141" s="3466">
        <v>139</v>
      </c>
      <c r="B141" s="3467" t="s">
        <v>3389</v>
      </c>
      <c r="C141" s="3466" t="s">
        <v>3390</v>
      </c>
      <c r="D141" s="3466">
        <v>-4</v>
      </c>
      <c r="E141" s="3471" t="s">
        <v>3528</v>
      </c>
      <c r="F141" s="3472">
        <v>45.73</v>
      </c>
    </row>
    <row r="142" spans="1:6" ht="13.5" customHeight="1">
      <c r="A142" s="3466">
        <v>140</v>
      </c>
      <c r="B142" s="3467" t="s">
        <v>3389</v>
      </c>
      <c r="C142" s="3466" t="s">
        <v>3390</v>
      </c>
      <c r="D142" s="3466">
        <v>-4</v>
      </c>
      <c r="E142" s="3471" t="s">
        <v>3529</v>
      </c>
      <c r="F142" s="3472">
        <v>45.73</v>
      </c>
    </row>
    <row r="143" spans="1:6" ht="13.5" customHeight="1">
      <c r="A143" s="3466">
        <v>141</v>
      </c>
      <c r="B143" s="3467" t="s">
        <v>3389</v>
      </c>
      <c r="C143" s="3466" t="s">
        <v>3390</v>
      </c>
      <c r="D143" s="3466">
        <v>-4</v>
      </c>
      <c r="E143" s="3471" t="s">
        <v>3530</v>
      </c>
      <c r="F143" s="3472">
        <v>45.73</v>
      </c>
    </row>
    <row r="144" spans="1:6" ht="13.5" customHeight="1">
      <c r="A144" s="3466">
        <v>142</v>
      </c>
      <c r="B144" s="3467" t="s">
        <v>3389</v>
      </c>
      <c r="C144" s="3466" t="s">
        <v>3390</v>
      </c>
      <c r="D144" s="3466">
        <v>-4</v>
      </c>
      <c r="E144" s="3471" t="s">
        <v>3531</v>
      </c>
      <c r="F144" s="3472">
        <v>45.73</v>
      </c>
    </row>
    <row r="145" spans="1:6" ht="13.5" customHeight="1">
      <c r="A145" s="3466">
        <v>143</v>
      </c>
      <c r="B145" s="3467" t="s">
        <v>3389</v>
      </c>
      <c r="C145" s="3466" t="s">
        <v>3390</v>
      </c>
      <c r="D145" s="3466">
        <v>-4</v>
      </c>
      <c r="E145" s="3471" t="s">
        <v>3532</v>
      </c>
      <c r="F145" s="3472">
        <v>45.73</v>
      </c>
    </row>
    <row r="146" spans="1:6" ht="13.5" customHeight="1">
      <c r="A146" s="3466">
        <v>144</v>
      </c>
      <c r="B146" s="3467" t="s">
        <v>3389</v>
      </c>
      <c r="C146" s="3466" t="s">
        <v>3390</v>
      </c>
      <c r="D146" s="3466">
        <v>-4</v>
      </c>
      <c r="E146" s="3471" t="s">
        <v>3533</v>
      </c>
      <c r="F146" s="3472">
        <v>45.73</v>
      </c>
    </row>
    <row r="147" spans="1:6" ht="13.5" customHeight="1">
      <c r="A147" s="3466">
        <v>145</v>
      </c>
      <c r="B147" s="3467" t="s">
        <v>3389</v>
      </c>
      <c r="C147" s="3466" t="s">
        <v>3390</v>
      </c>
      <c r="D147" s="3466">
        <v>-4</v>
      </c>
      <c r="E147" s="3471" t="s">
        <v>3534</v>
      </c>
      <c r="F147" s="3472">
        <v>45.73</v>
      </c>
    </row>
    <row r="148" spans="1:6" ht="13.5" customHeight="1">
      <c r="A148" s="3466">
        <v>146</v>
      </c>
      <c r="B148" s="3467" t="s">
        <v>3389</v>
      </c>
      <c r="C148" s="3466" t="s">
        <v>3390</v>
      </c>
      <c r="D148" s="3466">
        <v>-4</v>
      </c>
      <c r="E148" s="3471" t="s">
        <v>3535</v>
      </c>
      <c r="F148" s="3472">
        <v>45.73</v>
      </c>
    </row>
    <row r="149" spans="1:6" ht="13.5" customHeight="1">
      <c r="A149" s="3466">
        <v>147</v>
      </c>
      <c r="B149" s="3467" t="s">
        <v>3389</v>
      </c>
      <c r="C149" s="3466" t="s">
        <v>3390</v>
      </c>
      <c r="D149" s="3466">
        <v>-4</v>
      </c>
      <c r="E149" s="3471" t="s">
        <v>3536</v>
      </c>
      <c r="F149" s="3472">
        <v>45.73</v>
      </c>
    </row>
    <row r="150" spans="1:6" ht="13.5" customHeight="1">
      <c r="A150" s="3466">
        <v>148</v>
      </c>
      <c r="B150" s="3467" t="s">
        <v>3389</v>
      </c>
      <c r="C150" s="3466" t="s">
        <v>3390</v>
      </c>
      <c r="D150" s="3466">
        <v>-4</v>
      </c>
      <c r="E150" s="3471" t="s">
        <v>3537</v>
      </c>
      <c r="F150" s="3472">
        <v>45.73</v>
      </c>
    </row>
    <row r="151" spans="1:6" ht="13.5" customHeight="1">
      <c r="A151" s="3466">
        <v>149</v>
      </c>
      <c r="B151" s="3467" t="s">
        <v>3389</v>
      </c>
      <c r="C151" s="3466" t="s">
        <v>3390</v>
      </c>
      <c r="D151" s="3466">
        <v>-4</v>
      </c>
      <c r="E151" s="3471" t="s">
        <v>3538</v>
      </c>
      <c r="F151" s="3472">
        <v>45.73</v>
      </c>
    </row>
    <row r="152" spans="1:6" ht="13.5" customHeight="1">
      <c r="A152" s="3466">
        <v>150</v>
      </c>
      <c r="B152" s="3467" t="s">
        <v>3389</v>
      </c>
      <c r="C152" s="3466" t="s">
        <v>3390</v>
      </c>
      <c r="D152" s="3466">
        <v>-4</v>
      </c>
      <c r="E152" s="3471" t="s">
        <v>3539</v>
      </c>
      <c r="F152" s="3472">
        <v>45.73</v>
      </c>
    </row>
    <row r="153" spans="1:6" ht="13.5" customHeight="1">
      <c r="A153" s="3466">
        <v>151</v>
      </c>
      <c r="B153" s="3467" t="s">
        <v>3389</v>
      </c>
      <c r="C153" s="3466" t="s">
        <v>3390</v>
      </c>
      <c r="D153" s="3466">
        <v>-4</v>
      </c>
      <c r="E153" s="3471" t="s">
        <v>3540</v>
      </c>
      <c r="F153" s="3472">
        <v>45.73</v>
      </c>
    </row>
    <row r="154" spans="1:6" ht="13.5" customHeight="1">
      <c r="A154" s="3466">
        <v>152</v>
      </c>
      <c r="B154" s="3467" t="s">
        <v>3389</v>
      </c>
      <c r="C154" s="3466" t="s">
        <v>3390</v>
      </c>
      <c r="D154" s="3466">
        <v>-4</v>
      </c>
      <c r="E154" s="3471" t="s">
        <v>3541</v>
      </c>
      <c r="F154" s="3472">
        <v>45.73</v>
      </c>
    </row>
    <row r="155" spans="1:6" ht="13.5" customHeight="1">
      <c r="A155" s="3466">
        <v>153</v>
      </c>
      <c r="B155" s="3467" t="s">
        <v>3389</v>
      </c>
      <c r="C155" s="3466" t="s">
        <v>3390</v>
      </c>
      <c r="D155" s="3466">
        <v>-4</v>
      </c>
      <c r="E155" s="3471" t="s">
        <v>3542</v>
      </c>
      <c r="F155" s="3472">
        <v>45.73</v>
      </c>
    </row>
    <row r="156" spans="1:6" ht="13.5" customHeight="1">
      <c r="A156" s="3466">
        <v>154</v>
      </c>
      <c r="B156" s="3467" t="s">
        <v>3389</v>
      </c>
      <c r="C156" s="3466" t="s">
        <v>3390</v>
      </c>
      <c r="D156" s="3466">
        <v>-4</v>
      </c>
      <c r="E156" s="3471" t="s">
        <v>3543</v>
      </c>
      <c r="F156" s="3472">
        <v>45.73</v>
      </c>
    </row>
    <row r="157" spans="1:6" ht="13.5" customHeight="1">
      <c r="A157" s="3466">
        <v>155</v>
      </c>
      <c r="B157" s="3467" t="s">
        <v>3389</v>
      </c>
      <c r="C157" s="3466" t="s">
        <v>3390</v>
      </c>
      <c r="D157" s="3466">
        <v>-4</v>
      </c>
      <c r="E157" s="3471" t="s">
        <v>3544</v>
      </c>
      <c r="F157" s="3472">
        <v>45.73</v>
      </c>
    </row>
    <row r="158" spans="1:6" ht="13.5" customHeight="1">
      <c r="A158" s="3466">
        <v>156</v>
      </c>
      <c r="B158" s="3467" t="s">
        <v>3389</v>
      </c>
      <c r="C158" s="3466" t="s">
        <v>3390</v>
      </c>
      <c r="D158" s="3466">
        <v>-4</v>
      </c>
      <c r="E158" s="3471" t="s">
        <v>3545</v>
      </c>
      <c r="F158" s="3472">
        <v>45.73</v>
      </c>
    </row>
    <row r="159" spans="1:6" ht="13.5" customHeight="1">
      <c r="A159" s="3466">
        <v>157</v>
      </c>
      <c r="B159" s="3467" t="s">
        <v>3389</v>
      </c>
      <c r="C159" s="3466" t="s">
        <v>3390</v>
      </c>
      <c r="D159" s="3466">
        <v>-4</v>
      </c>
      <c r="E159" s="3471" t="s">
        <v>3546</v>
      </c>
      <c r="F159" s="3472">
        <v>45.73</v>
      </c>
    </row>
    <row r="160" spans="1:6" ht="13.5" customHeight="1">
      <c r="A160" s="3466">
        <v>158</v>
      </c>
      <c r="B160" s="3467" t="s">
        <v>3389</v>
      </c>
      <c r="C160" s="3466" t="s">
        <v>3390</v>
      </c>
      <c r="D160" s="3466">
        <v>-4</v>
      </c>
      <c r="E160" s="3471" t="s">
        <v>3547</v>
      </c>
      <c r="F160" s="3472">
        <v>45.73</v>
      </c>
    </row>
    <row r="161" spans="1:6" ht="13.5" customHeight="1">
      <c r="A161" s="3466">
        <v>159</v>
      </c>
      <c r="B161" s="3467" t="s">
        <v>3389</v>
      </c>
      <c r="C161" s="3466" t="s">
        <v>3390</v>
      </c>
      <c r="D161" s="3466">
        <v>-4</v>
      </c>
      <c r="E161" s="3471" t="s">
        <v>3548</v>
      </c>
      <c r="F161" s="3472">
        <v>45.73</v>
      </c>
    </row>
    <row r="162" spans="1:6" ht="13.5" customHeight="1">
      <c r="A162" s="3466">
        <v>160</v>
      </c>
      <c r="B162" s="3467" t="s">
        <v>3389</v>
      </c>
      <c r="C162" s="3466" t="s">
        <v>3390</v>
      </c>
      <c r="D162" s="3466">
        <v>-4</v>
      </c>
      <c r="E162" s="3471" t="s">
        <v>3549</v>
      </c>
      <c r="F162" s="3472">
        <v>45.73</v>
      </c>
    </row>
    <row r="163" spans="1:6" ht="13.5" customHeight="1">
      <c r="A163" s="3466">
        <v>161</v>
      </c>
      <c r="B163" s="3467" t="s">
        <v>3389</v>
      </c>
      <c r="C163" s="3466" t="s">
        <v>3390</v>
      </c>
      <c r="D163" s="3466">
        <v>-4</v>
      </c>
      <c r="E163" s="3471" t="s">
        <v>3550</v>
      </c>
      <c r="F163" s="3472">
        <v>45.73</v>
      </c>
    </row>
    <row r="164" spans="1:6" ht="13.5" customHeight="1">
      <c r="A164" s="3466">
        <v>162</v>
      </c>
      <c r="B164" s="3467" t="s">
        <v>3389</v>
      </c>
      <c r="C164" s="3466" t="s">
        <v>3390</v>
      </c>
      <c r="D164" s="3466">
        <v>-4</v>
      </c>
      <c r="E164" s="3471" t="s">
        <v>3551</v>
      </c>
      <c r="F164" s="3472">
        <v>45.73</v>
      </c>
    </row>
    <row r="165" spans="1:6" ht="13.5" customHeight="1">
      <c r="A165" s="3466">
        <v>163</v>
      </c>
      <c r="B165" s="3467" t="s">
        <v>3389</v>
      </c>
      <c r="C165" s="3466" t="s">
        <v>3390</v>
      </c>
      <c r="D165" s="3466">
        <v>-4</v>
      </c>
      <c r="E165" s="3471" t="s">
        <v>3552</v>
      </c>
      <c r="F165" s="3472">
        <v>45.73</v>
      </c>
    </row>
    <row r="166" spans="1:6" ht="13.5" customHeight="1">
      <c r="A166" s="3466">
        <v>164</v>
      </c>
      <c r="B166" s="3467" t="s">
        <v>3389</v>
      </c>
      <c r="C166" s="3466" t="s">
        <v>3390</v>
      </c>
      <c r="D166" s="3466">
        <v>-4</v>
      </c>
      <c r="E166" s="3471" t="s">
        <v>3553</v>
      </c>
      <c r="F166" s="3472">
        <v>45.73</v>
      </c>
    </row>
    <row r="167" spans="1:6" ht="13.5" customHeight="1">
      <c r="A167" s="3466">
        <v>165</v>
      </c>
      <c r="B167" s="3467" t="s">
        <v>3389</v>
      </c>
      <c r="C167" s="3466" t="s">
        <v>3390</v>
      </c>
      <c r="D167" s="3466">
        <v>-4</v>
      </c>
      <c r="E167" s="3471" t="s">
        <v>3554</v>
      </c>
      <c r="F167" s="3472">
        <v>45.73</v>
      </c>
    </row>
    <row r="168" spans="1:6" ht="13.5" customHeight="1">
      <c r="A168" s="3466">
        <v>166</v>
      </c>
      <c r="B168" s="3467" t="s">
        <v>3389</v>
      </c>
      <c r="C168" s="3466" t="s">
        <v>3390</v>
      </c>
      <c r="D168" s="3466">
        <v>-4</v>
      </c>
      <c r="E168" s="3471" t="s">
        <v>3555</v>
      </c>
      <c r="F168" s="3472">
        <v>45.73</v>
      </c>
    </row>
    <row r="169" spans="1:6" ht="13.5" customHeight="1">
      <c r="A169" s="3466">
        <v>167</v>
      </c>
      <c r="B169" s="3467" t="s">
        <v>3389</v>
      </c>
      <c r="C169" s="3466" t="s">
        <v>3390</v>
      </c>
      <c r="D169" s="3466">
        <v>-4</v>
      </c>
      <c r="E169" s="3471" t="s">
        <v>3556</v>
      </c>
      <c r="F169" s="3472">
        <v>45.73</v>
      </c>
    </row>
    <row r="170" spans="1:6" ht="13.5" customHeight="1">
      <c r="A170" s="3466">
        <v>168</v>
      </c>
      <c r="B170" s="3467" t="s">
        <v>3389</v>
      </c>
      <c r="C170" s="3466" t="s">
        <v>3390</v>
      </c>
      <c r="D170" s="3466">
        <v>-4</v>
      </c>
      <c r="E170" s="3471" t="s">
        <v>3557</v>
      </c>
      <c r="F170" s="3472">
        <v>45.73</v>
      </c>
    </row>
    <row r="171" spans="1:6" ht="13.5" customHeight="1">
      <c r="A171" s="3466">
        <v>169</v>
      </c>
      <c r="B171" s="3467" t="s">
        <v>3389</v>
      </c>
      <c r="C171" s="3466" t="s">
        <v>3390</v>
      </c>
      <c r="D171" s="3466">
        <v>-4</v>
      </c>
      <c r="E171" s="3471" t="s">
        <v>3558</v>
      </c>
      <c r="F171" s="3472">
        <v>45.73</v>
      </c>
    </row>
    <row r="172" spans="1:6" ht="13.5" customHeight="1">
      <c r="A172" s="3466">
        <v>170</v>
      </c>
      <c r="B172" s="3467" t="s">
        <v>3389</v>
      </c>
      <c r="C172" s="3466" t="s">
        <v>3390</v>
      </c>
      <c r="D172" s="3466">
        <v>-4</v>
      </c>
      <c r="E172" s="3471" t="s">
        <v>3559</v>
      </c>
      <c r="F172" s="3472">
        <v>45.73</v>
      </c>
    </row>
    <row r="173" spans="1:6" ht="13.5" customHeight="1">
      <c r="A173" s="3466">
        <v>171</v>
      </c>
      <c r="B173" s="3467" t="s">
        <v>3389</v>
      </c>
      <c r="C173" s="3466" t="s">
        <v>3390</v>
      </c>
      <c r="D173" s="3466">
        <v>-4</v>
      </c>
      <c r="E173" s="3471" t="s">
        <v>3560</v>
      </c>
      <c r="F173" s="3472">
        <v>45.73</v>
      </c>
    </row>
    <row r="174" spans="1:6" ht="13.5" customHeight="1">
      <c r="A174" s="3466">
        <v>172</v>
      </c>
      <c r="B174" s="3467" t="s">
        <v>3389</v>
      </c>
      <c r="C174" s="3466" t="s">
        <v>3390</v>
      </c>
      <c r="D174" s="3466">
        <v>-4</v>
      </c>
      <c r="E174" s="3471" t="s">
        <v>3561</v>
      </c>
      <c r="F174" s="3472">
        <v>45.73</v>
      </c>
    </row>
    <row r="175" spans="1:6" ht="13.5" customHeight="1">
      <c r="A175" s="3466">
        <v>173</v>
      </c>
      <c r="B175" s="3467" t="s">
        <v>3389</v>
      </c>
      <c r="C175" s="3466" t="s">
        <v>3390</v>
      </c>
      <c r="D175" s="3466">
        <v>-4</v>
      </c>
      <c r="E175" s="3471" t="s">
        <v>3562</v>
      </c>
      <c r="F175" s="3472">
        <v>45.73</v>
      </c>
    </row>
    <row r="176" spans="1:6" ht="13.5" customHeight="1">
      <c r="A176" s="3466">
        <v>174</v>
      </c>
      <c r="B176" s="3467" t="s">
        <v>3389</v>
      </c>
      <c r="C176" s="3466" t="s">
        <v>3390</v>
      </c>
      <c r="D176" s="3466">
        <v>-4</v>
      </c>
      <c r="E176" s="3471" t="s">
        <v>3563</v>
      </c>
      <c r="F176" s="3472">
        <v>45.73</v>
      </c>
    </row>
    <row r="177" spans="1:6" ht="13.5" customHeight="1">
      <c r="A177" s="3466">
        <v>175</v>
      </c>
      <c r="B177" s="3467" t="s">
        <v>3389</v>
      </c>
      <c r="C177" s="3466" t="s">
        <v>3390</v>
      </c>
      <c r="D177" s="3466">
        <v>-4</v>
      </c>
      <c r="E177" s="3471" t="s">
        <v>3564</v>
      </c>
      <c r="F177" s="3472">
        <v>45.73</v>
      </c>
    </row>
    <row r="178" spans="1:6" ht="13.5" customHeight="1">
      <c r="A178" s="3466">
        <v>176</v>
      </c>
      <c r="B178" s="3467" t="s">
        <v>3389</v>
      </c>
      <c r="C178" s="3466" t="s">
        <v>3390</v>
      </c>
      <c r="D178" s="3466">
        <v>-4</v>
      </c>
      <c r="E178" s="3471" t="s">
        <v>3565</v>
      </c>
      <c r="F178" s="3472">
        <v>45.73</v>
      </c>
    </row>
    <row r="179" spans="1:6" ht="13.5" customHeight="1">
      <c r="A179" s="3466">
        <v>177</v>
      </c>
      <c r="B179" s="3467" t="s">
        <v>3389</v>
      </c>
      <c r="C179" s="3466" t="s">
        <v>3390</v>
      </c>
      <c r="D179" s="3466">
        <v>-4</v>
      </c>
      <c r="E179" s="3471" t="s">
        <v>3566</v>
      </c>
      <c r="F179" s="3472">
        <v>45.3</v>
      </c>
    </row>
    <row r="180" spans="1:6" ht="13.5" customHeight="1">
      <c r="A180" s="3466">
        <v>178</v>
      </c>
      <c r="B180" s="3467" t="s">
        <v>3389</v>
      </c>
      <c r="C180" s="3466" t="s">
        <v>3390</v>
      </c>
      <c r="D180" s="3466">
        <v>-4</v>
      </c>
      <c r="E180" s="3471" t="s">
        <v>3567</v>
      </c>
      <c r="F180" s="3472">
        <v>45.3</v>
      </c>
    </row>
    <row r="181" spans="1:6" ht="13.5" customHeight="1">
      <c r="A181" s="3466">
        <v>179</v>
      </c>
      <c r="B181" s="3467" t="s">
        <v>3389</v>
      </c>
      <c r="C181" s="3466" t="s">
        <v>3390</v>
      </c>
      <c r="D181" s="3466">
        <v>-4</v>
      </c>
      <c r="E181" s="3471" t="s">
        <v>3568</v>
      </c>
      <c r="F181" s="3472">
        <v>45.3</v>
      </c>
    </row>
    <row r="182" spans="1:6" ht="13.5" customHeight="1">
      <c r="A182" s="3466">
        <v>180</v>
      </c>
      <c r="B182" s="3467" t="s">
        <v>3389</v>
      </c>
      <c r="C182" s="3466" t="s">
        <v>3390</v>
      </c>
      <c r="D182" s="3466">
        <v>-4</v>
      </c>
      <c r="E182" s="3471" t="s">
        <v>3569</v>
      </c>
      <c r="F182" s="3472">
        <v>45.3</v>
      </c>
    </row>
    <row r="183" spans="1:6" ht="13.5" customHeight="1">
      <c r="A183" s="3466">
        <v>181</v>
      </c>
      <c r="B183" s="3467" t="s">
        <v>3389</v>
      </c>
      <c r="C183" s="3466" t="s">
        <v>3390</v>
      </c>
      <c r="D183" s="3466">
        <v>-4</v>
      </c>
      <c r="E183" s="3471" t="s">
        <v>3570</v>
      </c>
      <c r="F183" s="3472">
        <v>31.64</v>
      </c>
    </row>
    <row r="184" spans="1:6" ht="13.5" customHeight="1">
      <c r="A184" s="3466">
        <v>182</v>
      </c>
      <c r="B184" s="3467" t="s">
        <v>3389</v>
      </c>
      <c r="C184" s="3466" t="s">
        <v>3390</v>
      </c>
      <c r="D184" s="3466">
        <v>-4</v>
      </c>
      <c r="E184" s="3471" t="s">
        <v>3571</v>
      </c>
      <c r="F184" s="3472">
        <v>31.64</v>
      </c>
    </row>
    <row r="185" spans="1:6" ht="13.5" customHeight="1">
      <c r="A185" s="3466">
        <v>183</v>
      </c>
      <c r="B185" s="3467" t="s">
        <v>3389</v>
      </c>
      <c r="C185" s="3466" t="s">
        <v>3390</v>
      </c>
      <c r="D185" s="3466">
        <v>-4</v>
      </c>
      <c r="E185" s="3471" t="s">
        <v>3572</v>
      </c>
      <c r="F185" s="3472">
        <v>31.64</v>
      </c>
    </row>
    <row r="186" spans="1:6" ht="13.5" customHeight="1">
      <c r="A186" s="3466">
        <v>184</v>
      </c>
      <c r="B186" s="3467" t="s">
        <v>3389</v>
      </c>
      <c r="C186" s="3466" t="s">
        <v>3390</v>
      </c>
      <c r="D186" s="3466">
        <v>-4</v>
      </c>
      <c r="E186" s="3471" t="s">
        <v>3573</v>
      </c>
      <c r="F186" s="3472">
        <v>31.64</v>
      </c>
    </row>
    <row r="187" spans="1:6" ht="13.5" customHeight="1">
      <c r="A187" s="3466">
        <v>185</v>
      </c>
      <c r="B187" s="3467" t="s">
        <v>3389</v>
      </c>
      <c r="C187" s="3466" t="s">
        <v>3390</v>
      </c>
      <c r="D187" s="3466">
        <v>-4</v>
      </c>
      <c r="E187" s="3471" t="s">
        <v>3574</v>
      </c>
      <c r="F187" s="3472">
        <v>31.64</v>
      </c>
    </row>
    <row r="188" spans="1:6" ht="13.5" customHeight="1">
      <c r="A188" s="3466">
        <v>186</v>
      </c>
      <c r="B188" s="3467" t="s">
        <v>3389</v>
      </c>
      <c r="C188" s="3466" t="s">
        <v>3390</v>
      </c>
      <c r="D188" s="3466">
        <v>-4</v>
      </c>
      <c r="E188" s="3471" t="s">
        <v>3575</v>
      </c>
      <c r="F188" s="3472">
        <v>31.64</v>
      </c>
    </row>
    <row r="189" spans="1:6" ht="13.5" customHeight="1">
      <c r="A189" s="3466">
        <v>187</v>
      </c>
      <c r="B189" s="3467" t="s">
        <v>3389</v>
      </c>
      <c r="C189" s="3466" t="s">
        <v>3390</v>
      </c>
      <c r="D189" s="3466">
        <v>-4</v>
      </c>
      <c r="E189" s="3471" t="s">
        <v>3576</v>
      </c>
      <c r="F189" s="3472">
        <v>31.64</v>
      </c>
    </row>
    <row r="190" spans="1:6" ht="13.5" customHeight="1">
      <c r="A190" s="3466">
        <v>188</v>
      </c>
      <c r="B190" s="3467" t="s">
        <v>3389</v>
      </c>
      <c r="C190" s="3466" t="s">
        <v>3390</v>
      </c>
      <c r="D190" s="3466">
        <v>-4</v>
      </c>
      <c r="E190" s="3471" t="s">
        <v>3577</v>
      </c>
      <c r="F190" s="3472">
        <v>31.64</v>
      </c>
    </row>
    <row r="191" spans="1:6" ht="13.5" customHeight="1">
      <c r="A191" s="3466">
        <v>189</v>
      </c>
      <c r="B191" s="3467" t="s">
        <v>3389</v>
      </c>
      <c r="C191" s="3466" t="s">
        <v>3390</v>
      </c>
      <c r="D191" s="3466">
        <v>-4</v>
      </c>
      <c r="E191" s="3471" t="s">
        <v>3578</v>
      </c>
      <c r="F191" s="3472">
        <v>31.64</v>
      </c>
    </row>
    <row r="192" spans="1:6" ht="13.5" customHeight="1">
      <c r="A192" s="3466">
        <v>190</v>
      </c>
      <c r="B192" s="3467" t="s">
        <v>3389</v>
      </c>
      <c r="C192" s="3466" t="s">
        <v>3390</v>
      </c>
      <c r="D192" s="3466">
        <v>-4</v>
      </c>
      <c r="E192" s="3471" t="s">
        <v>3579</v>
      </c>
      <c r="F192" s="3472">
        <v>31.64</v>
      </c>
    </row>
    <row r="193" spans="1:6" ht="13.5" customHeight="1">
      <c r="A193" s="3466">
        <v>191</v>
      </c>
      <c r="B193" s="3467" t="s">
        <v>3389</v>
      </c>
      <c r="C193" s="3466" t="s">
        <v>3390</v>
      </c>
      <c r="D193" s="3466">
        <v>-4</v>
      </c>
      <c r="E193" s="3471" t="s">
        <v>3580</v>
      </c>
      <c r="F193" s="3472">
        <v>31.64</v>
      </c>
    </row>
    <row r="194" spans="1:6" ht="13.5" customHeight="1">
      <c r="A194" s="3466">
        <v>192</v>
      </c>
      <c r="B194" s="3467" t="s">
        <v>3389</v>
      </c>
      <c r="C194" s="3466" t="s">
        <v>3390</v>
      </c>
      <c r="D194" s="3466">
        <v>-4</v>
      </c>
      <c r="E194" s="3471" t="s">
        <v>3581</v>
      </c>
      <c r="F194" s="3472">
        <v>31.64</v>
      </c>
    </row>
    <row r="195" spans="1:6" ht="13.5" customHeight="1">
      <c r="A195" s="3466">
        <v>193</v>
      </c>
      <c r="B195" s="3467" t="s">
        <v>3389</v>
      </c>
      <c r="C195" s="3466" t="s">
        <v>3390</v>
      </c>
      <c r="D195" s="3466">
        <v>-4</v>
      </c>
      <c r="E195" s="3471" t="s">
        <v>3582</v>
      </c>
      <c r="F195" s="3472">
        <v>31.64</v>
      </c>
    </row>
    <row r="196" spans="1:6" ht="13.5" customHeight="1">
      <c r="A196" s="3466">
        <v>194</v>
      </c>
      <c r="B196" s="3467" t="s">
        <v>3389</v>
      </c>
      <c r="C196" s="3466" t="s">
        <v>3390</v>
      </c>
      <c r="D196" s="3466">
        <v>-4</v>
      </c>
      <c r="E196" s="3471" t="s">
        <v>3583</v>
      </c>
      <c r="F196" s="3472">
        <v>31.64</v>
      </c>
    </row>
    <row r="197" spans="1:6" ht="13.5" customHeight="1">
      <c r="A197" s="3466">
        <v>195</v>
      </c>
      <c r="B197" s="3467" t="s">
        <v>3389</v>
      </c>
      <c r="C197" s="3466" t="s">
        <v>3390</v>
      </c>
      <c r="D197" s="3466">
        <v>-4</v>
      </c>
      <c r="E197" s="3471" t="s">
        <v>3584</v>
      </c>
      <c r="F197" s="3472">
        <v>31.64</v>
      </c>
    </row>
    <row r="198" spans="1:6" ht="13.5" customHeight="1">
      <c r="A198" s="3466">
        <v>196</v>
      </c>
      <c r="B198" s="3467" t="s">
        <v>3389</v>
      </c>
      <c r="C198" s="3466" t="s">
        <v>3390</v>
      </c>
      <c r="D198" s="3466">
        <v>-4</v>
      </c>
      <c r="E198" s="3471" t="s">
        <v>3585</v>
      </c>
      <c r="F198" s="3472">
        <v>31.64</v>
      </c>
    </row>
    <row r="199" spans="1:6" ht="13.5" customHeight="1">
      <c r="A199" s="3466">
        <v>197</v>
      </c>
      <c r="B199" s="3467" t="s">
        <v>3389</v>
      </c>
      <c r="C199" s="3466" t="s">
        <v>3390</v>
      </c>
      <c r="D199" s="3466">
        <v>-4</v>
      </c>
      <c r="E199" s="3471" t="s">
        <v>3586</v>
      </c>
      <c r="F199" s="3472">
        <v>31.64</v>
      </c>
    </row>
    <row r="200" spans="1:6" ht="13.5" customHeight="1">
      <c r="A200" s="3466">
        <v>198</v>
      </c>
      <c r="B200" s="3467" t="s">
        <v>3389</v>
      </c>
      <c r="C200" s="3466" t="s">
        <v>3390</v>
      </c>
      <c r="D200" s="3466">
        <v>-4</v>
      </c>
      <c r="E200" s="3471" t="s">
        <v>3587</v>
      </c>
      <c r="F200" s="3472">
        <v>31.64</v>
      </c>
    </row>
    <row r="201" spans="1:6" ht="13.5" customHeight="1">
      <c r="A201" s="3466">
        <v>199</v>
      </c>
      <c r="B201" s="3467" t="s">
        <v>3389</v>
      </c>
      <c r="C201" s="3466" t="s">
        <v>3390</v>
      </c>
      <c r="D201" s="3466">
        <v>-4</v>
      </c>
      <c r="E201" s="3471" t="s">
        <v>3588</v>
      </c>
      <c r="F201" s="3472">
        <v>31.64</v>
      </c>
    </row>
    <row r="202" spans="1:6" ht="13.5" customHeight="1">
      <c r="A202" s="3466">
        <v>200</v>
      </c>
      <c r="B202" s="3467" t="s">
        <v>3389</v>
      </c>
      <c r="C202" s="3466" t="s">
        <v>3390</v>
      </c>
      <c r="D202" s="3466">
        <v>-4</v>
      </c>
      <c r="E202" s="3471" t="s">
        <v>3589</v>
      </c>
      <c r="F202" s="3472">
        <v>31.64</v>
      </c>
    </row>
    <row r="203" spans="1:6" ht="13.5" customHeight="1">
      <c r="A203" s="3466">
        <v>201</v>
      </c>
      <c r="B203" s="3467" t="s">
        <v>3389</v>
      </c>
      <c r="C203" s="3466" t="s">
        <v>3390</v>
      </c>
      <c r="D203" s="3466">
        <v>-4</v>
      </c>
      <c r="E203" s="3471" t="s">
        <v>3590</v>
      </c>
      <c r="F203" s="3472">
        <v>31.64</v>
      </c>
    </row>
    <row r="204" spans="1:6" ht="13.5" customHeight="1">
      <c r="A204" s="3466">
        <v>202</v>
      </c>
      <c r="B204" s="3467" t="s">
        <v>3389</v>
      </c>
      <c r="C204" s="3466" t="s">
        <v>3390</v>
      </c>
      <c r="D204" s="3466">
        <v>-4</v>
      </c>
      <c r="E204" s="3471" t="s">
        <v>3591</v>
      </c>
      <c r="F204" s="3472">
        <v>31.64</v>
      </c>
    </row>
    <row r="205" spans="1:6" ht="13.5" customHeight="1">
      <c r="A205" s="3466">
        <v>203</v>
      </c>
      <c r="B205" s="3467" t="s">
        <v>3389</v>
      </c>
      <c r="C205" s="3466" t="s">
        <v>3390</v>
      </c>
      <c r="D205" s="3466">
        <v>-4</v>
      </c>
      <c r="E205" s="3471" t="s">
        <v>3592</v>
      </c>
      <c r="F205" s="3472">
        <v>31.64</v>
      </c>
    </row>
    <row r="206" spans="1:6" ht="13.5" customHeight="1">
      <c r="A206" s="3466">
        <v>204</v>
      </c>
      <c r="B206" s="3467" t="s">
        <v>3389</v>
      </c>
      <c r="C206" s="3466" t="s">
        <v>3390</v>
      </c>
      <c r="D206" s="3466">
        <v>-4</v>
      </c>
      <c r="E206" s="3471" t="s">
        <v>3593</v>
      </c>
      <c r="F206" s="3472">
        <v>31.64</v>
      </c>
    </row>
    <row r="207" spans="1:6" ht="13.5" customHeight="1">
      <c r="A207" s="3466">
        <v>205</v>
      </c>
      <c r="B207" s="3467" t="s">
        <v>3389</v>
      </c>
      <c r="C207" s="3466" t="s">
        <v>3390</v>
      </c>
      <c r="D207" s="3466">
        <v>-4</v>
      </c>
      <c r="E207" s="3471" t="s">
        <v>3594</v>
      </c>
      <c r="F207" s="3472">
        <v>86.28</v>
      </c>
    </row>
    <row r="208" spans="1:6" ht="13.5" customHeight="1">
      <c r="A208" s="3466">
        <v>206</v>
      </c>
      <c r="B208" s="3467" t="s">
        <v>3389</v>
      </c>
      <c r="C208" s="3466" t="s">
        <v>3390</v>
      </c>
      <c r="D208" s="3466">
        <v>-4</v>
      </c>
      <c r="E208" s="3471" t="s">
        <v>3595</v>
      </c>
      <c r="F208" s="3472">
        <v>86.28</v>
      </c>
    </row>
    <row r="209" spans="1:6" ht="13.5" customHeight="1">
      <c r="A209" s="3466">
        <v>207</v>
      </c>
      <c r="B209" s="3467" t="s">
        <v>3389</v>
      </c>
      <c r="C209" s="3466" t="s">
        <v>3390</v>
      </c>
      <c r="D209" s="3466">
        <v>-4</v>
      </c>
      <c r="E209" s="3471" t="s">
        <v>3596</v>
      </c>
      <c r="F209" s="3472">
        <v>86.28</v>
      </c>
    </row>
    <row r="210" spans="1:6" ht="13.5" customHeight="1">
      <c r="A210" s="3466">
        <v>208</v>
      </c>
      <c r="B210" s="3467" t="s">
        <v>3389</v>
      </c>
      <c r="C210" s="3466" t="s">
        <v>3390</v>
      </c>
      <c r="D210" s="3466">
        <v>-4</v>
      </c>
      <c r="E210" s="3471" t="s">
        <v>3597</v>
      </c>
      <c r="F210" s="3472">
        <v>86.28</v>
      </c>
    </row>
    <row r="211" spans="1:6" ht="13.5" customHeight="1">
      <c r="A211" s="3466">
        <v>209</v>
      </c>
      <c r="B211" s="3467" t="s">
        <v>3389</v>
      </c>
      <c r="C211" s="3466" t="s">
        <v>3390</v>
      </c>
      <c r="D211" s="3466">
        <v>-4</v>
      </c>
      <c r="E211" s="3471" t="s">
        <v>3598</v>
      </c>
      <c r="F211" s="3472">
        <v>86.28</v>
      </c>
    </row>
    <row r="212" spans="1:6" ht="13.5" customHeight="1">
      <c r="A212" s="3466">
        <v>210</v>
      </c>
      <c r="B212" s="3467" t="s">
        <v>3389</v>
      </c>
      <c r="C212" s="3466" t="s">
        <v>3390</v>
      </c>
      <c r="D212" s="3466">
        <v>-4</v>
      </c>
      <c r="E212" s="3471" t="s">
        <v>3599</v>
      </c>
      <c r="F212" s="3472">
        <v>86.28</v>
      </c>
    </row>
    <row r="213" spans="1:6" ht="13.5" customHeight="1">
      <c r="A213" s="3466">
        <v>211</v>
      </c>
      <c r="B213" s="3467" t="s">
        <v>3389</v>
      </c>
      <c r="C213" s="3466" t="s">
        <v>3390</v>
      </c>
      <c r="D213" s="3466">
        <v>-4</v>
      </c>
      <c r="E213" s="3471" t="s">
        <v>3600</v>
      </c>
      <c r="F213" s="3472">
        <v>86.28</v>
      </c>
    </row>
    <row r="214" spans="1:6" ht="13.5" customHeight="1">
      <c r="A214" s="3466">
        <v>212</v>
      </c>
      <c r="B214" s="3467" t="s">
        <v>3389</v>
      </c>
      <c r="C214" s="3466" t="s">
        <v>3390</v>
      </c>
      <c r="D214" s="3466">
        <v>-4</v>
      </c>
      <c r="E214" s="3471" t="s">
        <v>3601</v>
      </c>
      <c r="F214" s="3472">
        <v>86.28</v>
      </c>
    </row>
    <row r="215" spans="1:6" ht="13.5" customHeight="1">
      <c r="A215" s="3466">
        <v>213</v>
      </c>
      <c r="B215" s="3467" t="s">
        <v>3389</v>
      </c>
      <c r="C215" s="3466" t="s">
        <v>3390</v>
      </c>
      <c r="D215" s="3466">
        <v>-4</v>
      </c>
      <c r="E215" s="3471" t="s">
        <v>3602</v>
      </c>
      <c r="F215" s="3472">
        <v>86.28</v>
      </c>
    </row>
    <row r="216" spans="1:6" ht="13.5" customHeight="1">
      <c r="A216" s="3466">
        <v>214</v>
      </c>
      <c r="B216" s="3467" t="s">
        <v>3389</v>
      </c>
      <c r="C216" s="3466" t="s">
        <v>3390</v>
      </c>
      <c r="D216" s="3466">
        <v>-4</v>
      </c>
      <c r="E216" s="3471" t="s">
        <v>3603</v>
      </c>
      <c r="F216" s="3472">
        <v>86.28</v>
      </c>
    </row>
    <row r="217" spans="1:6" ht="13.5" customHeight="1">
      <c r="A217" s="3466">
        <v>215</v>
      </c>
      <c r="B217" s="3467" t="s">
        <v>3389</v>
      </c>
      <c r="C217" s="3466" t="s">
        <v>3390</v>
      </c>
      <c r="D217" s="3466">
        <v>-4</v>
      </c>
      <c r="E217" s="3471" t="s">
        <v>3604</v>
      </c>
      <c r="F217" s="3472">
        <v>86.28</v>
      </c>
    </row>
    <row r="218" spans="1:6" ht="13.5" customHeight="1">
      <c r="A218" s="3466">
        <v>216</v>
      </c>
      <c r="B218" s="3467" t="s">
        <v>3389</v>
      </c>
      <c r="C218" s="3466" t="s">
        <v>3390</v>
      </c>
      <c r="D218" s="3466">
        <v>-4</v>
      </c>
      <c r="E218" s="3471" t="s">
        <v>3605</v>
      </c>
      <c r="F218" s="3472">
        <v>86.28</v>
      </c>
    </row>
    <row r="219" spans="1:6" ht="13.5" customHeight="1">
      <c r="A219" s="3466">
        <v>217</v>
      </c>
      <c r="B219" s="3467" t="s">
        <v>3389</v>
      </c>
      <c r="C219" s="3466" t="s">
        <v>3390</v>
      </c>
      <c r="D219" s="3466">
        <v>-4</v>
      </c>
      <c r="E219" s="3471" t="s">
        <v>3606</v>
      </c>
      <c r="F219" s="3472">
        <v>86.28</v>
      </c>
    </row>
    <row r="220" spans="1:6" ht="13.5" customHeight="1">
      <c r="A220" s="3466">
        <v>218</v>
      </c>
      <c r="B220" s="3467" t="s">
        <v>3389</v>
      </c>
      <c r="C220" s="3466" t="s">
        <v>3390</v>
      </c>
      <c r="D220" s="3466">
        <v>-4</v>
      </c>
      <c r="E220" s="3471" t="s">
        <v>3607</v>
      </c>
      <c r="F220" s="3472">
        <v>86.28</v>
      </c>
    </row>
    <row r="221" spans="1:6" ht="13.5" customHeight="1">
      <c r="A221" s="3466">
        <v>219</v>
      </c>
      <c r="B221" s="3467" t="s">
        <v>3389</v>
      </c>
      <c r="C221" s="3466" t="s">
        <v>3390</v>
      </c>
      <c r="D221" s="3466">
        <v>-4</v>
      </c>
      <c r="E221" s="3471" t="s">
        <v>3608</v>
      </c>
      <c r="F221" s="3472">
        <v>86.28</v>
      </c>
    </row>
    <row r="222" spans="1:6" ht="13.5" customHeight="1">
      <c r="A222" s="3466">
        <v>220</v>
      </c>
      <c r="B222" s="3467" t="s">
        <v>3389</v>
      </c>
      <c r="C222" s="3466" t="s">
        <v>3390</v>
      </c>
      <c r="D222" s="3466">
        <v>-4</v>
      </c>
      <c r="E222" s="3471" t="s">
        <v>3609</v>
      </c>
      <c r="F222" s="3472">
        <v>86.28</v>
      </c>
    </row>
    <row r="223" spans="1:6" ht="13.5" customHeight="1">
      <c r="A223" s="3466">
        <v>221</v>
      </c>
      <c r="B223" s="3467" t="s">
        <v>3389</v>
      </c>
      <c r="C223" s="3466" t="s">
        <v>3390</v>
      </c>
      <c r="D223" s="3466">
        <v>-4</v>
      </c>
      <c r="E223" s="3471" t="s">
        <v>3610</v>
      </c>
      <c r="F223" s="3472">
        <v>86.28</v>
      </c>
    </row>
    <row r="224" spans="1:6" ht="13.5" customHeight="1">
      <c r="A224" s="3466">
        <v>222</v>
      </c>
      <c r="B224" s="3467" t="s">
        <v>3389</v>
      </c>
      <c r="C224" s="3466" t="s">
        <v>3390</v>
      </c>
      <c r="D224" s="3466">
        <v>-4</v>
      </c>
      <c r="E224" s="3471" t="s">
        <v>3611</v>
      </c>
      <c r="F224" s="3472">
        <v>86.28</v>
      </c>
    </row>
    <row r="225" spans="1:6" ht="13.5" customHeight="1">
      <c r="A225" s="3466">
        <v>223</v>
      </c>
      <c r="B225" s="3467" t="s">
        <v>3389</v>
      </c>
      <c r="C225" s="3466" t="s">
        <v>3390</v>
      </c>
      <c r="D225" s="3466">
        <v>-4</v>
      </c>
      <c r="E225" s="3471" t="s">
        <v>3612</v>
      </c>
      <c r="F225" s="3472">
        <v>45.73</v>
      </c>
    </row>
    <row r="226" spans="1:6" ht="13.5" customHeight="1">
      <c r="A226" s="3466">
        <v>224</v>
      </c>
      <c r="B226" s="3467" t="s">
        <v>3389</v>
      </c>
      <c r="C226" s="3466" t="s">
        <v>3390</v>
      </c>
      <c r="D226" s="3466">
        <v>-4</v>
      </c>
      <c r="E226" s="3471" t="s">
        <v>3613</v>
      </c>
      <c r="F226" s="3472">
        <v>45.73</v>
      </c>
    </row>
    <row r="227" spans="1:6" ht="13.5" customHeight="1">
      <c r="A227" s="3466">
        <v>225</v>
      </c>
      <c r="B227" s="3467" t="s">
        <v>3389</v>
      </c>
      <c r="C227" s="3466" t="s">
        <v>3390</v>
      </c>
      <c r="D227" s="3466">
        <v>-4</v>
      </c>
      <c r="E227" s="3471" t="s">
        <v>3614</v>
      </c>
      <c r="F227" s="3472">
        <v>45.73</v>
      </c>
    </row>
    <row r="228" spans="1:6" ht="13.5" customHeight="1">
      <c r="A228" s="3466">
        <v>226</v>
      </c>
      <c r="B228" s="3467" t="s">
        <v>3389</v>
      </c>
      <c r="C228" s="3466" t="s">
        <v>3390</v>
      </c>
      <c r="D228" s="3466">
        <v>-4</v>
      </c>
      <c r="E228" s="3471" t="s">
        <v>3615</v>
      </c>
      <c r="F228" s="3472">
        <v>45.73</v>
      </c>
    </row>
    <row r="229" spans="1:6" ht="13.5" customHeight="1">
      <c r="A229" s="3466">
        <v>227</v>
      </c>
      <c r="B229" s="3467" t="s">
        <v>3389</v>
      </c>
      <c r="C229" s="3466" t="s">
        <v>3390</v>
      </c>
      <c r="D229" s="3466">
        <v>-4</v>
      </c>
      <c r="E229" s="3471" t="s">
        <v>3616</v>
      </c>
      <c r="F229" s="3472">
        <v>45.73</v>
      </c>
    </row>
    <row r="230" spans="1:6" ht="13.5" customHeight="1">
      <c r="A230" s="3466">
        <v>228</v>
      </c>
      <c r="B230" s="3467" t="s">
        <v>3389</v>
      </c>
      <c r="C230" s="3466" t="s">
        <v>3390</v>
      </c>
      <c r="D230" s="3466">
        <v>-4</v>
      </c>
      <c r="E230" s="3471" t="s">
        <v>3617</v>
      </c>
      <c r="F230" s="3472">
        <v>45.73</v>
      </c>
    </row>
    <row r="231" spans="1:6" ht="13.5" customHeight="1">
      <c r="A231" s="3466">
        <v>229</v>
      </c>
      <c r="B231" s="3467" t="s">
        <v>3389</v>
      </c>
      <c r="C231" s="3466" t="s">
        <v>3390</v>
      </c>
      <c r="D231" s="3466">
        <v>-4</v>
      </c>
      <c r="E231" s="3471" t="s">
        <v>3618</v>
      </c>
      <c r="F231" s="3472">
        <v>45.73</v>
      </c>
    </row>
    <row r="232" spans="1:6" ht="13.5" customHeight="1">
      <c r="A232" s="3466">
        <v>230</v>
      </c>
      <c r="B232" s="3467" t="s">
        <v>3389</v>
      </c>
      <c r="C232" s="3466" t="s">
        <v>3390</v>
      </c>
      <c r="D232" s="3466">
        <v>-4</v>
      </c>
      <c r="E232" s="3471" t="s">
        <v>3619</v>
      </c>
      <c r="F232" s="3472">
        <v>45.73</v>
      </c>
    </row>
    <row r="233" spans="1:6" ht="13.5" customHeight="1">
      <c r="A233" s="3466">
        <v>231</v>
      </c>
      <c r="B233" s="3467" t="s">
        <v>3389</v>
      </c>
      <c r="C233" s="3466" t="s">
        <v>3390</v>
      </c>
      <c r="D233" s="3466">
        <v>-4</v>
      </c>
      <c r="E233" s="3471" t="s">
        <v>3620</v>
      </c>
      <c r="F233" s="3472">
        <v>45.73</v>
      </c>
    </row>
    <row r="234" spans="1:6" ht="13.5" customHeight="1">
      <c r="A234" s="3466">
        <v>232</v>
      </c>
      <c r="B234" s="3467" t="s">
        <v>3389</v>
      </c>
      <c r="C234" s="3466" t="s">
        <v>3390</v>
      </c>
      <c r="D234" s="3466">
        <v>-4</v>
      </c>
      <c r="E234" s="3471" t="s">
        <v>3621</v>
      </c>
      <c r="F234" s="3472">
        <v>45.73</v>
      </c>
    </row>
    <row r="235" spans="1:6" ht="13.5" customHeight="1">
      <c r="A235" s="3466">
        <v>233</v>
      </c>
      <c r="B235" s="3467" t="s">
        <v>3389</v>
      </c>
      <c r="C235" s="3466" t="s">
        <v>3390</v>
      </c>
      <c r="D235" s="3466">
        <v>-4</v>
      </c>
      <c r="E235" s="3471" t="s">
        <v>3622</v>
      </c>
      <c r="F235" s="3472">
        <v>45.73</v>
      </c>
    </row>
    <row r="236" spans="1:6" ht="13.5" customHeight="1">
      <c r="A236" s="3466">
        <v>234</v>
      </c>
      <c r="B236" s="3467" t="s">
        <v>3389</v>
      </c>
      <c r="C236" s="3466" t="s">
        <v>3390</v>
      </c>
      <c r="D236" s="3466">
        <v>-4</v>
      </c>
      <c r="E236" s="3471" t="s">
        <v>3623</v>
      </c>
      <c r="F236" s="3472">
        <v>45.73</v>
      </c>
    </row>
    <row r="237" spans="1:6" ht="13.5" customHeight="1">
      <c r="A237" s="3466">
        <v>235</v>
      </c>
      <c r="B237" s="3467" t="s">
        <v>3389</v>
      </c>
      <c r="C237" s="3466" t="s">
        <v>3390</v>
      </c>
      <c r="D237" s="3466">
        <v>-4</v>
      </c>
      <c r="E237" s="3471" t="s">
        <v>3624</v>
      </c>
      <c r="F237" s="3472">
        <v>45.73</v>
      </c>
    </row>
    <row r="238" spans="1:6" ht="13.5" customHeight="1">
      <c r="A238" s="3466">
        <v>236</v>
      </c>
      <c r="B238" s="3467" t="s">
        <v>3389</v>
      </c>
      <c r="C238" s="3466" t="s">
        <v>3390</v>
      </c>
      <c r="D238" s="3466">
        <v>-4</v>
      </c>
      <c r="E238" s="3471" t="s">
        <v>3625</v>
      </c>
      <c r="F238" s="3472">
        <v>45.73</v>
      </c>
    </row>
    <row r="239" spans="1:6" ht="13.5" customHeight="1">
      <c r="A239" s="3466">
        <v>237</v>
      </c>
      <c r="B239" s="3467" t="s">
        <v>3389</v>
      </c>
      <c r="C239" s="3466" t="s">
        <v>3390</v>
      </c>
      <c r="D239" s="3466">
        <v>-4</v>
      </c>
      <c r="E239" s="3471" t="s">
        <v>3626</v>
      </c>
      <c r="F239" s="3472">
        <v>45.73</v>
      </c>
    </row>
    <row r="240" spans="1:6" ht="13.5" customHeight="1">
      <c r="A240" s="3466">
        <v>238</v>
      </c>
      <c r="B240" s="3467" t="s">
        <v>3389</v>
      </c>
      <c r="C240" s="3466" t="s">
        <v>3390</v>
      </c>
      <c r="D240" s="3466">
        <v>-4</v>
      </c>
      <c r="E240" s="3471" t="s">
        <v>3627</v>
      </c>
      <c r="F240" s="3472">
        <v>45.73</v>
      </c>
    </row>
    <row r="241" spans="1:6" ht="13.5" customHeight="1">
      <c r="A241" s="3466">
        <v>239</v>
      </c>
      <c r="B241" s="3467" t="s">
        <v>3389</v>
      </c>
      <c r="C241" s="3466" t="s">
        <v>3390</v>
      </c>
      <c r="D241" s="3466">
        <v>-4</v>
      </c>
      <c r="E241" s="3471" t="s">
        <v>3628</v>
      </c>
      <c r="F241" s="3472">
        <v>45.73</v>
      </c>
    </row>
    <row r="242" spans="1:6" ht="13.5" customHeight="1">
      <c r="A242" s="3466">
        <v>240</v>
      </c>
      <c r="B242" s="3467" t="s">
        <v>3389</v>
      </c>
      <c r="C242" s="3466" t="s">
        <v>3390</v>
      </c>
      <c r="D242" s="3466">
        <v>-4</v>
      </c>
      <c r="E242" s="3471" t="s">
        <v>3629</v>
      </c>
      <c r="F242" s="3472">
        <v>45.73</v>
      </c>
    </row>
    <row r="243" spans="1:6" ht="13.5" customHeight="1">
      <c r="A243" s="3466">
        <v>241</v>
      </c>
      <c r="B243" s="3467" t="s">
        <v>3389</v>
      </c>
      <c r="C243" s="3466" t="s">
        <v>3390</v>
      </c>
      <c r="D243" s="3466">
        <v>-4</v>
      </c>
      <c r="E243" s="3471" t="s">
        <v>3630</v>
      </c>
      <c r="F243" s="3472">
        <v>45.73</v>
      </c>
    </row>
    <row r="244" spans="1:6" ht="13.5" customHeight="1">
      <c r="A244" s="3466">
        <v>242</v>
      </c>
      <c r="B244" s="3467" t="s">
        <v>3389</v>
      </c>
      <c r="C244" s="3466" t="s">
        <v>3390</v>
      </c>
      <c r="D244" s="3466">
        <v>-4</v>
      </c>
      <c r="E244" s="3471" t="s">
        <v>3631</v>
      </c>
      <c r="F244" s="3472">
        <v>45.73</v>
      </c>
    </row>
    <row r="245" spans="1:6" ht="13.5" customHeight="1">
      <c r="A245" s="3466">
        <v>243</v>
      </c>
      <c r="B245" s="3467" t="s">
        <v>3389</v>
      </c>
      <c r="C245" s="3466" t="s">
        <v>3390</v>
      </c>
      <c r="D245" s="3466">
        <v>-4</v>
      </c>
      <c r="E245" s="3471" t="s">
        <v>3632</v>
      </c>
      <c r="F245" s="3472">
        <v>45.73</v>
      </c>
    </row>
    <row r="246" spans="1:6" ht="13.5" customHeight="1">
      <c r="A246" s="3466">
        <v>244</v>
      </c>
      <c r="B246" s="3467" t="s">
        <v>3389</v>
      </c>
      <c r="C246" s="3466" t="s">
        <v>3390</v>
      </c>
      <c r="D246" s="3466">
        <v>-4</v>
      </c>
      <c r="E246" s="3471" t="s">
        <v>3633</v>
      </c>
      <c r="F246" s="3472">
        <v>45.73</v>
      </c>
    </row>
    <row r="247" spans="1:6" ht="13.5" customHeight="1">
      <c r="A247" s="3466">
        <v>245</v>
      </c>
      <c r="B247" s="3467" t="s">
        <v>3389</v>
      </c>
      <c r="C247" s="3466" t="s">
        <v>3390</v>
      </c>
      <c r="D247" s="3466">
        <v>-4</v>
      </c>
      <c r="E247" s="3471" t="s">
        <v>3634</v>
      </c>
      <c r="F247" s="3472">
        <v>45.73</v>
      </c>
    </row>
    <row r="248" spans="1:6" ht="13.5" customHeight="1">
      <c r="A248" s="3466">
        <v>246</v>
      </c>
      <c r="B248" s="3467" t="s">
        <v>3389</v>
      </c>
      <c r="C248" s="3466" t="s">
        <v>3390</v>
      </c>
      <c r="D248" s="3466">
        <v>-4</v>
      </c>
      <c r="E248" s="3471" t="s">
        <v>3635</v>
      </c>
      <c r="F248" s="3472">
        <v>45.73</v>
      </c>
    </row>
    <row r="249" spans="1:6" ht="13.5" customHeight="1">
      <c r="A249" s="3466">
        <v>247</v>
      </c>
      <c r="B249" s="3467" t="s">
        <v>3389</v>
      </c>
      <c r="C249" s="3466" t="s">
        <v>3390</v>
      </c>
      <c r="D249" s="3466">
        <v>-4</v>
      </c>
      <c r="E249" s="3471" t="s">
        <v>3636</v>
      </c>
      <c r="F249" s="3472">
        <v>45.73</v>
      </c>
    </row>
    <row r="250" spans="1:6" ht="13.5" customHeight="1">
      <c r="A250" s="3466">
        <v>248</v>
      </c>
      <c r="B250" s="3467" t="s">
        <v>3389</v>
      </c>
      <c r="C250" s="3466" t="s">
        <v>3390</v>
      </c>
      <c r="D250" s="3466">
        <v>-4</v>
      </c>
      <c r="E250" s="3471" t="s">
        <v>3637</v>
      </c>
      <c r="F250" s="3472">
        <v>45.73</v>
      </c>
    </row>
    <row r="251" spans="1:6" ht="13.5" customHeight="1">
      <c r="A251" s="3466">
        <v>249</v>
      </c>
      <c r="B251" s="3467" t="s">
        <v>3389</v>
      </c>
      <c r="C251" s="3466" t="s">
        <v>3390</v>
      </c>
      <c r="D251" s="3466">
        <v>-4</v>
      </c>
      <c r="E251" s="3471" t="s">
        <v>3638</v>
      </c>
      <c r="F251" s="3472">
        <v>45.73</v>
      </c>
    </row>
    <row r="252" spans="1:6" ht="13.5" customHeight="1">
      <c r="A252" s="3466">
        <v>250</v>
      </c>
      <c r="B252" s="3467" t="s">
        <v>3389</v>
      </c>
      <c r="C252" s="3466" t="s">
        <v>3390</v>
      </c>
      <c r="D252" s="3466">
        <v>-4</v>
      </c>
      <c r="E252" s="3471" t="s">
        <v>3639</v>
      </c>
      <c r="F252" s="3472">
        <v>45.73</v>
      </c>
    </row>
    <row r="253" spans="1:6" ht="13.5" customHeight="1">
      <c r="A253" s="3466">
        <v>251</v>
      </c>
      <c r="B253" s="3467" t="s">
        <v>3389</v>
      </c>
      <c r="C253" s="3466" t="s">
        <v>3390</v>
      </c>
      <c r="D253" s="3466">
        <v>-4</v>
      </c>
      <c r="E253" s="3471" t="s">
        <v>3640</v>
      </c>
      <c r="F253" s="3472">
        <v>45.73</v>
      </c>
    </row>
    <row r="254" spans="1:6" ht="13.5" customHeight="1">
      <c r="A254" s="3466">
        <v>252</v>
      </c>
      <c r="B254" s="3467" t="s">
        <v>3389</v>
      </c>
      <c r="C254" s="3466" t="s">
        <v>3390</v>
      </c>
      <c r="D254" s="3466">
        <v>-4</v>
      </c>
      <c r="E254" s="3471" t="s">
        <v>3641</v>
      </c>
      <c r="F254" s="3472">
        <v>45.73</v>
      </c>
    </row>
    <row r="255" spans="1:6" ht="13.5" customHeight="1">
      <c r="A255" s="3466">
        <v>253</v>
      </c>
      <c r="B255" s="3467" t="s">
        <v>3389</v>
      </c>
      <c r="C255" s="3466" t="s">
        <v>3390</v>
      </c>
      <c r="D255" s="3466">
        <v>-4</v>
      </c>
      <c r="E255" s="3471" t="s">
        <v>3642</v>
      </c>
      <c r="F255" s="3472">
        <v>45.73</v>
      </c>
    </row>
    <row r="256" spans="1:6" ht="13.5" customHeight="1">
      <c r="A256" s="3466">
        <v>254</v>
      </c>
      <c r="B256" s="3467" t="s">
        <v>3389</v>
      </c>
      <c r="C256" s="3466" t="s">
        <v>3390</v>
      </c>
      <c r="D256" s="3466">
        <v>-4</v>
      </c>
      <c r="E256" s="3471" t="s">
        <v>3643</v>
      </c>
      <c r="F256" s="3472">
        <v>45.73</v>
      </c>
    </row>
    <row r="257" spans="1:6" ht="13.5" customHeight="1">
      <c r="A257" s="3466">
        <v>255</v>
      </c>
      <c r="B257" s="3467" t="s">
        <v>3389</v>
      </c>
      <c r="C257" s="3466" t="s">
        <v>3390</v>
      </c>
      <c r="D257" s="3466">
        <v>-4</v>
      </c>
      <c r="E257" s="3471" t="s">
        <v>3644</v>
      </c>
      <c r="F257" s="3472">
        <v>45.73</v>
      </c>
    </row>
    <row r="258" spans="1:6" ht="13.5" customHeight="1">
      <c r="A258" s="3466">
        <v>256</v>
      </c>
      <c r="B258" s="3467" t="s">
        <v>3389</v>
      </c>
      <c r="C258" s="3466" t="s">
        <v>3390</v>
      </c>
      <c r="D258" s="3466">
        <v>-4</v>
      </c>
      <c r="E258" s="3471" t="s">
        <v>3645</v>
      </c>
      <c r="F258" s="3472">
        <v>45.73</v>
      </c>
    </row>
    <row r="259" spans="1:6" ht="13.5" customHeight="1">
      <c r="A259" s="3466">
        <v>257</v>
      </c>
      <c r="B259" s="3467" t="s">
        <v>3389</v>
      </c>
      <c r="C259" s="3466" t="s">
        <v>3390</v>
      </c>
      <c r="D259" s="3466">
        <v>-4</v>
      </c>
      <c r="E259" s="3471" t="s">
        <v>3646</v>
      </c>
      <c r="F259" s="3472">
        <v>45.73</v>
      </c>
    </row>
    <row r="260" spans="1:6" ht="13.5" customHeight="1">
      <c r="A260" s="3466">
        <v>258</v>
      </c>
      <c r="B260" s="3467" t="s">
        <v>3389</v>
      </c>
      <c r="C260" s="3466" t="s">
        <v>3390</v>
      </c>
      <c r="D260" s="3466">
        <v>-4</v>
      </c>
      <c r="E260" s="3471" t="s">
        <v>3647</v>
      </c>
      <c r="F260" s="3472">
        <v>45.73</v>
      </c>
    </row>
    <row r="261" spans="1:6" ht="13.5" customHeight="1">
      <c r="A261" s="3466">
        <v>259</v>
      </c>
      <c r="B261" s="3467" t="s">
        <v>3389</v>
      </c>
      <c r="C261" s="3466" t="s">
        <v>3390</v>
      </c>
      <c r="D261" s="3466">
        <v>-4</v>
      </c>
      <c r="E261" s="3471" t="s">
        <v>3648</v>
      </c>
      <c r="F261" s="3472">
        <v>45.73</v>
      </c>
    </row>
    <row r="262" spans="1:6" ht="13.5" customHeight="1">
      <c r="A262" s="3466">
        <v>260</v>
      </c>
      <c r="B262" s="3467" t="s">
        <v>3389</v>
      </c>
      <c r="C262" s="3466" t="s">
        <v>3390</v>
      </c>
      <c r="D262" s="3466">
        <v>-4</v>
      </c>
      <c r="E262" s="3471" t="s">
        <v>3649</v>
      </c>
      <c r="F262" s="3472">
        <v>45.73</v>
      </c>
    </row>
    <row r="263" spans="1:6" ht="13.5" customHeight="1">
      <c r="A263" s="3466">
        <v>261</v>
      </c>
      <c r="B263" s="3467" t="s">
        <v>3389</v>
      </c>
      <c r="C263" s="3466" t="s">
        <v>3390</v>
      </c>
      <c r="D263" s="3466">
        <v>-4</v>
      </c>
      <c r="E263" s="3471" t="s">
        <v>3650</v>
      </c>
      <c r="F263" s="3472">
        <v>45.73</v>
      </c>
    </row>
    <row r="264" spans="1:6" ht="13.5" customHeight="1">
      <c r="A264" s="3466">
        <v>262</v>
      </c>
      <c r="B264" s="3467" t="s">
        <v>3389</v>
      </c>
      <c r="C264" s="3466" t="s">
        <v>3390</v>
      </c>
      <c r="D264" s="3466">
        <v>-4</v>
      </c>
      <c r="E264" s="3471" t="s">
        <v>3651</v>
      </c>
      <c r="F264" s="3472">
        <v>45.73</v>
      </c>
    </row>
    <row r="265" spans="1:6" ht="13.5" customHeight="1">
      <c r="A265" s="3466">
        <v>263</v>
      </c>
      <c r="B265" s="3467" t="s">
        <v>3389</v>
      </c>
      <c r="C265" s="3466" t="s">
        <v>3390</v>
      </c>
      <c r="D265" s="3466">
        <v>-4</v>
      </c>
      <c r="E265" s="3471" t="s">
        <v>3652</v>
      </c>
      <c r="F265" s="3472">
        <v>45.73</v>
      </c>
    </row>
    <row r="266" spans="1:6" ht="13.5" customHeight="1">
      <c r="A266" s="3466">
        <v>264</v>
      </c>
      <c r="B266" s="3467" t="s">
        <v>3389</v>
      </c>
      <c r="C266" s="3466" t="s">
        <v>3390</v>
      </c>
      <c r="D266" s="3466">
        <v>-4</v>
      </c>
      <c r="E266" s="3471" t="s">
        <v>3653</v>
      </c>
      <c r="F266" s="3472">
        <v>45.73</v>
      </c>
    </row>
    <row r="267" spans="1:6" ht="13.5" customHeight="1">
      <c r="A267" s="3466">
        <v>265</v>
      </c>
      <c r="B267" s="3467" t="s">
        <v>3389</v>
      </c>
      <c r="C267" s="3466" t="s">
        <v>3390</v>
      </c>
      <c r="D267" s="3466">
        <v>-4</v>
      </c>
      <c r="E267" s="3471" t="s">
        <v>3654</v>
      </c>
      <c r="F267" s="3472">
        <v>45.73</v>
      </c>
    </row>
    <row r="268" spans="1:6" ht="13.5" customHeight="1">
      <c r="A268" s="3466">
        <v>266</v>
      </c>
      <c r="B268" s="3467" t="s">
        <v>3389</v>
      </c>
      <c r="C268" s="3466" t="s">
        <v>3390</v>
      </c>
      <c r="D268" s="3466">
        <v>-4</v>
      </c>
      <c r="E268" s="3471" t="s">
        <v>3655</v>
      </c>
      <c r="F268" s="3472">
        <v>45.73</v>
      </c>
    </row>
    <row r="269" spans="1:6" ht="13.5" customHeight="1">
      <c r="A269" s="3466">
        <v>267</v>
      </c>
      <c r="B269" s="3467" t="s">
        <v>3389</v>
      </c>
      <c r="C269" s="3466" t="s">
        <v>3390</v>
      </c>
      <c r="D269" s="3466">
        <v>-4</v>
      </c>
      <c r="E269" s="3471" t="s">
        <v>3656</v>
      </c>
      <c r="F269" s="3472">
        <v>45.73</v>
      </c>
    </row>
    <row r="270" spans="1:6" ht="13.5" customHeight="1">
      <c r="A270" s="3466">
        <v>268</v>
      </c>
      <c r="B270" s="3467" t="s">
        <v>3389</v>
      </c>
      <c r="C270" s="3466" t="s">
        <v>3390</v>
      </c>
      <c r="D270" s="3466">
        <v>-4</v>
      </c>
      <c r="E270" s="3471" t="s">
        <v>3657</v>
      </c>
      <c r="F270" s="3472">
        <v>45.73</v>
      </c>
    </row>
    <row r="271" spans="1:6" ht="13.5" customHeight="1">
      <c r="A271" s="3466">
        <v>269</v>
      </c>
      <c r="B271" s="3467" t="s">
        <v>3389</v>
      </c>
      <c r="C271" s="3466" t="s">
        <v>3390</v>
      </c>
      <c r="D271" s="3466">
        <v>-4</v>
      </c>
      <c r="E271" s="3471" t="s">
        <v>3658</v>
      </c>
      <c r="F271" s="3472">
        <v>45.73</v>
      </c>
    </row>
    <row r="272" spans="1:6" ht="13.5" customHeight="1">
      <c r="A272" s="3466">
        <v>270</v>
      </c>
      <c r="B272" s="3467" t="s">
        <v>3389</v>
      </c>
      <c r="C272" s="3466" t="s">
        <v>3390</v>
      </c>
      <c r="D272" s="3466">
        <v>-4</v>
      </c>
      <c r="E272" s="3471" t="s">
        <v>3659</v>
      </c>
      <c r="F272" s="3472">
        <v>45.73</v>
      </c>
    </row>
    <row r="273" spans="1:6" ht="13.5" customHeight="1">
      <c r="A273" s="3466">
        <v>271</v>
      </c>
      <c r="B273" s="3467" t="s">
        <v>3389</v>
      </c>
      <c r="C273" s="3466" t="s">
        <v>3390</v>
      </c>
      <c r="D273" s="3466">
        <v>-4</v>
      </c>
      <c r="E273" s="3471" t="s">
        <v>3660</v>
      </c>
      <c r="F273" s="3472">
        <v>45.73</v>
      </c>
    </row>
    <row r="274" spans="1:6" ht="13.5" customHeight="1">
      <c r="A274" s="3466">
        <v>272</v>
      </c>
      <c r="B274" s="3467" t="s">
        <v>3389</v>
      </c>
      <c r="C274" s="3466" t="s">
        <v>3390</v>
      </c>
      <c r="D274" s="3466">
        <v>-4</v>
      </c>
      <c r="E274" s="3471" t="s">
        <v>3661</v>
      </c>
      <c r="F274" s="3472">
        <v>45.73</v>
      </c>
    </row>
    <row r="275" spans="1:6" ht="13.5" customHeight="1">
      <c r="A275" s="3466">
        <v>273</v>
      </c>
      <c r="B275" s="3467" t="s">
        <v>3389</v>
      </c>
      <c r="C275" s="3466" t="s">
        <v>3390</v>
      </c>
      <c r="D275" s="3466">
        <v>-4</v>
      </c>
      <c r="E275" s="3471" t="s">
        <v>3662</v>
      </c>
      <c r="F275" s="3472">
        <v>45.73</v>
      </c>
    </row>
    <row r="276" spans="1:6" ht="13.5" customHeight="1">
      <c r="A276" s="3466">
        <v>274</v>
      </c>
      <c r="B276" s="3467" t="s">
        <v>3389</v>
      </c>
      <c r="C276" s="3466" t="s">
        <v>3390</v>
      </c>
      <c r="D276" s="3466">
        <v>-4</v>
      </c>
      <c r="E276" s="3471" t="s">
        <v>3663</v>
      </c>
      <c r="F276" s="3472">
        <v>45.73</v>
      </c>
    </row>
    <row r="277" spans="1:6" ht="13.5" customHeight="1">
      <c r="A277" s="3466">
        <v>275</v>
      </c>
      <c r="B277" s="3467" t="s">
        <v>3389</v>
      </c>
      <c r="C277" s="3466" t="s">
        <v>3390</v>
      </c>
      <c r="D277" s="3466">
        <v>-4</v>
      </c>
      <c r="E277" s="3471" t="s">
        <v>3664</v>
      </c>
      <c r="F277" s="3472">
        <v>45.73</v>
      </c>
    </row>
    <row r="278" spans="1:6" ht="13.5" customHeight="1">
      <c r="A278" s="3466">
        <v>276</v>
      </c>
      <c r="B278" s="3467" t="s">
        <v>3389</v>
      </c>
      <c r="C278" s="3466" t="s">
        <v>3390</v>
      </c>
      <c r="D278" s="3466">
        <v>-4</v>
      </c>
      <c r="E278" s="3471" t="s">
        <v>3665</v>
      </c>
      <c r="F278" s="3472">
        <v>45.73</v>
      </c>
    </row>
    <row r="279" spans="1:6" ht="13.5" customHeight="1">
      <c r="A279" s="3466">
        <v>277</v>
      </c>
      <c r="B279" s="3467" t="s">
        <v>3389</v>
      </c>
      <c r="C279" s="3466" t="s">
        <v>3390</v>
      </c>
      <c r="D279" s="3466">
        <v>-4</v>
      </c>
      <c r="E279" s="3471" t="s">
        <v>3666</v>
      </c>
      <c r="F279" s="3472">
        <v>45.73</v>
      </c>
    </row>
    <row r="280" spans="1:6" ht="13.5" customHeight="1">
      <c r="A280" s="3466">
        <v>278</v>
      </c>
      <c r="B280" s="3467" t="s">
        <v>3389</v>
      </c>
      <c r="C280" s="3466" t="s">
        <v>3390</v>
      </c>
      <c r="D280" s="3466">
        <v>-4</v>
      </c>
      <c r="E280" s="3471" t="s">
        <v>3667</v>
      </c>
      <c r="F280" s="3472">
        <v>45.73</v>
      </c>
    </row>
    <row r="281" spans="1:6" ht="13.5" customHeight="1">
      <c r="A281" s="3466">
        <v>279</v>
      </c>
      <c r="B281" s="3467" t="s">
        <v>3389</v>
      </c>
      <c r="C281" s="3466" t="s">
        <v>3390</v>
      </c>
      <c r="D281" s="3466">
        <v>-4</v>
      </c>
      <c r="E281" s="3471" t="s">
        <v>3668</v>
      </c>
      <c r="F281" s="3472">
        <v>45.73</v>
      </c>
    </row>
    <row r="282" spans="1:6" ht="13.5" customHeight="1">
      <c r="A282" s="3466">
        <v>280</v>
      </c>
      <c r="B282" s="3467" t="s">
        <v>3389</v>
      </c>
      <c r="C282" s="3466" t="s">
        <v>3390</v>
      </c>
      <c r="D282" s="3466">
        <v>-4</v>
      </c>
      <c r="E282" s="3471" t="s">
        <v>3669</v>
      </c>
      <c r="F282" s="3472">
        <v>45.73</v>
      </c>
    </row>
    <row r="283" spans="1:6" ht="13.5" customHeight="1">
      <c r="A283" s="3466">
        <v>281</v>
      </c>
      <c r="B283" s="3467" t="s">
        <v>3389</v>
      </c>
      <c r="C283" s="3466" t="s">
        <v>3390</v>
      </c>
      <c r="D283" s="3466">
        <v>-4</v>
      </c>
      <c r="E283" s="3471" t="s">
        <v>3670</v>
      </c>
      <c r="F283" s="3472">
        <v>45.73</v>
      </c>
    </row>
    <row r="284" spans="1:6" ht="13.5" customHeight="1">
      <c r="A284" s="3466">
        <v>282</v>
      </c>
      <c r="B284" s="3467" t="s">
        <v>3389</v>
      </c>
      <c r="C284" s="3466" t="s">
        <v>3390</v>
      </c>
      <c r="D284" s="3466">
        <v>-4</v>
      </c>
      <c r="E284" s="3471" t="s">
        <v>3671</v>
      </c>
      <c r="F284" s="3472">
        <v>45.73</v>
      </c>
    </row>
    <row r="285" spans="1:6" ht="13.5" customHeight="1">
      <c r="A285" s="3466">
        <v>283</v>
      </c>
      <c r="B285" s="3467" t="s">
        <v>3389</v>
      </c>
      <c r="C285" s="3466" t="s">
        <v>3390</v>
      </c>
      <c r="D285" s="3466">
        <v>-4</v>
      </c>
      <c r="E285" s="3471" t="s">
        <v>3672</v>
      </c>
      <c r="F285" s="3472">
        <v>45.73</v>
      </c>
    </row>
    <row r="286" spans="1:6" ht="13.5" customHeight="1">
      <c r="A286" s="3466">
        <v>284</v>
      </c>
      <c r="B286" s="3467" t="s">
        <v>3389</v>
      </c>
      <c r="C286" s="3466" t="s">
        <v>3390</v>
      </c>
      <c r="D286" s="3466">
        <v>-4</v>
      </c>
      <c r="E286" s="3471" t="s">
        <v>3673</v>
      </c>
      <c r="F286" s="3472">
        <v>45.73</v>
      </c>
    </row>
    <row r="287" spans="1:6" ht="13.5" customHeight="1">
      <c r="A287" s="3466">
        <v>285</v>
      </c>
      <c r="B287" s="3467" t="s">
        <v>3389</v>
      </c>
      <c r="C287" s="3466" t="s">
        <v>3390</v>
      </c>
      <c r="D287" s="3466">
        <v>-4</v>
      </c>
      <c r="E287" s="3471" t="s">
        <v>3674</v>
      </c>
      <c r="F287" s="3472">
        <v>45.73</v>
      </c>
    </row>
    <row r="288" spans="1:6" ht="13.5" customHeight="1">
      <c r="A288" s="3466">
        <v>286</v>
      </c>
      <c r="B288" s="3467" t="s">
        <v>3389</v>
      </c>
      <c r="C288" s="3466" t="s">
        <v>3390</v>
      </c>
      <c r="D288" s="3466">
        <v>-4</v>
      </c>
      <c r="E288" s="3471" t="s">
        <v>3675</v>
      </c>
      <c r="F288" s="3472">
        <v>45.73</v>
      </c>
    </row>
    <row r="289" spans="1:6" ht="13.5" customHeight="1">
      <c r="A289" s="3466">
        <v>287</v>
      </c>
      <c r="B289" s="3467" t="s">
        <v>3389</v>
      </c>
      <c r="C289" s="3466" t="s">
        <v>3390</v>
      </c>
      <c r="D289" s="3466">
        <v>-4</v>
      </c>
      <c r="E289" s="3471" t="s">
        <v>3676</v>
      </c>
      <c r="F289" s="3472">
        <v>45.73</v>
      </c>
    </row>
    <row r="290" spans="1:6" ht="13.5" customHeight="1">
      <c r="A290" s="3466">
        <v>288</v>
      </c>
      <c r="B290" s="3467" t="s">
        <v>3389</v>
      </c>
      <c r="C290" s="3466" t="s">
        <v>3390</v>
      </c>
      <c r="D290" s="3466">
        <v>-4</v>
      </c>
      <c r="E290" s="3471" t="s">
        <v>3677</v>
      </c>
      <c r="F290" s="3472">
        <v>45.73</v>
      </c>
    </row>
    <row r="291" spans="1:6" ht="13.5" customHeight="1">
      <c r="A291" s="3466">
        <v>289</v>
      </c>
      <c r="B291" s="3467" t="s">
        <v>3389</v>
      </c>
      <c r="C291" s="3466" t="s">
        <v>3390</v>
      </c>
      <c r="D291" s="3466">
        <v>-4</v>
      </c>
      <c r="E291" s="3471" t="s">
        <v>3678</v>
      </c>
      <c r="F291" s="3472">
        <v>45.73</v>
      </c>
    </row>
    <row r="292" spans="1:6" ht="13.5" customHeight="1">
      <c r="A292" s="3466">
        <v>290</v>
      </c>
      <c r="B292" s="3467" t="s">
        <v>3389</v>
      </c>
      <c r="C292" s="3466" t="s">
        <v>3390</v>
      </c>
      <c r="D292" s="3466">
        <v>-4</v>
      </c>
      <c r="E292" s="3471" t="s">
        <v>3679</v>
      </c>
      <c r="F292" s="3472">
        <v>45.73</v>
      </c>
    </row>
    <row r="293" spans="1:6" ht="13.5" customHeight="1">
      <c r="A293" s="3466">
        <v>291</v>
      </c>
      <c r="B293" s="3467" t="s">
        <v>3389</v>
      </c>
      <c r="C293" s="3466" t="s">
        <v>3390</v>
      </c>
      <c r="D293" s="3466">
        <v>-4</v>
      </c>
      <c r="E293" s="3471" t="s">
        <v>3680</v>
      </c>
      <c r="F293" s="3472">
        <v>45.73</v>
      </c>
    </row>
    <row r="294" spans="1:6" ht="13.5" customHeight="1">
      <c r="A294" s="3466">
        <v>292</v>
      </c>
      <c r="B294" s="3467" t="s">
        <v>3389</v>
      </c>
      <c r="C294" s="3466" t="s">
        <v>3390</v>
      </c>
      <c r="D294" s="3466">
        <v>-4</v>
      </c>
      <c r="E294" s="3471" t="s">
        <v>3681</v>
      </c>
      <c r="F294" s="3472">
        <v>45.73</v>
      </c>
    </row>
    <row r="295" spans="1:6" ht="13.5" customHeight="1">
      <c r="A295" s="3466">
        <v>293</v>
      </c>
      <c r="B295" s="3467" t="s">
        <v>3389</v>
      </c>
      <c r="C295" s="3466" t="s">
        <v>3390</v>
      </c>
      <c r="D295" s="3466">
        <v>-4</v>
      </c>
      <c r="E295" s="3471" t="s">
        <v>3682</v>
      </c>
      <c r="F295" s="3472">
        <v>45.73</v>
      </c>
    </row>
    <row r="296" spans="1:6" ht="13.5" customHeight="1">
      <c r="A296" s="3466">
        <v>294</v>
      </c>
      <c r="B296" s="3467" t="s">
        <v>3389</v>
      </c>
      <c r="C296" s="3466" t="s">
        <v>3390</v>
      </c>
      <c r="D296" s="3466">
        <v>-4</v>
      </c>
      <c r="E296" s="3471" t="s">
        <v>3683</v>
      </c>
      <c r="F296" s="3472">
        <v>45.73</v>
      </c>
    </row>
    <row r="297" spans="1:6" ht="13.5" customHeight="1">
      <c r="A297" s="3466">
        <v>295</v>
      </c>
      <c r="B297" s="3467" t="s">
        <v>3389</v>
      </c>
      <c r="C297" s="3466" t="s">
        <v>3390</v>
      </c>
      <c r="D297" s="3466">
        <v>-4</v>
      </c>
      <c r="E297" s="3471" t="s">
        <v>3684</v>
      </c>
      <c r="F297" s="3472">
        <v>45.73</v>
      </c>
    </row>
    <row r="298" spans="1:6" ht="13.5" customHeight="1">
      <c r="A298" s="3466">
        <v>296</v>
      </c>
      <c r="B298" s="3467" t="s">
        <v>3389</v>
      </c>
      <c r="C298" s="3466" t="s">
        <v>3390</v>
      </c>
      <c r="D298" s="3466">
        <v>-4</v>
      </c>
      <c r="E298" s="3471" t="s">
        <v>3685</v>
      </c>
      <c r="F298" s="3472">
        <v>45.73</v>
      </c>
    </row>
    <row r="299" spans="1:6" ht="13.5" customHeight="1">
      <c r="A299" s="3466">
        <v>297</v>
      </c>
      <c r="B299" s="3467" t="s">
        <v>3389</v>
      </c>
      <c r="C299" s="3466" t="s">
        <v>3390</v>
      </c>
      <c r="D299" s="3466">
        <v>-4</v>
      </c>
      <c r="E299" s="3471" t="s">
        <v>3686</v>
      </c>
      <c r="F299" s="3472">
        <v>45.73</v>
      </c>
    </row>
    <row r="300" spans="1:6" ht="13.5" customHeight="1">
      <c r="A300" s="3466">
        <v>298</v>
      </c>
      <c r="B300" s="3467" t="s">
        <v>3389</v>
      </c>
      <c r="C300" s="3466" t="s">
        <v>3390</v>
      </c>
      <c r="D300" s="3466">
        <v>-4</v>
      </c>
      <c r="E300" s="3471" t="s">
        <v>3687</v>
      </c>
      <c r="F300" s="3472">
        <v>45.73</v>
      </c>
    </row>
    <row r="301" spans="1:6" ht="13.5" customHeight="1">
      <c r="A301" s="3466">
        <v>299</v>
      </c>
      <c r="B301" s="3467" t="s">
        <v>3389</v>
      </c>
      <c r="C301" s="3466" t="s">
        <v>3390</v>
      </c>
      <c r="D301" s="3466">
        <v>-4</v>
      </c>
      <c r="E301" s="3471" t="s">
        <v>3688</v>
      </c>
      <c r="F301" s="3472">
        <v>45.73</v>
      </c>
    </row>
    <row r="302" spans="1:6" ht="13.5" customHeight="1">
      <c r="A302" s="3466">
        <v>300</v>
      </c>
      <c r="B302" s="3467" t="s">
        <v>3389</v>
      </c>
      <c r="C302" s="3466" t="s">
        <v>3390</v>
      </c>
      <c r="D302" s="3466">
        <v>-4</v>
      </c>
      <c r="E302" s="3471" t="s">
        <v>3689</v>
      </c>
      <c r="F302" s="3472">
        <v>45.73</v>
      </c>
    </row>
    <row r="303" spans="1:6" ht="13.5" customHeight="1">
      <c r="A303" s="3466">
        <v>301</v>
      </c>
      <c r="B303" s="3467" t="s">
        <v>3389</v>
      </c>
      <c r="C303" s="3466" t="s">
        <v>3390</v>
      </c>
      <c r="D303" s="3466">
        <v>-4</v>
      </c>
      <c r="E303" s="3471" t="s">
        <v>3690</v>
      </c>
      <c r="F303" s="3472">
        <v>45.73</v>
      </c>
    </row>
    <row r="304" spans="1:6" ht="13.5" customHeight="1">
      <c r="A304" s="3466">
        <v>302</v>
      </c>
      <c r="B304" s="3467" t="s">
        <v>3389</v>
      </c>
      <c r="C304" s="3466" t="s">
        <v>3390</v>
      </c>
      <c r="D304" s="3466">
        <v>-4</v>
      </c>
      <c r="E304" s="3471" t="s">
        <v>3691</v>
      </c>
      <c r="F304" s="3472">
        <v>45.73</v>
      </c>
    </row>
    <row r="305" spans="1:6" ht="13.5" customHeight="1">
      <c r="A305" s="3466">
        <v>303</v>
      </c>
      <c r="B305" s="3467" t="s">
        <v>3389</v>
      </c>
      <c r="C305" s="3466" t="s">
        <v>3390</v>
      </c>
      <c r="D305" s="3466">
        <v>-4</v>
      </c>
      <c r="E305" s="3471" t="s">
        <v>3692</v>
      </c>
      <c r="F305" s="3472">
        <v>45.73</v>
      </c>
    </row>
    <row r="306" spans="1:6" ht="13.5" customHeight="1">
      <c r="A306" s="3466">
        <v>304</v>
      </c>
      <c r="B306" s="3467" t="s">
        <v>3389</v>
      </c>
      <c r="C306" s="3466" t="s">
        <v>3390</v>
      </c>
      <c r="D306" s="3466">
        <v>-4</v>
      </c>
      <c r="E306" s="3471" t="s">
        <v>3693</v>
      </c>
      <c r="F306" s="3472">
        <v>45.73</v>
      </c>
    </row>
    <row r="307" spans="1:6" ht="13.5" customHeight="1">
      <c r="A307" s="3466">
        <v>305</v>
      </c>
      <c r="B307" s="3467" t="s">
        <v>3389</v>
      </c>
      <c r="C307" s="3466" t="s">
        <v>3390</v>
      </c>
      <c r="D307" s="3466">
        <v>-4</v>
      </c>
      <c r="E307" s="3471" t="s">
        <v>3694</v>
      </c>
      <c r="F307" s="3472">
        <v>45.73</v>
      </c>
    </row>
    <row r="308" spans="1:6" ht="13.5" customHeight="1">
      <c r="A308" s="3466">
        <v>306</v>
      </c>
      <c r="B308" s="3467" t="s">
        <v>3389</v>
      </c>
      <c r="C308" s="3466" t="s">
        <v>3390</v>
      </c>
      <c r="D308" s="3466">
        <v>-4</v>
      </c>
      <c r="E308" s="3471" t="s">
        <v>3695</v>
      </c>
      <c r="F308" s="3472">
        <v>45.73</v>
      </c>
    </row>
    <row r="309" spans="1:6" ht="13.5" customHeight="1">
      <c r="A309" s="3466">
        <v>307</v>
      </c>
      <c r="B309" s="3467" t="s">
        <v>3389</v>
      </c>
      <c r="C309" s="3466" t="s">
        <v>3390</v>
      </c>
      <c r="D309" s="3466">
        <v>-4</v>
      </c>
      <c r="E309" s="3471" t="s">
        <v>3696</v>
      </c>
      <c r="F309" s="3472">
        <v>45.73</v>
      </c>
    </row>
    <row r="310" spans="1:6" ht="13.5" customHeight="1">
      <c r="A310" s="3466">
        <v>308</v>
      </c>
      <c r="B310" s="3467" t="s">
        <v>3389</v>
      </c>
      <c r="C310" s="3466" t="s">
        <v>3390</v>
      </c>
      <c r="D310" s="3466">
        <v>-4</v>
      </c>
      <c r="E310" s="3471" t="s">
        <v>3697</v>
      </c>
      <c r="F310" s="3472">
        <v>45.73</v>
      </c>
    </row>
    <row r="311" spans="1:6" ht="13.5" customHeight="1">
      <c r="A311" s="3466">
        <v>309</v>
      </c>
      <c r="B311" s="3467" t="s">
        <v>3389</v>
      </c>
      <c r="C311" s="3466" t="s">
        <v>3390</v>
      </c>
      <c r="D311" s="3466">
        <v>-4</v>
      </c>
      <c r="E311" s="3471" t="s">
        <v>3698</v>
      </c>
      <c r="F311" s="3472">
        <v>45.73</v>
      </c>
    </row>
    <row r="312" spans="1:6" ht="13.5" customHeight="1">
      <c r="A312" s="3466">
        <v>310</v>
      </c>
      <c r="B312" s="3467" t="s">
        <v>3389</v>
      </c>
      <c r="C312" s="3466" t="s">
        <v>3390</v>
      </c>
      <c r="D312" s="3466">
        <v>-4</v>
      </c>
      <c r="E312" s="3471" t="s">
        <v>3699</v>
      </c>
      <c r="F312" s="3472">
        <v>45.73</v>
      </c>
    </row>
    <row r="313" spans="1:6" ht="13.5" customHeight="1">
      <c r="A313" s="3466">
        <v>311</v>
      </c>
      <c r="B313" s="3467" t="s">
        <v>3389</v>
      </c>
      <c r="C313" s="3466" t="s">
        <v>3390</v>
      </c>
      <c r="D313" s="3466">
        <v>-4</v>
      </c>
      <c r="E313" s="3471" t="s">
        <v>3700</v>
      </c>
      <c r="F313" s="3472">
        <v>45.73</v>
      </c>
    </row>
    <row r="314" spans="1:6" ht="13.5" customHeight="1">
      <c r="A314" s="3466">
        <v>312</v>
      </c>
      <c r="B314" s="3467" t="s">
        <v>3389</v>
      </c>
      <c r="C314" s="3466" t="s">
        <v>3390</v>
      </c>
      <c r="D314" s="3466">
        <v>-4</v>
      </c>
      <c r="E314" s="3471" t="s">
        <v>3701</v>
      </c>
      <c r="F314" s="3472">
        <v>45.73</v>
      </c>
    </row>
    <row r="315" spans="1:6" ht="13.5" customHeight="1">
      <c r="A315" s="3466">
        <v>313</v>
      </c>
      <c r="B315" s="3467" t="s">
        <v>3389</v>
      </c>
      <c r="C315" s="3466" t="s">
        <v>3390</v>
      </c>
      <c r="D315" s="3466">
        <v>-4</v>
      </c>
      <c r="E315" s="3471" t="s">
        <v>3702</v>
      </c>
      <c r="F315" s="3472">
        <v>45.73</v>
      </c>
    </row>
    <row r="316" spans="1:6" ht="13.5" customHeight="1">
      <c r="A316" s="3466">
        <v>314</v>
      </c>
      <c r="B316" s="3467" t="s">
        <v>3389</v>
      </c>
      <c r="C316" s="3466" t="s">
        <v>3390</v>
      </c>
      <c r="D316" s="3466">
        <v>-4</v>
      </c>
      <c r="E316" s="3471" t="s">
        <v>3703</v>
      </c>
      <c r="F316" s="3472">
        <v>45.73</v>
      </c>
    </row>
    <row r="317" spans="1:6" ht="13.5" customHeight="1">
      <c r="A317" s="3466">
        <v>315</v>
      </c>
      <c r="B317" s="3467" t="s">
        <v>3389</v>
      </c>
      <c r="C317" s="3466" t="s">
        <v>3390</v>
      </c>
      <c r="D317" s="3466">
        <v>-4</v>
      </c>
      <c r="E317" s="3471" t="s">
        <v>3704</v>
      </c>
      <c r="F317" s="3472">
        <v>45.73</v>
      </c>
    </row>
    <row r="318" spans="1:6" ht="13.5" customHeight="1">
      <c r="A318" s="3466">
        <v>316</v>
      </c>
      <c r="B318" s="3467" t="s">
        <v>3389</v>
      </c>
      <c r="C318" s="3466" t="s">
        <v>3390</v>
      </c>
      <c r="D318" s="3466">
        <v>-4</v>
      </c>
      <c r="E318" s="3471" t="s">
        <v>3705</v>
      </c>
      <c r="F318" s="3472">
        <v>45.73</v>
      </c>
    </row>
    <row r="319" spans="1:6" ht="13.5" customHeight="1">
      <c r="A319" s="3466">
        <v>317</v>
      </c>
      <c r="B319" s="3467" t="s">
        <v>3389</v>
      </c>
      <c r="C319" s="3466" t="s">
        <v>3390</v>
      </c>
      <c r="D319" s="3466">
        <v>-4</v>
      </c>
      <c r="E319" s="3471" t="s">
        <v>3706</v>
      </c>
      <c r="F319" s="3472">
        <v>45.73</v>
      </c>
    </row>
    <row r="320" spans="1:6" ht="13.5" customHeight="1">
      <c r="A320" s="3466">
        <v>318</v>
      </c>
      <c r="B320" s="3467" t="s">
        <v>3389</v>
      </c>
      <c r="C320" s="3466" t="s">
        <v>3390</v>
      </c>
      <c r="D320" s="3466">
        <v>-4</v>
      </c>
      <c r="E320" s="3471" t="s">
        <v>3707</v>
      </c>
      <c r="F320" s="3472">
        <v>45.73</v>
      </c>
    </row>
    <row r="321" spans="1:6" ht="13.5" customHeight="1">
      <c r="A321" s="3466">
        <v>319</v>
      </c>
      <c r="B321" s="3467" t="s">
        <v>3389</v>
      </c>
      <c r="C321" s="3466" t="s">
        <v>3390</v>
      </c>
      <c r="D321" s="3466">
        <v>-4</v>
      </c>
      <c r="E321" s="3471" t="s">
        <v>3708</v>
      </c>
      <c r="F321" s="3472">
        <v>45.73</v>
      </c>
    </row>
    <row r="322" spans="1:6" ht="13.5" customHeight="1">
      <c r="A322" s="3466">
        <v>320</v>
      </c>
      <c r="B322" s="3467" t="s">
        <v>3389</v>
      </c>
      <c r="C322" s="3466" t="s">
        <v>3390</v>
      </c>
      <c r="D322" s="3466">
        <v>-4</v>
      </c>
      <c r="E322" s="3471" t="s">
        <v>3709</v>
      </c>
      <c r="F322" s="3472">
        <v>45.73</v>
      </c>
    </row>
    <row r="323" spans="1:6" ht="13.5" customHeight="1">
      <c r="A323" s="3466">
        <v>321</v>
      </c>
      <c r="B323" s="3467" t="s">
        <v>3389</v>
      </c>
      <c r="C323" s="3466" t="s">
        <v>3390</v>
      </c>
      <c r="D323" s="3466">
        <v>-4</v>
      </c>
      <c r="E323" s="3471" t="s">
        <v>3710</v>
      </c>
      <c r="F323" s="3472">
        <v>45.73</v>
      </c>
    </row>
    <row r="324" spans="1:6" ht="13.5" customHeight="1">
      <c r="A324" s="3466">
        <v>322</v>
      </c>
      <c r="B324" s="3467" t="s">
        <v>3389</v>
      </c>
      <c r="C324" s="3466" t="s">
        <v>3390</v>
      </c>
      <c r="D324" s="3466">
        <v>-4</v>
      </c>
      <c r="E324" s="3471" t="s">
        <v>3711</v>
      </c>
      <c r="F324" s="3472">
        <v>45.73</v>
      </c>
    </row>
    <row r="325" spans="1:6" ht="13.5" customHeight="1">
      <c r="A325" s="3466">
        <v>323</v>
      </c>
      <c r="B325" s="3467" t="s">
        <v>3389</v>
      </c>
      <c r="C325" s="3466" t="s">
        <v>3390</v>
      </c>
      <c r="D325" s="3466">
        <v>-4</v>
      </c>
      <c r="E325" s="3471" t="s">
        <v>3712</v>
      </c>
      <c r="F325" s="3472">
        <v>45.73</v>
      </c>
    </row>
    <row r="326" spans="1:6" ht="13.5" customHeight="1">
      <c r="A326" s="3466">
        <v>324</v>
      </c>
      <c r="B326" s="3467" t="s">
        <v>3389</v>
      </c>
      <c r="C326" s="3466" t="s">
        <v>3390</v>
      </c>
      <c r="D326" s="3466">
        <v>-4</v>
      </c>
      <c r="E326" s="3471" t="s">
        <v>3713</v>
      </c>
      <c r="F326" s="3472">
        <v>45.73</v>
      </c>
    </row>
    <row r="327" spans="1:6" ht="13.5" customHeight="1">
      <c r="A327" s="3466">
        <v>325</v>
      </c>
      <c r="B327" s="3467" t="s">
        <v>3389</v>
      </c>
      <c r="C327" s="3466" t="s">
        <v>3390</v>
      </c>
      <c r="D327" s="3466">
        <v>-4</v>
      </c>
      <c r="E327" s="3471" t="s">
        <v>3714</v>
      </c>
      <c r="F327" s="3472">
        <v>45.73</v>
      </c>
    </row>
    <row r="328" spans="1:6" ht="13.5" customHeight="1">
      <c r="A328" s="3466">
        <v>326</v>
      </c>
      <c r="B328" s="3467" t="s">
        <v>3389</v>
      </c>
      <c r="C328" s="3466" t="s">
        <v>3390</v>
      </c>
      <c r="D328" s="3466">
        <v>-4</v>
      </c>
      <c r="E328" s="3471" t="s">
        <v>3715</v>
      </c>
      <c r="F328" s="3472">
        <v>45.73</v>
      </c>
    </row>
    <row r="329" spans="1:6" ht="13.5" customHeight="1">
      <c r="A329" s="3466">
        <v>327</v>
      </c>
      <c r="B329" s="3467" t="s">
        <v>3389</v>
      </c>
      <c r="C329" s="3466" t="s">
        <v>3390</v>
      </c>
      <c r="D329" s="3466">
        <v>-4</v>
      </c>
      <c r="E329" s="3471" t="s">
        <v>3716</v>
      </c>
      <c r="F329" s="3472">
        <v>45.73</v>
      </c>
    </row>
    <row r="330" spans="1:6" ht="13.5" customHeight="1">
      <c r="A330" s="3466">
        <v>328</v>
      </c>
      <c r="B330" s="3467" t="s">
        <v>3389</v>
      </c>
      <c r="C330" s="3466" t="s">
        <v>3390</v>
      </c>
      <c r="D330" s="3466">
        <v>-4</v>
      </c>
      <c r="E330" s="3471" t="s">
        <v>3717</v>
      </c>
      <c r="F330" s="3472">
        <v>45.73</v>
      </c>
    </row>
    <row r="331" spans="1:6" ht="13.5" customHeight="1">
      <c r="A331" s="3466">
        <v>329</v>
      </c>
      <c r="B331" s="3467" t="s">
        <v>3389</v>
      </c>
      <c r="C331" s="3466" t="s">
        <v>3390</v>
      </c>
      <c r="D331" s="3466">
        <v>-4</v>
      </c>
      <c r="E331" s="3471" t="s">
        <v>3718</v>
      </c>
      <c r="F331" s="3472">
        <v>45.73</v>
      </c>
    </row>
    <row r="332" spans="1:6" ht="13.5" customHeight="1">
      <c r="A332" s="3466">
        <v>330</v>
      </c>
      <c r="B332" s="3467" t="s">
        <v>3389</v>
      </c>
      <c r="C332" s="3466" t="s">
        <v>3390</v>
      </c>
      <c r="D332" s="3466">
        <v>-4</v>
      </c>
      <c r="E332" s="3471" t="s">
        <v>3719</v>
      </c>
      <c r="F332" s="3472">
        <v>45.73</v>
      </c>
    </row>
    <row r="333" spans="1:6" ht="13.5" customHeight="1">
      <c r="A333" s="3466">
        <v>331</v>
      </c>
      <c r="B333" s="3467" t="s">
        <v>3389</v>
      </c>
      <c r="C333" s="3466" t="s">
        <v>3390</v>
      </c>
      <c r="D333" s="3466">
        <v>-4</v>
      </c>
      <c r="E333" s="3471" t="s">
        <v>3720</v>
      </c>
      <c r="F333" s="3472">
        <v>45.73</v>
      </c>
    </row>
    <row r="334" spans="1:6" ht="13.5" customHeight="1">
      <c r="A334" s="3466">
        <v>332</v>
      </c>
      <c r="B334" s="3467" t="s">
        <v>3389</v>
      </c>
      <c r="C334" s="3466" t="s">
        <v>3390</v>
      </c>
      <c r="D334" s="3466">
        <v>-4</v>
      </c>
      <c r="E334" s="3471" t="s">
        <v>3721</v>
      </c>
      <c r="F334" s="3472">
        <v>45.73</v>
      </c>
    </row>
    <row r="335" spans="1:6" ht="13.5" customHeight="1">
      <c r="A335" s="3466">
        <v>333</v>
      </c>
      <c r="B335" s="3467" t="s">
        <v>3389</v>
      </c>
      <c r="C335" s="3466" t="s">
        <v>3390</v>
      </c>
      <c r="D335" s="3466">
        <v>-4</v>
      </c>
      <c r="E335" s="3471" t="s">
        <v>3722</v>
      </c>
      <c r="F335" s="3472">
        <v>45.73</v>
      </c>
    </row>
    <row r="336" spans="1:6" ht="13.5" customHeight="1">
      <c r="A336" s="3466">
        <v>334</v>
      </c>
      <c r="B336" s="3467" t="s">
        <v>3389</v>
      </c>
      <c r="C336" s="3466" t="s">
        <v>3390</v>
      </c>
      <c r="D336" s="3466">
        <v>-4</v>
      </c>
      <c r="E336" s="3471" t="s">
        <v>3723</v>
      </c>
      <c r="F336" s="3472">
        <v>45.73</v>
      </c>
    </row>
    <row r="337" spans="1:6" ht="13.5" customHeight="1">
      <c r="A337" s="3466">
        <v>335</v>
      </c>
      <c r="B337" s="3467" t="s">
        <v>3389</v>
      </c>
      <c r="C337" s="3466" t="s">
        <v>3390</v>
      </c>
      <c r="D337" s="3466">
        <v>-4</v>
      </c>
      <c r="E337" s="3471" t="s">
        <v>3724</v>
      </c>
      <c r="F337" s="3472">
        <v>45.73</v>
      </c>
    </row>
    <row r="338" spans="1:6" ht="13.5" customHeight="1">
      <c r="A338" s="3466">
        <v>336</v>
      </c>
      <c r="B338" s="3467" t="s">
        <v>3389</v>
      </c>
      <c r="C338" s="3466" t="s">
        <v>3390</v>
      </c>
      <c r="D338" s="3466">
        <v>-4</v>
      </c>
      <c r="E338" s="3471" t="s">
        <v>3725</v>
      </c>
      <c r="F338" s="3472">
        <v>45.73</v>
      </c>
    </row>
    <row r="339" spans="1:6" ht="13.5" customHeight="1">
      <c r="A339" s="3466">
        <v>337</v>
      </c>
      <c r="B339" s="3467" t="s">
        <v>3389</v>
      </c>
      <c r="C339" s="3466" t="s">
        <v>3390</v>
      </c>
      <c r="D339" s="3466">
        <v>-4</v>
      </c>
      <c r="E339" s="3471" t="s">
        <v>3726</v>
      </c>
      <c r="F339" s="3472">
        <v>45.73</v>
      </c>
    </row>
    <row r="340" spans="1:6" ht="13.5" customHeight="1">
      <c r="A340" s="3466">
        <v>338</v>
      </c>
      <c r="B340" s="3467" t="s">
        <v>3389</v>
      </c>
      <c r="C340" s="3466" t="s">
        <v>3390</v>
      </c>
      <c r="D340" s="3466">
        <v>-4</v>
      </c>
      <c r="E340" s="3471" t="s">
        <v>3727</v>
      </c>
      <c r="F340" s="3472">
        <v>45.73</v>
      </c>
    </row>
    <row r="341" spans="1:6" ht="13.5" customHeight="1">
      <c r="A341" s="3466">
        <v>339</v>
      </c>
      <c r="B341" s="3467" t="s">
        <v>3389</v>
      </c>
      <c r="C341" s="3466" t="s">
        <v>3390</v>
      </c>
      <c r="D341" s="3466">
        <v>-4</v>
      </c>
      <c r="E341" s="3471" t="s">
        <v>3728</v>
      </c>
      <c r="F341" s="3472">
        <v>45.73</v>
      </c>
    </row>
    <row r="342" spans="1:6" ht="13.5" customHeight="1">
      <c r="A342" s="3466">
        <v>340</v>
      </c>
      <c r="B342" s="3467" t="s">
        <v>3389</v>
      </c>
      <c r="C342" s="3466" t="s">
        <v>3390</v>
      </c>
      <c r="D342" s="3466">
        <v>-4</v>
      </c>
      <c r="E342" s="3471" t="s">
        <v>3729</v>
      </c>
      <c r="F342" s="3472">
        <v>45.73</v>
      </c>
    </row>
    <row r="343" spans="1:6" ht="13.5" customHeight="1">
      <c r="A343" s="3466">
        <v>341</v>
      </c>
      <c r="B343" s="3467" t="s">
        <v>3389</v>
      </c>
      <c r="C343" s="3466" t="s">
        <v>3390</v>
      </c>
      <c r="D343" s="3466">
        <v>-4</v>
      </c>
      <c r="E343" s="3471" t="s">
        <v>3730</v>
      </c>
      <c r="F343" s="3472">
        <v>45.73</v>
      </c>
    </row>
    <row r="344" spans="1:6" ht="13.5" customHeight="1">
      <c r="A344" s="3466">
        <v>342</v>
      </c>
      <c r="B344" s="3467" t="s">
        <v>3389</v>
      </c>
      <c r="C344" s="3466" t="s">
        <v>3390</v>
      </c>
      <c r="D344" s="3466">
        <v>-4</v>
      </c>
      <c r="E344" s="3471" t="s">
        <v>3731</v>
      </c>
      <c r="F344" s="3472">
        <v>45.73</v>
      </c>
    </row>
    <row r="345" spans="1:6" ht="13.5" customHeight="1">
      <c r="A345" s="3466">
        <v>343</v>
      </c>
      <c r="B345" s="3467" t="s">
        <v>3389</v>
      </c>
      <c r="C345" s="3466" t="s">
        <v>3390</v>
      </c>
      <c r="D345" s="3466">
        <v>-4</v>
      </c>
      <c r="E345" s="3471" t="s">
        <v>3732</v>
      </c>
      <c r="F345" s="3472">
        <v>45.73</v>
      </c>
    </row>
    <row r="346" spans="1:6" ht="13.5" customHeight="1">
      <c r="A346" s="3466">
        <v>344</v>
      </c>
      <c r="B346" s="3467" t="s">
        <v>3389</v>
      </c>
      <c r="C346" s="3466" t="s">
        <v>3390</v>
      </c>
      <c r="D346" s="3466">
        <v>-4</v>
      </c>
      <c r="E346" s="3471" t="s">
        <v>3733</v>
      </c>
      <c r="F346" s="3472">
        <v>45.73</v>
      </c>
    </row>
    <row r="347" spans="1:6" ht="13.5" customHeight="1">
      <c r="A347" s="3466">
        <v>345</v>
      </c>
      <c r="B347" s="3467" t="s">
        <v>3389</v>
      </c>
      <c r="C347" s="3466" t="s">
        <v>3390</v>
      </c>
      <c r="D347" s="3466">
        <v>-4</v>
      </c>
      <c r="E347" s="3471" t="s">
        <v>3734</v>
      </c>
      <c r="F347" s="3472">
        <v>45.73</v>
      </c>
    </row>
    <row r="348" spans="1:6" ht="13.5" customHeight="1">
      <c r="A348" s="3466">
        <v>346</v>
      </c>
      <c r="B348" s="3467" t="s">
        <v>3389</v>
      </c>
      <c r="C348" s="3466" t="s">
        <v>3390</v>
      </c>
      <c r="D348" s="3466">
        <v>-4</v>
      </c>
      <c r="E348" s="3471" t="s">
        <v>3735</v>
      </c>
      <c r="F348" s="3472">
        <v>45.73</v>
      </c>
    </row>
    <row r="349" spans="1:6" ht="13.5" customHeight="1">
      <c r="A349" s="3466">
        <v>347</v>
      </c>
      <c r="B349" s="3467" t="s">
        <v>3389</v>
      </c>
      <c r="C349" s="3466" t="s">
        <v>3390</v>
      </c>
      <c r="D349" s="3466">
        <v>-4</v>
      </c>
      <c r="E349" s="3471" t="s">
        <v>3736</v>
      </c>
      <c r="F349" s="3472">
        <v>45.73</v>
      </c>
    </row>
    <row r="350" spans="1:6" ht="13.5" customHeight="1">
      <c r="A350" s="3466">
        <v>348</v>
      </c>
      <c r="B350" s="3467" t="s">
        <v>3389</v>
      </c>
      <c r="C350" s="3466" t="s">
        <v>3390</v>
      </c>
      <c r="D350" s="3466">
        <v>-4</v>
      </c>
      <c r="E350" s="3471" t="s">
        <v>3737</v>
      </c>
      <c r="F350" s="3472">
        <v>45.73</v>
      </c>
    </row>
    <row r="351" spans="1:6" ht="13.5" customHeight="1">
      <c r="A351" s="3466">
        <v>349</v>
      </c>
      <c r="B351" s="3467" t="s">
        <v>3389</v>
      </c>
      <c r="C351" s="3466" t="s">
        <v>3390</v>
      </c>
      <c r="D351" s="3466">
        <v>-4</v>
      </c>
      <c r="E351" s="3471" t="s">
        <v>3738</v>
      </c>
      <c r="F351" s="3472">
        <v>45.73</v>
      </c>
    </row>
    <row r="352" spans="1:6" ht="13.5" customHeight="1">
      <c r="A352" s="3466">
        <v>350</v>
      </c>
      <c r="B352" s="3467" t="s">
        <v>3389</v>
      </c>
      <c r="C352" s="3466" t="s">
        <v>3390</v>
      </c>
      <c r="D352" s="3466">
        <v>-4</v>
      </c>
      <c r="E352" s="3471" t="s">
        <v>3739</v>
      </c>
      <c r="F352" s="3472">
        <v>45.73</v>
      </c>
    </row>
    <row r="353" spans="1:6" ht="13.5" customHeight="1">
      <c r="A353" s="3466">
        <v>351</v>
      </c>
      <c r="B353" s="3467" t="s">
        <v>3389</v>
      </c>
      <c r="C353" s="3466" t="s">
        <v>3390</v>
      </c>
      <c r="D353" s="3466">
        <v>-4</v>
      </c>
      <c r="E353" s="3471" t="s">
        <v>3740</v>
      </c>
      <c r="F353" s="3472">
        <v>45.73</v>
      </c>
    </row>
    <row r="354" spans="1:6" ht="13.5" customHeight="1">
      <c r="A354" s="3466">
        <v>352</v>
      </c>
      <c r="B354" s="3467" t="s">
        <v>3389</v>
      </c>
      <c r="C354" s="3466" t="s">
        <v>3390</v>
      </c>
      <c r="D354" s="3466">
        <v>-4</v>
      </c>
      <c r="E354" s="3471" t="s">
        <v>3741</v>
      </c>
      <c r="F354" s="3472">
        <v>45.73</v>
      </c>
    </row>
    <row r="355" spans="1:6" ht="13.5" customHeight="1">
      <c r="A355" s="3466">
        <v>353</v>
      </c>
      <c r="B355" s="3467" t="s">
        <v>3389</v>
      </c>
      <c r="C355" s="3466" t="s">
        <v>3390</v>
      </c>
      <c r="D355" s="3466">
        <v>-4</v>
      </c>
      <c r="E355" s="3471" t="s">
        <v>3742</v>
      </c>
      <c r="F355" s="3472">
        <v>45.73</v>
      </c>
    </row>
    <row r="356" spans="1:6" ht="13.5" customHeight="1">
      <c r="A356" s="3466">
        <v>354</v>
      </c>
      <c r="B356" s="3467" t="s">
        <v>3389</v>
      </c>
      <c r="C356" s="3466" t="s">
        <v>3390</v>
      </c>
      <c r="D356" s="3466">
        <v>-4</v>
      </c>
      <c r="E356" s="3471" t="s">
        <v>3743</v>
      </c>
      <c r="F356" s="3472">
        <v>45.73</v>
      </c>
    </row>
    <row r="357" spans="1:6" ht="13.5" customHeight="1">
      <c r="A357" s="3466">
        <v>355</v>
      </c>
      <c r="B357" s="3467" t="s">
        <v>3389</v>
      </c>
      <c r="C357" s="3466" t="s">
        <v>3390</v>
      </c>
      <c r="D357" s="3466">
        <v>-4</v>
      </c>
      <c r="E357" s="3471" t="s">
        <v>3744</v>
      </c>
      <c r="F357" s="3472">
        <v>45.73</v>
      </c>
    </row>
    <row r="358" spans="1:6" ht="13.5" customHeight="1">
      <c r="A358" s="3466">
        <v>356</v>
      </c>
      <c r="B358" s="3467" t="s">
        <v>3389</v>
      </c>
      <c r="C358" s="3466" t="s">
        <v>3390</v>
      </c>
      <c r="D358" s="3466">
        <v>-4</v>
      </c>
      <c r="E358" s="3471" t="s">
        <v>3745</v>
      </c>
      <c r="F358" s="3472">
        <v>45.73</v>
      </c>
    </row>
    <row r="359" spans="1:6" ht="13.5" customHeight="1">
      <c r="A359" s="3466">
        <v>357</v>
      </c>
      <c r="B359" s="3467" t="s">
        <v>3389</v>
      </c>
      <c r="C359" s="3466" t="s">
        <v>3390</v>
      </c>
      <c r="D359" s="3466">
        <v>-4</v>
      </c>
      <c r="E359" s="3471" t="s">
        <v>3746</v>
      </c>
      <c r="F359" s="3472">
        <v>45.73</v>
      </c>
    </row>
    <row r="360" spans="1:6" ht="13.5" customHeight="1">
      <c r="A360" s="3466">
        <v>358</v>
      </c>
      <c r="B360" s="3467" t="s">
        <v>3389</v>
      </c>
      <c r="C360" s="3466" t="s">
        <v>3390</v>
      </c>
      <c r="D360" s="3466">
        <v>-4</v>
      </c>
      <c r="E360" s="3471" t="s">
        <v>3747</v>
      </c>
      <c r="F360" s="3472">
        <v>45.73</v>
      </c>
    </row>
    <row r="361" spans="1:6" ht="13.5" customHeight="1">
      <c r="A361" s="3466">
        <v>359</v>
      </c>
      <c r="B361" s="3467" t="s">
        <v>3389</v>
      </c>
      <c r="C361" s="3466" t="s">
        <v>3390</v>
      </c>
      <c r="D361" s="3466">
        <v>-4</v>
      </c>
      <c r="E361" s="3471" t="s">
        <v>3748</v>
      </c>
      <c r="F361" s="3472">
        <v>45.73</v>
      </c>
    </row>
    <row r="362" spans="1:6" ht="13.5" customHeight="1">
      <c r="A362" s="3466">
        <v>360</v>
      </c>
      <c r="B362" s="3467" t="s">
        <v>3389</v>
      </c>
      <c r="C362" s="3466" t="s">
        <v>3390</v>
      </c>
      <c r="D362" s="3466">
        <v>-4</v>
      </c>
      <c r="E362" s="3471" t="s">
        <v>3749</v>
      </c>
      <c r="F362" s="3472">
        <v>45.73</v>
      </c>
    </row>
    <row r="363" spans="1:6" ht="13.5" customHeight="1">
      <c r="A363" s="3466">
        <v>361</v>
      </c>
      <c r="B363" s="3467" t="s">
        <v>3389</v>
      </c>
      <c r="C363" s="3466" t="s">
        <v>3390</v>
      </c>
      <c r="D363" s="3466">
        <v>-4</v>
      </c>
      <c r="E363" s="3471" t="s">
        <v>3750</v>
      </c>
      <c r="F363" s="3472">
        <v>45.73</v>
      </c>
    </row>
    <row r="364" spans="1:6" ht="13.5" customHeight="1">
      <c r="A364" s="3466">
        <v>362</v>
      </c>
      <c r="B364" s="3467" t="s">
        <v>3389</v>
      </c>
      <c r="C364" s="3466" t="s">
        <v>3390</v>
      </c>
      <c r="D364" s="3466">
        <v>-4</v>
      </c>
      <c r="E364" s="3471" t="s">
        <v>3751</v>
      </c>
      <c r="F364" s="3472">
        <v>45.73</v>
      </c>
    </row>
    <row r="365" spans="1:6" ht="13.5" customHeight="1">
      <c r="A365" s="3466">
        <v>363</v>
      </c>
      <c r="B365" s="3467" t="s">
        <v>3389</v>
      </c>
      <c r="C365" s="3466" t="s">
        <v>3390</v>
      </c>
      <c r="D365" s="3466">
        <v>-4</v>
      </c>
      <c r="E365" s="3471" t="s">
        <v>3752</v>
      </c>
      <c r="F365" s="3472">
        <v>45.73</v>
      </c>
    </row>
    <row r="366" spans="1:6" ht="13.5" customHeight="1">
      <c r="A366" s="3466">
        <v>364</v>
      </c>
      <c r="B366" s="3467" t="s">
        <v>3389</v>
      </c>
      <c r="C366" s="3466" t="s">
        <v>3390</v>
      </c>
      <c r="D366" s="3466">
        <v>-4</v>
      </c>
      <c r="E366" s="3471" t="s">
        <v>3753</v>
      </c>
      <c r="F366" s="3472">
        <v>45.73</v>
      </c>
    </row>
    <row r="367" spans="1:6" ht="13.5" customHeight="1">
      <c r="A367" s="3466">
        <v>365</v>
      </c>
      <c r="B367" s="3467" t="s">
        <v>3389</v>
      </c>
      <c r="C367" s="3466" t="s">
        <v>3390</v>
      </c>
      <c r="D367" s="3466">
        <v>-4</v>
      </c>
      <c r="E367" s="3471" t="s">
        <v>3754</v>
      </c>
      <c r="F367" s="3472">
        <v>45.73</v>
      </c>
    </row>
    <row r="368" spans="1:6" ht="13.5" customHeight="1">
      <c r="A368" s="3466">
        <v>366</v>
      </c>
      <c r="B368" s="3467" t="s">
        <v>3389</v>
      </c>
      <c r="C368" s="3466" t="s">
        <v>3390</v>
      </c>
      <c r="D368" s="3466">
        <v>-4</v>
      </c>
      <c r="E368" s="3471" t="s">
        <v>3755</v>
      </c>
      <c r="F368" s="3472">
        <v>45.73</v>
      </c>
    </row>
    <row r="369" spans="1:6" ht="13.5" customHeight="1">
      <c r="A369" s="3466">
        <v>367</v>
      </c>
      <c r="B369" s="3467" t="s">
        <v>3389</v>
      </c>
      <c r="C369" s="3466" t="s">
        <v>3390</v>
      </c>
      <c r="D369" s="3466">
        <v>-4</v>
      </c>
      <c r="E369" s="3471" t="s">
        <v>3756</v>
      </c>
      <c r="F369" s="3472">
        <v>45.73</v>
      </c>
    </row>
    <row r="370" spans="1:6" ht="13.5" customHeight="1">
      <c r="A370" s="3466">
        <v>368</v>
      </c>
      <c r="B370" s="3467" t="s">
        <v>3389</v>
      </c>
      <c r="C370" s="3466" t="s">
        <v>3390</v>
      </c>
      <c r="D370" s="3466">
        <v>-4</v>
      </c>
      <c r="E370" s="3471" t="s">
        <v>3757</v>
      </c>
      <c r="F370" s="3472">
        <v>45.73</v>
      </c>
    </row>
    <row r="371" spans="1:6" ht="13.5" customHeight="1">
      <c r="A371" s="3466">
        <v>369</v>
      </c>
      <c r="B371" s="3467" t="s">
        <v>3389</v>
      </c>
      <c r="C371" s="3466" t="s">
        <v>3390</v>
      </c>
      <c r="D371" s="3466">
        <v>-4</v>
      </c>
      <c r="E371" s="3471" t="s">
        <v>3758</v>
      </c>
      <c r="F371" s="3472">
        <v>45.73</v>
      </c>
    </row>
    <row r="372" spans="1:6" ht="13.5" customHeight="1">
      <c r="A372" s="3466">
        <v>370</v>
      </c>
      <c r="B372" s="3467" t="s">
        <v>3389</v>
      </c>
      <c r="C372" s="3466" t="s">
        <v>3390</v>
      </c>
      <c r="D372" s="3466">
        <v>-4</v>
      </c>
      <c r="E372" s="3471" t="s">
        <v>3759</v>
      </c>
      <c r="F372" s="3472">
        <v>45.73</v>
      </c>
    </row>
    <row r="373" spans="1:6" ht="13.5" customHeight="1">
      <c r="A373" s="3466">
        <v>371</v>
      </c>
      <c r="B373" s="3467" t="s">
        <v>3389</v>
      </c>
      <c r="C373" s="3466" t="s">
        <v>3390</v>
      </c>
      <c r="D373" s="3466">
        <v>-4</v>
      </c>
      <c r="E373" s="3471" t="s">
        <v>3760</v>
      </c>
      <c r="F373" s="3472">
        <v>45.73</v>
      </c>
    </row>
    <row r="374" spans="1:6" ht="13.5" customHeight="1">
      <c r="A374" s="3466">
        <v>372</v>
      </c>
      <c r="B374" s="3467" t="s">
        <v>3389</v>
      </c>
      <c r="C374" s="3466" t="s">
        <v>3390</v>
      </c>
      <c r="D374" s="3466">
        <v>-4</v>
      </c>
      <c r="E374" s="3471" t="s">
        <v>3761</v>
      </c>
      <c r="F374" s="3472">
        <v>45.73</v>
      </c>
    </row>
    <row r="375" spans="1:6" ht="13.5" customHeight="1">
      <c r="A375" s="3466">
        <v>373</v>
      </c>
      <c r="B375" s="3467" t="s">
        <v>3389</v>
      </c>
      <c r="C375" s="3466" t="s">
        <v>3390</v>
      </c>
      <c r="D375" s="3466">
        <v>-4</v>
      </c>
      <c r="E375" s="3471" t="s">
        <v>3762</v>
      </c>
      <c r="F375" s="3472">
        <v>45.73</v>
      </c>
    </row>
    <row r="376" spans="1:6" ht="13.5" customHeight="1">
      <c r="A376" s="3466">
        <v>374</v>
      </c>
      <c r="B376" s="3467" t="s">
        <v>3389</v>
      </c>
      <c r="C376" s="3466" t="s">
        <v>3390</v>
      </c>
      <c r="D376" s="3466">
        <v>-4</v>
      </c>
      <c r="E376" s="3471" t="s">
        <v>3763</v>
      </c>
      <c r="F376" s="3472">
        <v>45.73</v>
      </c>
    </row>
    <row r="377" spans="1:6" ht="13.5" customHeight="1">
      <c r="A377" s="3466">
        <v>375</v>
      </c>
      <c r="B377" s="3467" t="s">
        <v>3389</v>
      </c>
      <c r="C377" s="3466" t="s">
        <v>3390</v>
      </c>
      <c r="D377" s="3466">
        <v>-4</v>
      </c>
      <c r="E377" s="3471" t="s">
        <v>3764</v>
      </c>
      <c r="F377" s="3472">
        <v>45.73</v>
      </c>
    </row>
    <row r="378" spans="1:6" ht="13.5" customHeight="1">
      <c r="A378" s="3466">
        <v>376</v>
      </c>
      <c r="B378" s="3467" t="s">
        <v>3389</v>
      </c>
      <c r="C378" s="3466" t="s">
        <v>3390</v>
      </c>
      <c r="D378" s="3466">
        <v>-4</v>
      </c>
      <c r="E378" s="3471" t="s">
        <v>3765</v>
      </c>
      <c r="F378" s="3472">
        <v>45.73</v>
      </c>
    </row>
    <row r="379" spans="1:6" ht="13.5" customHeight="1">
      <c r="A379" s="3466">
        <v>377</v>
      </c>
      <c r="B379" s="3467" t="s">
        <v>3389</v>
      </c>
      <c r="C379" s="3466" t="s">
        <v>3390</v>
      </c>
      <c r="D379" s="3466">
        <v>-4</v>
      </c>
      <c r="E379" s="3471" t="s">
        <v>3766</v>
      </c>
      <c r="F379" s="3472">
        <v>45.73</v>
      </c>
    </row>
    <row r="380" spans="1:6" ht="13.5" customHeight="1">
      <c r="A380" s="3466">
        <v>378</v>
      </c>
      <c r="B380" s="3467" t="s">
        <v>3389</v>
      </c>
      <c r="C380" s="3466" t="s">
        <v>3390</v>
      </c>
      <c r="D380" s="3466">
        <v>-4</v>
      </c>
      <c r="E380" s="3471" t="s">
        <v>3767</v>
      </c>
      <c r="F380" s="3472">
        <v>45.73</v>
      </c>
    </row>
    <row r="381" spans="1:6" ht="13.5" customHeight="1">
      <c r="A381" s="3466">
        <v>379</v>
      </c>
      <c r="B381" s="3467" t="s">
        <v>3389</v>
      </c>
      <c r="C381" s="3466" t="s">
        <v>3390</v>
      </c>
      <c r="D381" s="3466">
        <v>-4</v>
      </c>
      <c r="E381" s="3471" t="s">
        <v>3768</v>
      </c>
      <c r="F381" s="3472">
        <v>45.73</v>
      </c>
    </row>
    <row r="382" spans="1:6" ht="13.5" customHeight="1">
      <c r="A382" s="3466">
        <v>380</v>
      </c>
      <c r="B382" s="3467" t="s">
        <v>3389</v>
      </c>
      <c r="C382" s="3466" t="s">
        <v>3390</v>
      </c>
      <c r="D382" s="3466">
        <v>-4</v>
      </c>
      <c r="E382" s="3471" t="s">
        <v>3769</v>
      </c>
      <c r="F382" s="3472">
        <v>45.73</v>
      </c>
    </row>
    <row r="383" spans="1:6" ht="13.5" customHeight="1">
      <c r="A383" s="3466">
        <v>381</v>
      </c>
      <c r="B383" s="3467" t="s">
        <v>3389</v>
      </c>
      <c r="C383" s="3466" t="s">
        <v>3390</v>
      </c>
      <c r="D383" s="3466">
        <v>-4</v>
      </c>
      <c r="E383" s="3471" t="s">
        <v>3770</v>
      </c>
      <c r="F383" s="3472">
        <v>45.73</v>
      </c>
    </row>
    <row r="384" spans="1:6" ht="13.5" customHeight="1">
      <c r="A384" s="3466">
        <v>382</v>
      </c>
      <c r="B384" s="3467" t="s">
        <v>3389</v>
      </c>
      <c r="C384" s="3466" t="s">
        <v>3390</v>
      </c>
      <c r="D384" s="3466">
        <v>-4</v>
      </c>
      <c r="E384" s="3471" t="s">
        <v>3771</v>
      </c>
      <c r="F384" s="3472">
        <v>45.73</v>
      </c>
    </row>
    <row r="385" spans="1:6" ht="13.5" customHeight="1">
      <c r="A385" s="3466">
        <v>383</v>
      </c>
      <c r="B385" s="3467" t="s">
        <v>3389</v>
      </c>
      <c r="C385" s="3466" t="s">
        <v>3390</v>
      </c>
      <c r="D385" s="3466">
        <v>-4</v>
      </c>
      <c r="E385" s="3471" t="s">
        <v>3772</v>
      </c>
      <c r="F385" s="3472">
        <v>45.73</v>
      </c>
    </row>
    <row r="386" spans="1:6" ht="13.5" customHeight="1">
      <c r="A386" s="3466">
        <v>384</v>
      </c>
      <c r="B386" s="3467" t="s">
        <v>3389</v>
      </c>
      <c r="C386" s="3466" t="s">
        <v>3390</v>
      </c>
      <c r="D386" s="3466">
        <v>-4</v>
      </c>
      <c r="E386" s="3471" t="s">
        <v>3773</v>
      </c>
      <c r="F386" s="3472">
        <v>45.73</v>
      </c>
    </row>
    <row r="387" spans="1:6" ht="13.5" customHeight="1">
      <c r="A387" s="3466">
        <v>385</v>
      </c>
      <c r="B387" s="3467" t="s">
        <v>3389</v>
      </c>
      <c r="C387" s="3466" t="s">
        <v>3390</v>
      </c>
      <c r="D387" s="3466">
        <v>-4</v>
      </c>
      <c r="E387" s="3471" t="s">
        <v>3774</v>
      </c>
      <c r="F387" s="3472">
        <v>45.73</v>
      </c>
    </row>
    <row r="388" spans="1:6" ht="13.5" customHeight="1">
      <c r="A388" s="3466">
        <v>386</v>
      </c>
      <c r="B388" s="3467" t="s">
        <v>3389</v>
      </c>
      <c r="C388" s="3466" t="s">
        <v>3390</v>
      </c>
      <c r="D388" s="3466">
        <v>-4</v>
      </c>
      <c r="E388" s="3471" t="s">
        <v>3775</v>
      </c>
      <c r="F388" s="3472">
        <v>45.73</v>
      </c>
    </row>
    <row r="389" spans="1:6" ht="13.5" customHeight="1">
      <c r="A389" s="3466">
        <v>387</v>
      </c>
      <c r="B389" s="3467" t="s">
        <v>3389</v>
      </c>
      <c r="C389" s="3466" t="s">
        <v>3390</v>
      </c>
      <c r="D389" s="3466">
        <v>-4</v>
      </c>
      <c r="E389" s="3471" t="s">
        <v>3776</v>
      </c>
      <c r="F389" s="3472">
        <v>45.73</v>
      </c>
    </row>
    <row r="390" spans="1:6" ht="13.5" customHeight="1">
      <c r="A390" s="3466">
        <v>388</v>
      </c>
      <c r="B390" s="3467" t="s">
        <v>3389</v>
      </c>
      <c r="C390" s="3466" t="s">
        <v>3390</v>
      </c>
      <c r="D390" s="3466">
        <v>-4</v>
      </c>
      <c r="E390" s="3471" t="s">
        <v>3777</v>
      </c>
      <c r="F390" s="3472">
        <v>45.73</v>
      </c>
    </row>
    <row r="391" spans="1:6" ht="13.5" customHeight="1">
      <c r="A391" s="3466">
        <v>389</v>
      </c>
      <c r="B391" s="3467" t="s">
        <v>3389</v>
      </c>
      <c r="C391" s="3466" t="s">
        <v>3390</v>
      </c>
      <c r="D391" s="3466">
        <v>-4</v>
      </c>
      <c r="E391" s="3471" t="s">
        <v>3778</v>
      </c>
      <c r="F391" s="3472">
        <v>45.73</v>
      </c>
    </row>
    <row r="392" spans="1:6" ht="13.5" customHeight="1">
      <c r="A392" s="3466">
        <v>390</v>
      </c>
      <c r="B392" s="3467" t="s">
        <v>3389</v>
      </c>
      <c r="C392" s="3466" t="s">
        <v>3390</v>
      </c>
      <c r="D392" s="3466">
        <v>-4</v>
      </c>
      <c r="E392" s="3471" t="s">
        <v>3779</v>
      </c>
      <c r="F392" s="3472">
        <v>45.73</v>
      </c>
    </row>
    <row r="393" spans="1:6" ht="13.5" customHeight="1">
      <c r="A393" s="3466">
        <v>391</v>
      </c>
      <c r="B393" s="3467" t="s">
        <v>3389</v>
      </c>
      <c r="C393" s="3466" t="s">
        <v>3390</v>
      </c>
      <c r="D393" s="3466">
        <v>-4</v>
      </c>
      <c r="E393" s="3471" t="s">
        <v>3780</v>
      </c>
      <c r="F393" s="3472">
        <v>45.73</v>
      </c>
    </row>
    <row r="394" spans="1:6" ht="13.5" customHeight="1">
      <c r="A394" s="3466">
        <v>392</v>
      </c>
      <c r="B394" s="3467" t="s">
        <v>3389</v>
      </c>
      <c r="C394" s="3466" t="s">
        <v>3390</v>
      </c>
      <c r="D394" s="3466">
        <v>-4</v>
      </c>
      <c r="E394" s="3471" t="s">
        <v>3781</v>
      </c>
      <c r="F394" s="3472">
        <v>45.73</v>
      </c>
    </row>
    <row r="395" spans="1:6" ht="13.5" customHeight="1">
      <c r="A395" s="3466">
        <v>393</v>
      </c>
      <c r="B395" s="3467" t="s">
        <v>3389</v>
      </c>
      <c r="C395" s="3466" t="s">
        <v>3390</v>
      </c>
      <c r="D395" s="3466">
        <v>-4</v>
      </c>
      <c r="E395" s="3471" t="s">
        <v>3782</v>
      </c>
      <c r="F395" s="3472">
        <v>45.73</v>
      </c>
    </row>
    <row r="396" spans="1:6" ht="13.5" customHeight="1">
      <c r="A396" s="3466">
        <v>394</v>
      </c>
      <c r="B396" s="3467" t="s">
        <v>3389</v>
      </c>
      <c r="C396" s="3466" t="s">
        <v>3390</v>
      </c>
      <c r="D396" s="3466">
        <v>-4</v>
      </c>
      <c r="E396" s="3471" t="s">
        <v>3783</v>
      </c>
      <c r="F396" s="3472">
        <v>45.73</v>
      </c>
    </row>
    <row r="397" spans="1:6" ht="13.5" customHeight="1">
      <c r="A397" s="3466">
        <v>395</v>
      </c>
      <c r="B397" s="3467" t="s">
        <v>3389</v>
      </c>
      <c r="C397" s="3466" t="s">
        <v>3390</v>
      </c>
      <c r="D397" s="3466">
        <v>-4</v>
      </c>
      <c r="E397" s="3471" t="s">
        <v>3784</v>
      </c>
      <c r="F397" s="3472">
        <v>45.73</v>
      </c>
    </row>
    <row r="398" spans="1:6" ht="13.5" customHeight="1">
      <c r="A398" s="3466">
        <v>396</v>
      </c>
      <c r="B398" s="3467" t="s">
        <v>3389</v>
      </c>
      <c r="C398" s="3466" t="s">
        <v>3390</v>
      </c>
      <c r="D398" s="3466">
        <v>-4</v>
      </c>
      <c r="E398" s="3471" t="s">
        <v>3785</v>
      </c>
      <c r="F398" s="3472">
        <v>45.73</v>
      </c>
    </row>
    <row r="399" spans="1:6" ht="13.5" customHeight="1">
      <c r="A399" s="3466">
        <v>397</v>
      </c>
      <c r="B399" s="3467" t="s">
        <v>3389</v>
      </c>
      <c r="C399" s="3466" t="s">
        <v>3390</v>
      </c>
      <c r="D399" s="3466">
        <v>-4</v>
      </c>
      <c r="E399" s="3471" t="s">
        <v>3786</v>
      </c>
      <c r="F399" s="3472">
        <v>45.73</v>
      </c>
    </row>
    <row r="400" spans="1:6" ht="13.5" customHeight="1">
      <c r="A400" s="3466">
        <v>398</v>
      </c>
      <c r="B400" s="3467" t="s">
        <v>3389</v>
      </c>
      <c r="C400" s="3466" t="s">
        <v>3390</v>
      </c>
      <c r="D400" s="3466">
        <v>-4</v>
      </c>
      <c r="E400" s="3471" t="s">
        <v>3787</v>
      </c>
      <c r="F400" s="3472">
        <v>45.73</v>
      </c>
    </row>
    <row r="401" spans="1:6" ht="13.5" customHeight="1">
      <c r="A401" s="3466">
        <v>399</v>
      </c>
      <c r="B401" s="3467" t="s">
        <v>3389</v>
      </c>
      <c r="C401" s="3466" t="s">
        <v>3390</v>
      </c>
      <c r="D401" s="3466">
        <v>-4</v>
      </c>
      <c r="E401" s="3471" t="s">
        <v>3788</v>
      </c>
      <c r="F401" s="3472">
        <v>45.73</v>
      </c>
    </row>
    <row r="402" spans="1:6" ht="13.5" customHeight="1">
      <c r="A402" s="3466">
        <v>400</v>
      </c>
      <c r="B402" s="3467" t="s">
        <v>3389</v>
      </c>
      <c r="C402" s="3466" t="s">
        <v>3390</v>
      </c>
      <c r="D402" s="3466">
        <v>-4</v>
      </c>
      <c r="E402" s="3471" t="s">
        <v>3789</v>
      </c>
      <c r="F402" s="3472">
        <v>45.73</v>
      </c>
    </row>
    <row r="403" spans="1:6" ht="13.5" customHeight="1">
      <c r="A403" s="3466">
        <v>401</v>
      </c>
      <c r="B403" s="3467" t="s">
        <v>3389</v>
      </c>
      <c r="C403" s="3466" t="s">
        <v>3390</v>
      </c>
      <c r="D403" s="3466">
        <v>-4</v>
      </c>
      <c r="E403" s="3471" t="s">
        <v>3790</v>
      </c>
      <c r="F403" s="3472">
        <v>45.73</v>
      </c>
    </row>
    <row r="404" spans="1:6" ht="13.5" customHeight="1">
      <c r="A404" s="3466">
        <v>402</v>
      </c>
      <c r="B404" s="3467" t="s">
        <v>3389</v>
      </c>
      <c r="C404" s="3466" t="s">
        <v>3390</v>
      </c>
      <c r="D404" s="3466">
        <v>-4</v>
      </c>
      <c r="E404" s="3471" t="s">
        <v>3791</v>
      </c>
      <c r="F404" s="3472">
        <v>45.73</v>
      </c>
    </row>
    <row r="405" spans="1:6" ht="13.5" customHeight="1">
      <c r="A405" s="3466">
        <v>403</v>
      </c>
      <c r="B405" s="3467" t="s">
        <v>3389</v>
      </c>
      <c r="C405" s="3466" t="s">
        <v>3390</v>
      </c>
      <c r="D405" s="3466">
        <v>-4</v>
      </c>
      <c r="E405" s="3471" t="s">
        <v>3792</v>
      </c>
      <c r="F405" s="3472">
        <v>45.73</v>
      </c>
    </row>
    <row r="406" spans="1:6" ht="13.5" customHeight="1">
      <c r="A406" s="3466">
        <v>404</v>
      </c>
      <c r="B406" s="3467" t="s">
        <v>3389</v>
      </c>
      <c r="C406" s="3466" t="s">
        <v>3390</v>
      </c>
      <c r="D406" s="3466">
        <v>-4</v>
      </c>
      <c r="E406" s="3471" t="s">
        <v>3793</v>
      </c>
      <c r="F406" s="3472">
        <v>45.73</v>
      </c>
    </row>
    <row r="407" spans="1:6" ht="13.5" customHeight="1">
      <c r="A407" s="3466">
        <v>405</v>
      </c>
      <c r="B407" s="3467" t="s">
        <v>3389</v>
      </c>
      <c r="C407" s="3466" t="s">
        <v>3390</v>
      </c>
      <c r="D407" s="3466">
        <v>-4</v>
      </c>
      <c r="E407" s="3471" t="s">
        <v>3794</v>
      </c>
      <c r="F407" s="3472">
        <v>45.73</v>
      </c>
    </row>
    <row r="408" spans="1:6" ht="13.5" customHeight="1">
      <c r="A408" s="3466">
        <v>406</v>
      </c>
      <c r="B408" s="3467" t="s">
        <v>3389</v>
      </c>
      <c r="C408" s="3466" t="s">
        <v>3390</v>
      </c>
      <c r="D408" s="3466">
        <v>-4</v>
      </c>
      <c r="E408" s="3471" t="s">
        <v>3795</v>
      </c>
      <c r="F408" s="3472">
        <v>45.73</v>
      </c>
    </row>
    <row r="409" spans="1:6" ht="13.5" customHeight="1">
      <c r="A409" s="3466">
        <v>407</v>
      </c>
      <c r="B409" s="3467" t="s">
        <v>3389</v>
      </c>
      <c r="C409" s="3466" t="s">
        <v>3390</v>
      </c>
      <c r="D409" s="3466">
        <v>-4</v>
      </c>
      <c r="E409" s="3471" t="s">
        <v>3796</v>
      </c>
      <c r="F409" s="3472">
        <v>45.73</v>
      </c>
    </row>
    <row r="410" spans="1:6" ht="13.5" customHeight="1">
      <c r="A410" s="3466">
        <v>408</v>
      </c>
      <c r="B410" s="3467" t="s">
        <v>3389</v>
      </c>
      <c r="C410" s="3466" t="s">
        <v>3390</v>
      </c>
      <c r="D410" s="3466">
        <v>-4</v>
      </c>
      <c r="E410" s="3471" t="s">
        <v>3797</v>
      </c>
      <c r="F410" s="3472">
        <v>45.73</v>
      </c>
    </row>
    <row r="411" spans="1:6" ht="13.5" customHeight="1">
      <c r="A411" s="3466">
        <v>409</v>
      </c>
      <c r="B411" s="3467" t="s">
        <v>3389</v>
      </c>
      <c r="C411" s="3466" t="s">
        <v>3390</v>
      </c>
      <c r="D411" s="3466">
        <v>-4</v>
      </c>
      <c r="E411" s="3471" t="s">
        <v>3798</v>
      </c>
      <c r="F411" s="3472">
        <v>45.73</v>
      </c>
    </row>
    <row r="412" spans="1:6" ht="13.5" customHeight="1">
      <c r="A412" s="3466">
        <v>410</v>
      </c>
      <c r="B412" s="3467" t="s">
        <v>3389</v>
      </c>
      <c r="C412" s="3466" t="s">
        <v>3390</v>
      </c>
      <c r="D412" s="3466">
        <v>-4</v>
      </c>
      <c r="E412" s="3471" t="s">
        <v>3799</v>
      </c>
      <c r="F412" s="3472">
        <v>45.73</v>
      </c>
    </row>
    <row r="413" spans="1:6" ht="13.5" customHeight="1">
      <c r="A413" s="3466">
        <v>411</v>
      </c>
      <c r="B413" s="3467" t="s">
        <v>3389</v>
      </c>
      <c r="C413" s="3466" t="s">
        <v>3390</v>
      </c>
      <c r="D413" s="3466">
        <v>-4</v>
      </c>
      <c r="E413" s="3471" t="s">
        <v>3800</v>
      </c>
      <c r="F413" s="3472">
        <v>45.73</v>
      </c>
    </row>
    <row r="414" spans="1:6" ht="13.5" customHeight="1">
      <c r="A414" s="3466">
        <v>412</v>
      </c>
      <c r="B414" s="3467" t="s">
        <v>3389</v>
      </c>
      <c r="C414" s="3466" t="s">
        <v>3390</v>
      </c>
      <c r="D414" s="3466">
        <v>-4</v>
      </c>
      <c r="E414" s="3471" t="s">
        <v>3801</v>
      </c>
      <c r="F414" s="3472">
        <v>45.73</v>
      </c>
    </row>
    <row r="415" spans="1:6" ht="13.5" customHeight="1">
      <c r="A415" s="3466">
        <v>413</v>
      </c>
      <c r="B415" s="3467" t="s">
        <v>3389</v>
      </c>
      <c r="C415" s="3466" t="s">
        <v>3390</v>
      </c>
      <c r="D415" s="3466">
        <v>-4</v>
      </c>
      <c r="E415" s="3471" t="s">
        <v>3802</v>
      </c>
      <c r="F415" s="3472">
        <v>45.73</v>
      </c>
    </row>
    <row r="416" spans="1:6" ht="13.5" customHeight="1">
      <c r="A416" s="3466">
        <v>414</v>
      </c>
      <c r="B416" s="3467" t="s">
        <v>3389</v>
      </c>
      <c r="C416" s="3466" t="s">
        <v>3390</v>
      </c>
      <c r="D416" s="3466">
        <v>-4</v>
      </c>
      <c r="E416" s="3471" t="s">
        <v>3803</v>
      </c>
      <c r="F416" s="3472">
        <v>45.73</v>
      </c>
    </row>
    <row r="417" spans="1:6" ht="13.5" customHeight="1">
      <c r="A417" s="3466">
        <v>415</v>
      </c>
      <c r="B417" s="3467" t="s">
        <v>3389</v>
      </c>
      <c r="C417" s="3466" t="s">
        <v>3390</v>
      </c>
      <c r="D417" s="3466">
        <v>-4</v>
      </c>
      <c r="E417" s="3471" t="s">
        <v>3804</v>
      </c>
      <c r="F417" s="3472">
        <v>45.73</v>
      </c>
    </row>
    <row r="418" spans="1:6" ht="13.5" customHeight="1">
      <c r="A418" s="3466">
        <v>416</v>
      </c>
      <c r="B418" s="3467" t="s">
        <v>3389</v>
      </c>
      <c r="C418" s="3466" t="s">
        <v>3390</v>
      </c>
      <c r="D418" s="3466">
        <v>-4</v>
      </c>
      <c r="E418" s="3471" t="s">
        <v>3805</v>
      </c>
      <c r="F418" s="3472">
        <v>45.3</v>
      </c>
    </row>
    <row r="419" spans="1:6" ht="13.5" customHeight="1">
      <c r="A419" s="3466">
        <v>417</v>
      </c>
      <c r="B419" s="3467" t="s">
        <v>3389</v>
      </c>
      <c r="C419" s="3466" t="s">
        <v>3390</v>
      </c>
      <c r="D419" s="3466">
        <v>-4</v>
      </c>
      <c r="E419" s="3471" t="s">
        <v>3806</v>
      </c>
      <c r="F419" s="3472">
        <v>45.3</v>
      </c>
    </row>
    <row r="420" spans="1:6" ht="13.5" customHeight="1">
      <c r="A420" s="3466">
        <v>418</v>
      </c>
      <c r="B420" s="3467" t="s">
        <v>3389</v>
      </c>
      <c r="C420" s="3466" t="s">
        <v>3390</v>
      </c>
      <c r="D420" s="3466">
        <v>-4</v>
      </c>
      <c r="E420" s="3471" t="s">
        <v>3807</v>
      </c>
      <c r="F420" s="3472">
        <v>45.3</v>
      </c>
    </row>
    <row r="421" spans="1:6" ht="13.5" customHeight="1">
      <c r="A421" s="3466">
        <v>419</v>
      </c>
      <c r="B421" s="3467" t="s">
        <v>3389</v>
      </c>
      <c r="C421" s="3466" t="s">
        <v>3390</v>
      </c>
      <c r="D421" s="3466">
        <v>-4</v>
      </c>
      <c r="E421" s="3471" t="s">
        <v>3808</v>
      </c>
      <c r="F421" s="3472">
        <v>45.3</v>
      </c>
    </row>
    <row r="422" spans="1:6" ht="13.5" customHeight="1">
      <c r="A422" s="3466">
        <v>420</v>
      </c>
      <c r="B422" s="3467" t="s">
        <v>3389</v>
      </c>
      <c r="C422" s="3466" t="s">
        <v>3390</v>
      </c>
      <c r="D422" s="3466">
        <v>-4</v>
      </c>
      <c r="E422" s="3471" t="s">
        <v>3809</v>
      </c>
      <c r="F422" s="3472">
        <v>45.3</v>
      </c>
    </row>
    <row r="423" spans="1:6" ht="13.5" customHeight="1">
      <c r="A423" s="3466">
        <v>421</v>
      </c>
      <c r="B423" s="3467" t="s">
        <v>3389</v>
      </c>
      <c r="C423" s="3466" t="s">
        <v>3390</v>
      </c>
      <c r="D423" s="3466">
        <v>-4</v>
      </c>
      <c r="E423" s="3471" t="s">
        <v>3810</v>
      </c>
      <c r="F423" s="3472">
        <v>31.64</v>
      </c>
    </row>
    <row r="424" spans="1:6" ht="13.5" customHeight="1">
      <c r="A424" s="3466">
        <v>422</v>
      </c>
      <c r="B424" s="3467" t="s">
        <v>3389</v>
      </c>
      <c r="C424" s="3466" t="s">
        <v>3390</v>
      </c>
      <c r="D424" s="3466">
        <v>-4</v>
      </c>
      <c r="E424" s="3471" t="s">
        <v>3811</v>
      </c>
      <c r="F424" s="3472">
        <v>31.64</v>
      </c>
    </row>
    <row r="425" spans="1:6" ht="13.5" customHeight="1">
      <c r="A425" s="3466">
        <v>423</v>
      </c>
      <c r="B425" s="3467" t="s">
        <v>3389</v>
      </c>
      <c r="C425" s="3466" t="s">
        <v>3390</v>
      </c>
      <c r="D425" s="3466">
        <v>-4</v>
      </c>
      <c r="E425" s="3471" t="s">
        <v>3812</v>
      </c>
      <c r="F425" s="3472">
        <v>31.64</v>
      </c>
    </row>
    <row r="426" spans="1:6" ht="13.5" customHeight="1">
      <c r="A426" s="3466">
        <v>424</v>
      </c>
      <c r="B426" s="3467" t="s">
        <v>3389</v>
      </c>
      <c r="C426" s="3466" t="s">
        <v>3390</v>
      </c>
      <c r="D426" s="3466">
        <v>-4</v>
      </c>
      <c r="E426" s="3471" t="s">
        <v>3813</v>
      </c>
      <c r="F426" s="3472">
        <v>31.64</v>
      </c>
    </row>
    <row r="427" spans="1:6" ht="13.5" customHeight="1">
      <c r="A427" s="3466">
        <v>425</v>
      </c>
      <c r="B427" s="3467" t="s">
        <v>3389</v>
      </c>
      <c r="C427" s="3466" t="s">
        <v>3390</v>
      </c>
      <c r="D427" s="3466">
        <v>-4</v>
      </c>
      <c r="E427" s="3471" t="s">
        <v>3814</v>
      </c>
      <c r="F427" s="3472">
        <v>31.64</v>
      </c>
    </row>
    <row r="428" spans="1:6" ht="13.5" customHeight="1">
      <c r="A428" s="3466">
        <v>426</v>
      </c>
      <c r="B428" s="3467" t="s">
        <v>3389</v>
      </c>
      <c r="C428" s="3466" t="s">
        <v>3390</v>
      </c>
      <c r="D428" s="3466">
        <v>-4</v>
      </c>
      <c r="E428" s="3471" t="s">
        <v>3815</v>
      </c>
      <c r="F428" s="3472">
        <v>31.64</v>
      </c>
    </row>
    <row r="429" spans="1:6" ht="13.5" customHeight="1">
      <c r="A429" s="3466">
        <v>427</v>
      </c>
      <c r="B429" s="3467" t="s">
        <v>3389</v>
      </c>
      <c r="C429" s="3466" t="s">
        <v>3390</v>
      </c>
      <c r="D429" s="3466">
        <v>-4</v>
      </c>
      <c r="E429" s="3471" t="s">
        <v>3816</v>
      </c>
      <c r="F429" s="3472">
        <v>31.64</v>
      </c>
    </row>
    <row r="430" spans="1:6" ht="13.5" customHeight="1">
      <c r="A430" s="3466">
        <v>428</v>
      </c>
      <c r="B430" s="3467" t="s">
        <v>3389</v>
      </c>
      <c r="C430" s="3466" t="s">
        <v>3390</v>
      </c>
      <c r="D430" s="3466">
        <v>-4</v>
      </c>
      <c r="E430" s="3471" t="s">
        <v>3817</v>
      </c>
      <c r="F430" s="3472">
        <v>31.64</v>
      </c>
    </row>
    <row r="431" spans="1:6" ht="13.5" customHeight="1">
      <c r="A431" s="3466">
        <v>429</v>
      </c>
      <c r="B431" s="3467" t="s">
        <v>3389</v>
      </c>
      <c r="C431" s="3466" t="s">
        <v>3390</v>
      </c>
      <c r="D431" s="3466">
        <v>-4</v>
      </c>
      <c r="E431" s="3471" t="s">
        <v>3818</v>
      </c>
      <c r="F431" s="3472">
        <v>31.64</v>
      </c>
    </row>
    <row r="432" spans="1:6" ht="13.5" customHeight="1">
      <c r="A432" s="3466">
        <v>430</v>
      </c>
      <c r="B432" s="3467" t="s">
        <v>3389</v>
      </c>
      <c r="C432" s="3466" t="s">
        <v>3390</v>
      </c>
      <c r="D432" s="3466">
        <v>-4</v>
      </c>
      <c r="E432" s="3471" t="s">
        <v>3819</v>
      </c>
      <c r="F432" s="3472">
        <v>31.64</v>
      </c>
    </row>
    <row r="433" spans="1:6" ht="13.5" customHeight="1">
      <c r="A433" s="3466">
        <v>431</v>
      </c>
      <c r="B433" s="3467" t="s">
        <v>3389</v>
      </c>
      <c r="C433" s="3466" t="s">
        <v>3390</v>
      </c>
      <c r="D433" s="3466">
        <v>-4</v>
      </c>
      <c r="E433" s="3471" t="s">
        <v>3820</v>
      </c>
      <c r="F433" s="3472">
        <v>86.28</v>
      </c>
    </row>
    <row r="434" spans="1:6" ht="13.5" customHeight="1">
      <c r="A434" s="3466">
        <v>432</v>
      </c>
      <c r="B434" s="3467" t="s">
        <v>3389</v>
      </c>
      <c r="C434" s="3466" t="s">
        <v>3390</v>
      </c>
      <c r="D434" s="3466">
        <v>-4</v>
      </c>
      <c r="E434" s="3471" t="s">
        <v>3821</v>
      </c>
      <c r="F434" s="3472">
        <v>86.28</v>
      </c>
    </row>
    <row r="435" spans="1:6" ht="13.5" customHeight="1">
      <c r="A435" s="3466">
        <v>433</v>
      </c>
      <c r="B435" s="3467" t="s">
        <v>3389</v>
      </c>
      <c r="C435" s="3466" t="s">
        <v>3390</v>
      </c>
      <c r="D435" s="3466">
        <v>-4</v>
      </c>
      <c r="E435" s="3471" t="s">
        <v>3822</v>
      </c>
      <c r="F435" s="3472">
        <v>86.28</v>
      </c>
    </row>
    <row r="436" spans="1:6" ht="13.5" customHeight="1">
      <c r="A436" s="3466">
        <v>434</v>
      </c>
      <c r="B436" s="3467" t="s">
        <v>3389</v>
      </c>
      <c r="C436" s="3466" t="s">
        <v>3390</v>
      </c>
      <c r="D436" s="3466">
        <v>-4</v>
      </c>
      <c r="E436" s="3471" t="s">
        <v>3823</v>
      </c>
      <c r="F436" s="3472">
        <v>86.28</v>
      </c>
    </row>
    <row r="437" spans="1:6" ht="13.5" customHeight="1">
      <c r="A437" s="3466">
        <v>435</v>
      </c>
      <c r="B437" s="3467" t="s">
        <v>3389</v>
      </c>
      <c r="C437" s="3466" t="s">
        <v>3390</v>
      </c>
      <c r="D437" s="3466">
        <v>-4</v>
      </c>
      <c r="E437" s="3471" t="s">
        <v>3824</v>
      </c>
      <c r="F437" s="3472">
        <v>86.28</v>
      </c>
    </row>
    <row r="438" spans="1:6" ht="13.5" customHeight="1">
      <c r="A438" s="3466">
        <v>436</v>
      </c>
      <c r="B438" s="3467" t="s">
        <v>3389</v>
      </c>
      <c r="C438" s="3466" t="s">
        <v>3390</v>
      </c>
      <c r="D438" s="3466">
        <v>-4</v>
      </c>
      <c r="E438" s="3471" t="s">
        <v>3825</v>
      </c>
      <c r="F438" s="3472">
        <v>86.28</v>
      </c>
    </row>
    <row r="439" spans="1:6" ht="13.5" customHeight="1">
      <c r="A439" s="3466">
        <v>437</v>
      </c>
      <c r="B439" s="3467" t="s">
        <v>3389</v>
      </c>
      <c r="C439" s="3466"/>
      <c r="D439" s="3466">
        <v>-4</v>
      </c>
      <c r="E439" s="3471" t="s">
        <v>3826</v>
      </c>
      <c r="F439" s="3472">
        <v>12.05</v>
      </c>
    </row>
    <row r="440" spans="1:6" ht="13.5" customHeight="1">
      <c r="A440" s="3466">
        <v>438</v>
      </c>
      <c r="B440" s="3467" t="s">
        <v>3389</v>
      </c>
      <c r="C440" s="3466"/>
      <c r="D440" s="3466">
        <v>-4</v>
      </c>
      <c r="E440" s="3471" t="s">
        <v>3827</v>
      </c>
      <c r="F440" s="3472">
        <v>52.41</v>
      </c>
    </row>
    <row r="441" spans="1:6" ht="13.5" customHeight="1">
      <c r="A441" s="3466">
        <v>439</v>
      </c>
      <c r="B441" s="3467" t="s">
        <v>3389</v>
      </c>
      <c r="C441" s="3466"/>
      <c r="D441" s="3466">
        <v>-4</v>
      </c>
      <c r="E441" s="3471" t="s">
        <v>3828</v>
      </c>
      <c r="F441" s="3472">
        <v>72.5</v>
      </c>
    </row>
    <row r="442" spans="1:6" ht="13.5" customHeight="1">
      <c r="A442" s="3466">
        <v>440</v>
      </c>
      <c r="B442" s="3467" t="s">
        <v>3389</v>
      </c>
      <c r="C442" s="3466"/>
      <c r="D442" s="3466">
        <v>-4</v>
      </c>
      <c r="E442" s="3471" t="s">
        <v>3829</v>
      </c>
      <c r="F442" s="3472">
        <v>79.58</v>
      </c>
    </row>
    <row r="443" spans="1:6" ht="13.5" customHeight="1">
      <c r="A443" s="3466">
        <v>441</v>
      </c>
      <c r="B443" s="3467" t="s">
        <v>3389</v>
      </c>
      <c r="C443" s="3466"/>
      <c r="D443" s="3466">
        <v>-4</v>
      </c>
      <c r="E443" s="3471" t="s">
        <v>3830</v>
      </c>
      <c r="F443" s="3472">
        <v>28.43</v>
      </c>
    </row>
    <row r="444" spans="1:6" ht="13.5" customHeight="1">
      <c r="A444" s="3466">
        <v>442</v>
      </c>
      <c r="B444" s="3467" t="s">
        <v>3389</v>
      </c>
      <c r="C444" s="3466"/>
      <c r="D444" s="3466">
        <v>-4</v>
      </c>
      <c r="E444" s="3471" t="s">
        <v>3831</v>
      </c>
      <c r="F444" s="3472">
        <v>50.85</v>
      </c>
    </row>
    <row r="445" spans="1:6" ht="13.5" customHeight="1">
      <c r="A445" s="3466">
        <v>443</v>
      </c>
      <c r="B445" s="3467" t="s">
        <v>3389</v>
      </c>
      <c r="C445" s="3466"/>
      <c r="D445" s="3466">
        <v>-4</v>
      </c>
      <c r="E445" s="3471" t="s">
        <v>3832</v>
      </c>
      <c r="F445" s="3472">
        <v>36.78</v>
      </c>
    </row>
    <row r="446" spans="1:6" ht="13.5" customHeight="1">
      <c r="A446" s="3466">
        <v>444</v>
      </c>
      <c r="B446" s="3467" t="s">
        <v>3389</v>
      </c>
      <c r="C446" s="3466"/>
      <c r="D446" s="3466">
        <v>-4</v>
      </c>
      <c r="E446" s="3471" t="s">
        <v>3833</v>
      </c>
      <c r="F446" s="3472">
        <v>39.54</v>
      </c>
    </row>
    <row r="447" spans="1:6" ht="13.5" customHeight="1">
      <c r="A447" s="3466">
        <v>445</v>
      </c>
      <c r="B447" s="3467" t="s">
        <v>3389</v>
      </c>
      <c r="C447" s="3466"/>
      <c r="D447" s="3466">
        <v>-4</v>
      </c>
      <c r="E447" s="3471" t="s">
        <v>3834</v>
      </c>
      <c r="F447" s="3472">
        <v>58.56</v>
      </c>
    </row>
    <row r="448" spans="1:6" ht="13.5" customHeight="1">
      <c r="A448" s="3466">
        <v>446</v>
      </c>
      <c r="B448" s="3467" t="s">
        <v>3389</v>
      </c>
      <c r="C448" s="3466"/>
      <c r="D448" s="3466">
        <v>-4</v>
      </c>
      <c r="E448" s="3471" t="s">
        <v>3835</v>
      </c>
      <c r="F448" s="3472">
        <v>64.290000000000006</v>
      </c>
    </row>
    <row r="449" spans="1:6" ht="13.5" customHeight="1">
      <c r="A449" s="3466">
        <v>447</v>
      </c>
      <c r="B449" s="3467" t="s">
        <v>3389</v>
      </c>
      <c r="C449" s="3466"/>
      <c r="D449" s="3466">
        <v>-4</v>
      </c>
      <c r="E449" s="3471" t="s">
        <v>3836</v>
      </c>
      <c r="F449" s="3472">
        <v>64.290000000000006</v>
      </c>
    </row>
    <row r="450" spans="1:6" ht="13.5" customHeight="1">
      <c r="A450" s="3466">
        <v>448</v>
      </c>
      <c r="B450" s="3467" t="s">
        <v>3389</v>
      </c>
      <c r="C450" s="3466"/>
      <c r="D450" s="3466">
        <v>-4</v>
      </c>
      <c r="E450" s="3471" t="s">
        <v>3837</v>
      </c>
      <c r="F450" s="3472">
        <v>59.4</v>
      </c>
    </row>
    <row r="451" spans="1:6" ht="13.5" customHeight="1">
      <c r="A451" s="3466">
        <v>449</v>
      </c>
      <c r="B451" s="3467" t="s">
        <v>3389</v>
      </c>
      <c r="C451" s="3466"/>
      <c r="D451" s="3466">
        <v>-4</v>
      </c>
      <c r="E451" s="3471" t="s">
        <v>3838</v>
      </c>
      <c r="F451" s="3472">
        <v>63.76</v>
      </c>
    </row>
    <row r="452" spans="1:6" ht="13.5" customHeight="1">
      <c r="A452" s="3466">
        <v>450</v>
      </c>
      <c r="B452" s="3467" t="s">
        <v>3389</v>
      </c>
      <c r="C452" s="3466"/>
      <c r="D452" s="3466">
        <v>-4</v>
      </c>
      <c r="E452" s="3471" t="s">
        <v>3839</v>
      </c>
      <c r="F452" s="3472">
        <v>60.72</v>
      </c>
    </row>
    <row r="453" spans="1:6" ht="13.5" customHeight="1">
      <c r="A453" s="3466">
        <v>451</v>
      </c>
      <c r="B453" s="3467" t="s">
        <v>3389</v>
      </c>
      <c r="C453" s="3466"/>
      <c r="D453" s="3466">
        <v>-4</v>
      </c>
      <c r="E453" s="3471" t="s">
        <v>3840</v>
      </c>
      <c r="F453" s="3472">
        <v>51.62</v>
      </c>
    </row>
    <row r="454" spans="1:6" ht="13.5" customHeight="1">
      <c r="A454" s="3466">
        <v>452</v>
      </c>
      <c r="B454" s="3467" t="s">
        <v>3389</v>
      </c>
      <c r="C454" s="3466"/>
      <c r="D454" s="3466">
        <v>-4</v>
      </c>
      <c r="E454" s="3471" t="s">
        <v>3841</v>
      </c>
      <c r="F454" s="3472">
        <v>57.18</v>
      </c>
    </row>
    <row r="455" spans="1:6" ht="13.5" customHeight="1">
      <c r="A455" s="3466">
        <v>453</v>
      </c>
      <c r="B455" s="3467" t="s">
        <v>3389</v>
      </c>
      <c r="C455" s="3466"/>
      <c r="D455" s="3466">
        <v>-4</v>
      </c>
      <c r="E455" s="3471" t="s">
        <v>3842</v>
      </c>
      <c r="F455" s="3472">
        <v>66.8</v>
      </c>
    </row>
    <row r="456" spans="1:6" ht="13.5" customHeight="1">
      <c r="A456" s="3466">
        <v>454</v>
      </c>
      <c r="B456" s="3467" t="s">
        <v>3389</v>
      </c>
      <c r="C456" s="3466" t="s">
        <v>3390</v>
      </c>
      <c r="D456" s="3466">
        <v>-3</v>
      </c>
      <c r="E456" s="3471" t="s">
        <v>3843</v>
      </c>
      <c r="F456" s="3472">
        <v>45.73</v>
      </c>
    </row>
    <row r="457" spans="1:6" ht="13.5" customHeight="1">
      <c r="A457" s="3466">
        <v>455</v>
      </c>
      <c r="B457" s="3467" t="s">
        <v>3389</v>
      </c>
      <c r="C457" s="3466" t="s">
        <v>3390</v>
      </c>
      <c r="D457" s="3466">
        <v>-3</v>
      </c>
      <c r="E457" s="3471" t="s">
        <v>3844</v>
      </c>
      <c r="F457" s="3472">
        <v>45.73</v>
      </c>
    </row>
    <row r="458" spans="1:6" ht="13.5" customHeight="1">
      <c r="A458" s="3466">
        <v>456</v>
      </c>
      <c r="B458" s="3467" t="s">
        <v>3389</v>
      </c>
      <c r="C458" s="3466" t="s">
        <v>3390</v>
      </c>
      <c r="D458" s="3466">
        <v>-3</v>
      </c>
      <c r="E458" s="3471" t="s">
        <v>3845</v>
      </c>
      <c r="F458" s="3472">
        <v>45.73</v>
      </c>
    </row>
    <row r="459" spans="1:6" ht="13.5" customHeight="1">
      <c r="A459" s="3466">
        <v>457</v>
      </c>
      <c r="B459" s="3467" t="s">
        <v>3389</v>
      </c>
      <c r="C459" s="3466" t="s">
        <v>3390</v>
      </c>
      <c r="D459" s="3466">
        <v>-3</v>
      </c>
      <c r="E459" s="3471" t="s">
        <v>3846</v>
      </c>
      <c r="F459" s="3472">
        <v>45.73</v>
      </c>
    </row>
    <row r="460" spans="1:6" ht="13.5" customHeight="1">
      <c r="A460" s="3466">
        <v>458</v>
      </c>
      <c r="B460" s="3467" t="s">
        <v>3389</v>
      </c>
      <c r="C460" s="3466" t="s">
        <v>3390</v>
      </c>
      <c r="D460" s="3466">
        <v>-3</v>
      </c>
      <c r="E460" s="3471" t="s">
        <v>3847</v>
      </c>
      <c r="F460" s="3472">
        <v>45.73</v>
      </c>
    </row>
    <row r="461" spans="1:6" ht="13.5" customHeight="1">
      <c r="A461" s="3466">
        <v>459</v>
      </c>
      <c r="B461" s="3467" t="s">
        <v>3389</v>
      </c>
      <c r="C461" s="3466" t="s">
        <v>3390</v>
      </c>
      <c r="D461" s="3466">
        <v>-3</v>
      </c>
      <c r="E461" s="3471" t="s">
        <v>3848</v>
      </c>
      <c r="F461" s="3472">
        <v>45.73</v>
      </c>
    </row>
    <row r="462" spans="1:6" ht="13.5" customHeight="1">
      <c r="A462" s="3466">
        <v>460</v>
      </c>
      <c r="B462" s="3467" t="s">
        <v>3389</v>
      </c>
      <c r="C462" s="3466" t="s">
        <v>3390</v>
      </c>
      <c r="D462" s="3466">
        <v>-3</v>
      </c>
      <c r="E462" s="3471" t="s">
        <v>3849</v>
      </c>
      <c r="F462" s="3472">
        <v>45.73</v>
      </c>
    </row>
    <row r="463" spans="1:6" ht="13.5" customHeight="1">
      <c r="A463" s="3466">
        <v>461</v>
      </c>
      <c r="B463" s="3467" t="s">
        <v>3389</v>
      </c>
      <c r="C463" s="3466" t="s">
        <v>3390</v>
      </c>
      <c r="D463" s="3466">
        <v>-3</v>
      </c>
      <c r="E463" s="3471" t="s">
        <v>3850</v>
      </c>
      <c r="F463" s="3472">
        <v>45.73</v>
      </c>
    </row>
    <row r="464" spans="1:6" ht="13.5" customHeight="1">
      <c r="A464" s="3466">
        <v>462</v>
      </c>
      <c r="B464" s="3467" t="s">
        <v>3389</v>
      </c>
      <c r="C464" s="3466" t="s">
        <v>3390</v>
      </c>
      <c r="D464" s="3466">
        <v>-3</v>
      </c>
      <c r="E464" s="3471" t="s">
        <v>3851</v>
      </c>
      <c r="F464" s="3472">
        <v>45.73</v>
      </c>
    </row>
    <row r="465" spans="1:6" ht="13.5" customHeight="1">
      <c r="A465" s="3466">
        <v>463</v>
      </c>
      <c r="B465" s="3467" t="s">
        <v>3389</v>
      </c>
      <c r="C465" s="3466" t="s">
        <v>3390</v>
      </c>
      <c r="D465" s="3466">
        <v>-3</v>
      </c>
      <c r="E465" s="3471" t="s">
        <v>3852</v>
      </c>
      <c r="F465" s="3472">
        <v>45.73</v>
      </c>
    </row>
    <row r="466" spans="1:6" ht="13.5" customHeight="1">
      <c r="A466" s="3466">
        <v>464</v>
      </c>
      <c r="B466" s="3467" t="s">
        <v>3389</v>
      </c>
      <c r="C466" s="3466" t="s">
        <v>3390</v>
      </c>
      <c r="D466" s="3466">
        <v>-3</v>
      </c>
      <c r="E466" s="3471" t="s">
        <v>3853</v>
      </c>
      <c r="F466" s="3472">
        <v>45.73</v>
      </c>
    </row>
    <row r="467" spans="1:6" ht="13.5" customHeight="1">
      <c r="A467" s="3466">
        <v>465</v>
      </c>
      <c r="B467" s="3467" t="s">
        <v>3389</v>
      </c>
      <c r="C467" s="3466" t="s">
        <v>3390</v>
      </c>
      <c r="D467" s="3466">
        <v>-3</v>
      </c>
      <c r="E467" s="3471" t="s">
        <v>3854</v>
      </c>
      <c r="F467" s="3472">
        <v>45.73</v>
      </c>
    </row>
    <row r="468" spans="1:6" ht="13.5" customHeight="1">
      <c r="A468" s="3466">
        <v>466</v>
      </c>
      <c r="B468" s="3467" t="s">
        <v>3389</v>
      </c>
      <c r="C468" s="3466" t="s">
        <v>3390</v>
      </c>
      <c r="D468" s="3466">
        <v>-3</v>
      </c>
      <c r="E468" s="3471" t="s">
        <v>3855</v>
      </c>
      <c r="F468" s="3472">
        <v>45.73</v>
      </c>
    </row>
    <row r="469" spans="1:6" ht="13.5" customHeight="1">
      <c r="A469" s="3466">
        <v>467</v>
      </c>
      <c r="B469" s="3467" t="s">
        <v>3389</v>
      </c>
      <c r="C469" s="3466" t="s">
        <v>3390</v>
      </c>
      <c r="D469" s="3466">
        <v>-3</v>
      </c>
      <c r="E469" s="3471" t="s">
        <v>3856</v>
      </c>
      <c r="F469" s="3472">
        <v>45.73</v>
      </c>
    </row>
    <row r="470" spans="1:6" ht="13.5" customHeight="1">
      <c r="A470" s="3466">
        <v>468</v>
      </c>
      <c r="B470" s="3467" t="s">
        <v>3389</v>
      </c>
      <c r="C470" s="3466" t="s">
        <v>3390</v>
      </c>
      <c r="D470" s="3466">
        <v>-3</v>
      </c>
      <c r="E470" s="3471" t="s">
        <v>3857</v>
      </c>
      <c r="F470" s="3472">
        <v>45.73</v>
      </c>
    </row>
    <row r="471" spans="1:6" ht="13.5" customHeight="1">
      <c r="A471" s="3466">
        <v>469</v>
      </c>
      <c r="B471" s="3467" t="s">
        <v>3389</v>
      </c>
      <c r="C471" s="3466" t="s">
        <v>3390</v>
      </c>
      <c r="D471" s="3466">
        <v>-3</v>
      </c>
      <c r="E471" s="3471" t="s">
        <v>3858</v>
      </c>
      <c r="F471" s="3472">
        <v>45.73</v>
      </c>
    </row>
    <row r="472" spans="1:6" ht="13.5" customHeight="1">
      <c r="A472" s="3466">
        <v>470</v>
      </c>
      <c r="B472" s="3467" t="s">
        <v>3389</v>
      </c>
      <c r="C472" s="3466" t="s">
        <v>3390</v>
      </c>
      <c r="D472" s="3466">
        <v>-3</v>
      </c>
      <c r="E472" s="3471" t="s">
        <v>3859</v>
      </c>
      <c r="F472" s="3472">
        <v>45.73</v>
      </c>
    </row>
    <row r="473" spans="1:6" ht="13.5" customHeight="1">
      <c r="A473" s="3466">
        <v>471</v>
      </c>
      <c r="B473" s="3467" t="s">
        <v>3389</v>
      </c>
      <c r="C473" s="3466" t="s">
        <v>3390</v>
      </c>
      <c r="D473" s="3466">
        <v>-3</v>
      </c>
      <c r="E473" s="3471" t="s">
        <v>3860</v>
      </c>
      <c r="F473" s="3472">
        <v>45.73</v>
      </c>
    </row>
    <row r="474" spans="1:6" ht="13.5" customHeight="1">
      <c r="A474" s="3466">
        <v>472</v>
      </c>
      <c r="B474" s="3467" t="s">
        <v>3389</v>
      </c>
      <c r="C474" s="3466" t="s">
        <v>3390</v>
      </c>
      <c r="D474" s="3466">
        <v>-3</v>
      </c>
      <c r="E474" s="3471" t="s">
        <v>3861</v>
      </c>
      <c r="F474" s="3472">
        <v>45.73</v>
      </c>
    </row>
    <row r="475" spans="1:6" ht="13.5" customHeight="1">
      <c r="A475" s="3466">
        <v>473</v>
      </c>
      <c r="B475" s="3467" t="s">
        <v>3389</v>
      </c>
      <c r="C475" s="3466" t="s">
        <v>3390</v>
      </c>
      <c r="D475" s="3466">
        <v>-3</v>
      </c>
      <c r="E475" s="3471" t="s">
        <v>3862</v>
      </c>
      <c r="F475" s="3472">
        <v>45.73</v>
      </c>
    </row>
    <row r="476" spans="1:6" ht="13.5" customHeight="1">
      <c r="A476" s="3466">
        <v>474</v>
      </c>
      <c r="B476" s="3467" t="s">
        <v>3389</v>
      </c>
      <c r="C476" s="3466" t="s">
        <v>3390</v>
      </c>
      <c r="D476" s="3466">
        <v>-3</v>
      </c>
      <c r="E476" s="3471" t="s">
        <v>3863</v>
      </c>
      <c r="F476" s="3472">
        <v>45.73</v>
      </c>
    </row>
    <row r="477" spans="1:6" ht="13.5" customHeight="1">
      <c r="A477" s="3466">
        <v>475</v>
      </c>
      <c r="B477" s="3467" t="s">
        <v>3389</v>
      </c>
      <c r="C477" s="3466" t="s">
        <v>3390</v>
      </c>
      <c r="D477" s="3466">
        <v>-3</v>
      </c>
      <c r="E477" s="3471" t="s">
        <v>3864</v>
      </c>
      <c r="F477" s="3472">
        <v>45.73</v>
      </c>
    </row>
    <row r="478" spans="1:6" ht="13.5" customHeight="1">
      <c r="A478" s="3466">
        <v>476</v>
      </c>
      <c r="B478" s="3467" t="s">
        <v>3389</v>
      </c>
      <c r="C478" s="3466" t="s">
        <v>3390</v>
      </c>
      <c r="D478" s="3466">
        <v>-3</v>
      </c>
      <c r="E478" s="3471" t="s">
        <v>3865</v>
      </c>
      <c r="F478" s="3472">
        <v>45.73</v>
      </c>
    </row>
    <row r="479" spans="1:6" ht="13.5" customHeight="1">
      <c r="A479" s="3466">
        <v>477</v>
      </c>
      <c r="B479" s="3467" t="s">
        <v>3389</v>
      </c>
      <c r="C479" s="3466" t="s">
        <v>3390</v>
      </c>
      <c r="D479" s="3466">
        <v>-3</v>
      </c>
      <c r="E479" s="3471" t="s">
        <v>3866</v>
      </c>
      <c r="F479" s="3472">
        <v>45.73</v>
      </c>
    </row>
    <row r="480" spans="1:6" ht="13.5" customHeight="1">
      <c r="A480" s="3466">
        <v>478</v>
      </c>
      <c r="B480" s="3467" t="s">
        <v>3389</v>
      </c>
      <c r="C480" s="3466" t="s">
        <v>3390</v>
      </c>
      <c r="D480" s="3466">
        <v>-3</v>
      </c>
      <c r="E480" s="3471" t="s">
        <v>3867</v>
      </c>
      <c r="F480" s="3472">
        <v>45.73</v>
      </c>
    </row>
    <row r="481" spans="1:6" ht="13.5" customHeight="1">
      <c r="A481" s="3466">
        <v>479</v>
      </c>
      <c r="B481" s="3467" t="s">
        <v>3389</v>
      </c>
      <c r="C481" s="3466" t="s">
        <v>3390</v>
      </c>
      <c r="D481" s="3466">
        <v>-3</v>
      </c>
      <c r="E481" s="3471" t="s">
        <v>3868</v>
      </c>
      <c r="F481" s="3472">
        <v>45.73</v>
      </c>
    </row>
    <row r="482" spans="1:6" ht="13.5" customHeight="1">
      <c r="A482" s="3466">
        <v>480</v>
      </c>
      <c r="B482" s="3467" t="s">
        <v>3389</v>
      </c>
      <c r="C482" s="3466" t="s">
        <v>3390</v>
      </c>
      <c r="D482" s="3466">
        <v>-3</v>
      </c>
      <c r="E482" s="3471" t="s">
        <v>3869</v>
      </c>
      <c r="F482" s="3472">
        <v>45.73</v>
      </c>
    </row>
    <row r="483" spans="1:6" ht="13.5" customHeight="1">
      <c r="A483" s="3466">
        <v>481</v>
      </c>
      <c r="B483" s="3467" t="s">
        <v>3389</v>
      </c>
      <c r="C483" s="3466" t="s">
        <v>3390</v>
      </c>
      <c r="D483" s="3466">
        <v>-3</v>
      </c>
      <c r="E483" s="3471" t="s">
        <v>3870</v>
      </c>
      <c r="F483" s="3472">
        <v>45.73</v>
      </c>
    </row>
    <row r="484" spans="1:6" ht="13.5" customHeight="1">
      <c r="A484" s="3466">
        <v>482</v>
      </c>
      <c r="B484" s="3467" t="s">
        <v>3389</v>
      </c>
      <c r="C484" s="3466" t="s">
        <v>3390</v>
      </c>
      <c r="D484" s="3466">
        <v>-3</v>
      </c>
      <c r="E484" s="3471" t="s">
        <v>3871</v>
      </c>
      <c r="F484" s="3472">
        <v>45.73</v>
      </c>
    </row>
    <row r="485" spans="1:6" ht="13.5" customHeight="1">
      <c r="A485" s="3466">
        <v>483</v>
      </c>
      <c r="B485" s="3467" t="s">
        <v>3389</v>
      </c>
      <c r="C485" s="3466" t="s">
        <v>3390</v>
      </c>
      <c r="D485" s="3466">
        <v>-3</v>
      </c>
      <c r="E485" s="3471" t="s">
        <v>3872</v>
      </c>
      <c r="F485" s="3472">
        <v>45.73</v>
      </c>
    </row>
    <row r="486" spans="1:6" ht="13.5" customHeight="1">
      <c r="A486" s="3466">
        <v>484</v>
      </c>
      <c r="B486" s="3467" t="s">
        <v>3389</v>
      </c>
      <c r="C486" s="3466" t="s">
        <v>3390</v>
      </c>
      <c r="D486" s="3466">
        <v>-3</v>
      </c>
      <c r="E486" s="3471" t="s">
        <v>3873</v>
      </c>
      <c r="F486" s="3472">
        <v>45.73</v>
      </c>
    </row>
    <row r="487" spans="1:6" ht="13.5" customHeight="1">
      <c r="A487" s="3466">
        <v>485</v>
      </c>
      <c r="B487" s="3467" t="s">
        <v>3389</v>
      </c>
      <c r="C487" s="3466" t="s">
        <v>3390</v>
      </c>
      <c r="D487" s="3466">
        <v>-3</v>
      </c>
      <c r="E487" s="3471" t="s">
        <v>3874</v>
      </c>
      <c r="F487" s="3472">
        <v>45.73</v>
      </c>
    </row>
    <row r="488" spans="1:6" ht="13.5" customHeight="1">
      <c r="A488" s="3466">
        <v>486</v>
      </c>
      <c r="B488" s="3467" t="s">
        <v>3389</v>
      </c>
      <c r="C488" s="3466" t="s">
        <v>3390</v>
      </c>
      <c r="D488" s="3466">
        <v>-3</v>
      </c>
      <c r="E488" s="3471" t="s">
        <v>3875</v>
      </c>
      <c r="F488" s="3472">
        <v>45.73</v>
      </c>
    </row>
    <row r="489" spans="1:6" ht="13.5" customHeight="1">
      <c r="A489" s="3466">
        <v>487</v>
      </c>
      <c r="B489" s="3467" t="s">
        <v>3389</v>
      </c>
      <c r="C489" s="3466" t="s">
        <v>3390</v>
      </c>
      <c r="D489" s="3466">
        <v>-3</v>
      </c>
      <c r="E489" s="3471" t="s">
        <v>3876</v>
      </c>
      <c r="F489" s="3472">
        <v>45.73</v>
      </c>
    </row>
    <row r="490" spans="1:6" ht="13.5" customHeight="1">
      <c r="A490" s="3466">
        <v>488</v>
      </c>
      <c r="B490" s="3467" t="s">
        <v>3389</v>
      </c>
      <c r="C490" s="3466" t="s">
        <v>3390</v>
      </c>
      <c r="D490" s="3466">
        <v>-3</v>
      </c>
      <c r="E490" s="3471" t="s">
        <v>3877</v>
      </c>
      <c r="F490" s="3472">
        <v>45.73</v>
      </c>
    </row>
    <row r="491" spans="1:6" ht="13.5" customHeight="1">
      <c r="A491" s="3466">
        <v>489</v>
      </c>
      <c r="B491" s="3467" t="s">
        <v>3389</v>
      </c>
      <c r="C491" s="3466" t="s">
        <v>3390</v>
      </c>
      <c r="D491" s="3466">
        <v>-3</v>
      </c>
      <c r="E491" s="3471" t="s">
        <v>3878</v>
      </c>
      <c r="F491" s="3472">
        <v>45.73</v>
      </c>
    </row>
    <row r="492" spans="1:6" ht="13.5" customHeight="1">
      <c r="A492" s="3466">
        <v>490</v>
      </c>
      <c r="B492" s="3467" t="s">
        <v>3389</v>
      </c>
      <c r="C492" s="3466" t="s">
        <v>3390</v>
      </c>
      <c r="D492" s="3466">
        <v>-3</v>
      </c>
      <c r="E492" s="3471" t="s">
        <v>3879</v>
      </c>
      <c r="F492" s="3472">
        <v>45.73</v>
      </c>
    </row>
    <row r="493" spans="1:6" ht="13.5" customHeight="1">
      <c r="A493" s="3466">
        <v>491</v>
      </c>
      <c r="B493" s="3467" t="s">
        <v>3389</v>
      </c>
      <c r="C493" s="3466" t="s">
        <v>3390</v>
      </c>
      <c r="D493" s="3466">
        <v>-3</v>
      </c>
      <c r="E493" s="3471" t="s">
        <v>3880</v>
      </c>
      <c r="F493" s="3472">
        <v>45.73</v>
      </c>
    </row>
    <row r="494" spans="1:6" ht="13.5" customHeight="1">
      <c r="A494" s="3466">
        <v>492</v>
      </c>
      <c r="B494" s="3467" t="s">
        <v>3389</v>
      </c>
      <c r="C494" s="3466" t="s">
        <v>3390</v>
      </c>
      <c r="D494" s="3466">
        <v>-3</v>
      </c>
      <c r="E494" s="3471" t="s">
        <v>3881</v>
      </c>
      <c r="F494" s="3472">
        <v>45.73</v>
      </c>
    </row>
    <row r="495" spans="1:6" ht="13.5" customHeight="1">
      <c r="A495" s="3466">
        <v>493</v>
      </c>
      <c r="B495" s="3467" t="s">
        <v>3389</v>
      </c>
      <c r="C495" s="3466" t="s">
        <v>3390</v>
      </c>
      <c r="D495" s="3466">
        <v>-3</v>
      </c>
      <c r="E495" s="3471" t="s">
        <v>3882</v>
      </c>
      <c r="F495" s="3472">
        <v>45.73</v>
      </c>
    </row>
    <row r="496" spans="1:6" ht="13.5" customHeight="1">
      <c r="A496" s="3466">
        <v>494</v>
      </c>
      <c r="B496" s="3467" t="s">
        <v>3389</v>
      </c>
      <c r="C496" s="3466" t="s">
        <v>3390</v>
      </c>
      <c r="D496" s="3466">
        <v>-3</v>
      </c>
      <c r="E496" s="3471" t="s">
        <v>3883</v>
      </c>
      <c r="F496" s="3472">
        <v>45.73</v>
      </c>
    </row>
    <row r="497" spans="1:6" ht="13.5" customHeight="1">
      <c r="A497" s="3466">
        <v>495</v>
      </c>
      <c r="B497" s="3467" t="s">
        <v>3389</v>
      </c>
      <c r="C497" s="3466" t="s">
        <v>3390</v>
      </c>
      <c r="D497" s="3466">
        <v>-3</v>
      </c>
      <c r="E497" s="3471" t="s">
        <v>3884</v>
      </c>
      <c r="F497" s="3472">
        <v>45.73</v>
      </c>
    </row>
    <row r="498" spans="1:6" ht="13.5" customHeight="1">
      <c r="A498" s="3466">
        <v>496</v>
      </c>
      <c r="B498" s="3467" t="s">
        <v>3389</v>
      </c>
      <c r="C498" s="3466" t="s">
        <v>3390</v>
      </c>
      <c r="D498" s="3466">
        <v>-3</v>
      </c>
      <c r="E498" s="3471" t="s">
        <v>3885</v>
      </c>
      <c r="F498" s="3472">
        <v>45.73</v>
      </c>
    </row>
    <row r="499" spans="1:6" ht="13.5" customHeight="1">
      <c r="A499" s="3466">
        <v>497</v>
      </c>
      <c r="B499" s="3467" t="s">
        <v>3389</v>
      </c>
      <c r="C499" s="3466" t="s">
        <v>3390</v>
      </c>
      <c r="D499" s="3466">
        <v>-3</v>
      </c>
      <c r="E499" s="3471" t="s">
        <v>3886</v>
      </c>
      <c r="F499" s="3472">
        <v>45.73</v>
      </c>
    </row>
    <row r="500" spans="1:6" ht="13.5" customHeight="1">
      <c r="A500" s="3466">
        <v>498</v>
      </c>
      <c r="B500" s="3467" t="s">
        <v>3389</v>
      </c>
      <c r="C500" s="3466" t="s">
        <v>3390</v>
      </c>
      <c r="D500" s="3466">
        <v>-3</v>
      </c>
      <c r="E500" s="3471" t="s">
        <v>3887</v>
      </c>
      <c r="F500" s="3472">
        <v>45.73</v>
      </c>
    </row>
    <row r="501" spans="1:6" ht="13.5" customHeight="1">
      <c r="A501" s="3466">
        <v>499</v>
      </c>
      <c r="B501" s="3467" t="s">
        <v>3389</v>
      </c>
      <c r="C501" s="3466" t="s">
        <v>3390</v>
      </c>
      <c r="D501" s="3466">
        <v>-3</v>
      </c>
      <c r="E501" s="3471" t="s">
        <v>3888</v>
      </c>
      <c r="F501" s="3472">
        <v>45.73</v>
      </c>
    </row>
    <row r="502" spans="1:6" ht="13.5" customHeight="1">
      <c r="A502" s="3466">
        <v>500</v>
      </c>
      <c r="B502" s="3467" t="s">
        <v>3389</v>
      </c>
      <c r="C502" s="3466" t="s">
        <v>3390</v>
      </c>
      <c r="D502" s="3466">
        <v>-3</v>
      </c>
      <c r="E502" s="3471" t="s">
        <v>3889</v>
      </c>
      <c r="F502" s="3472">
        <v>45.73</v>
      </c>
    </row>
    <row r="503" spans="1:6" ht="13.5" customHeight="1">
      <c r="A503" s="3466">
        <v>501</v>
      </c>
      <c r="B503" s="3467" t="s">
        <v>3389</v>
      </c>
      <c r="C503" s="3466" t="s">
        <v>3390</v>
      </c>
      <c r="D503" s="3466">
        <v>-3</v>
      </c>
      <c r="E503" s="3471" t="s">
        <v>3890</v>
      </c>
      <c r="F503" s="3472">
        <v>45.73</v>
      </c>
    </row>
    <row r="504" spans="1:6" ht="13.5" customHeight="1">
      <c r="A504" s="3466">
        <v>502</v>
      </c>
      <c r="B504" s="3467" t="s">
        <v>3389</v>
      </c>
      <c r="C504" s="3466" t="s">
        <v>3390</v>
      </c>
      <c r="D504" s="3466">
        <v>-3</v>
      </c>
      <c r="E504" s="3471" t="s">
        <v>3891</v>
      </c>
      <c r="F504" s="3472">
        <v>45.73</v>
      </c>
    </row>
    <row r="505" spans="1:6" ht="13.5" customHeight="1">
      <c r="A505" s="3466">
        <v>503</v>
      </c>
      <c r="B505" s="3467" t="s">
        <v>3389</v>
      </c>
      <c r="C505" s="3466" t="s">
        <v>3390</v>
      </c>
      <c r="D505" s="3466">
        <v>-3</v>
      </c>
      <c r="E505" s="3471" t="s">
        <v>3892</v>
      </c>
      <c r="F505" s="3472">
        <v>45.73</v>
      </c>
    </row>
    <row r="506" spans="1:6" ht="13.5" customHeight="1">
      <c r="A506" s="3466">
        <v>504</v>
      </c>
      <c r="B506" s="3467" t="s">
        <v>3389</v>
      </c>
      <c r="C506" s="3466" t="s">
        <v>3390</v>
      </c>
      <c r="D506" s="3466">
        <v>-3</v>
      </c>
      <c r="E506" s="3471" t="s">
        <v>3893</v>
      </c>
      <c r="F506" s="3472">
        <v>45.73</v>
      </c>
    </row>
    <row r="507" spans="1:6" ht="13.5" customHeight="1">
      <c r="A507" s="3466">
        <v>505</v>
      </c>
      <c r="B507" s="3467" t="s">
        <v>3389</v>
      </c>
      <c r="C507" s="3466" t="s">
        <v>3390</v>
      </c>
      <c r="D507" s="3466">
        <v>-3</v>
      </c>
      <c r="E507" s="3471" t="s">
        <v>3894</v>
      </c>
      <c r="F507" s="3472">
        <v>45.73</v>
      </c>
    </row>
    <row r="508" spans="1:6" ht="13.5" customHeight="1">
      <c r="A508" s="3466">
        <v>506</v>
      </c>
      <c r="B508" s="3467" t="s">
        <v>3389</v>
      </c>
      <c r="C508" s="3466" t="s">
        <v>3390</v>
      </c>
      <c r="D508" s="3466">
        <v>-3</v>
      </c>
      <c r="E508" s="3471" t="s">
        <v>3895</v>
      </c>
      <c r="F508" s="3472">
        <v>45.73</v>
      </c>
    </row>
    <row r="509" spans="1:6" ht="13.5" customHeight="1">
      <c r="A509" s="3466">
        <v>507</v>
      </c>
      <c r="B509" s="3467" t="s">
        <v>3389</v>
      </c>
      <c r="C509" s="3466" t="s">
        <v>3390</v>
      </c>
      <c r="D509" s="3466">
        <v>-3</v>
      </c>
      <c r="E509" s="3471" t="s">
        <v>3896</v>
      </c>
      <c r="F509" s="3472">
        <v>45.73</v>
      </c>
    </row>
    <row r="510" spans="1:6" ht="13.5" customHeight="1">
      <c r="A510" s="3466">
        <v>508</v>
      </c>
      <c r="B510" s="3467" t="s">
        <v>3389</v>
      </c>
      <c r="C510" s="3466" t="s">
        <v>3390</v>
      </c>
      <c r="D510" s="3466">
        <v>-3</v>
      </c>
      <c r="E510" s="3471" t="s">
        <v>3897</v>
      </c>
      <c r="F510" s="3472">
        <v>45.73</v>
      </c>
    </row>
    <row r="511" spans="1:6" ht="13.5" customHeight="1">
      <c r="A511" s="3466">
        <v>509</v>
      </c>
      <c r="B511" s="3467" t="s">
        <v>3389</v>
      </c>
      <c r="C511" s="3466" t="s">
        <v>3390</v>
      </c>
      <c r="D511" s="3466">
        <v>-3</v>
      </c>
      <c r="E511" s="3471" t="s">
        <v>3898</v>
      </c>
      <c r="F511" s="3472">
        <v>45.73</v>
      </c>
    </row>
    <row r="512" spans="1:6" ht="13.5" customHeight="1">
      <c r="A512" s="3466">
        <v>510</v>
      </c>
      <c r="B512" s="3467" t="s">
        <v>3389</v>
      </c>
      <c r="C512" s="3466" t="s">
        <v>3390</v>
      </c>
      <c r="D512" s="3466">
        <v>-3</v>
      </c>
      <c r="E512" s="3471" t="s">
        <v>3899</v>
      </c>
      <c r="F512" s="3472">
        <v>45.73</v>
      </c>
    </row>
    <row r="513" spans="1:6" ht="13.5" customHeight="1">
      <c r="A513" s="3466">
        <v>511</v>
      </c>
      <c r="B513" s="3467" t="s">
        <v>3389</v>
      </c>
      <c r="C513" s="3466" t="s">
        <v>3390</v>
      </c>
      <c r="D513" s="3466">
        <v>-3</v>
      </c>
      <c r="E513" s="3471" t="s">
        <v>3900</v>
      </c>
      <c r="F513" s="3472">
        <v>45.73</v>
      </c>
    </row>
    <row r="514" spans="1:6" ht="13.5" customHeight="1">
      <c r="A514" s="3466">
        <v>512</v>
      </c>
      <c r="B514" s="3467" t="s">
        <v>3389</v>
      </c>
      <c r="C514" s="3466" t="s">
        <v>3390</v>
      </c>
      <c r="D514" s="3466">
        <v>-3</v>
      </c>
      <c r="E514" s="3471" t="s">
        <v>3901</v>
      </c>
      <c r="F514" s="3472">
        <v>45.73</v>
      </c>
    </row>
    <row r="515" spans="1:6" ht="13.5" customHeight="1">
      <c r="A515" s="3466">
        <v>513</v>
      </c>
      <c r="B515" s="3467" t="s">
        <v>3389</v>
      </c>
      <c r="C515" s="3466" t="s">
        <v>3390</v>
      </c>
      <c r="D515" s="3466">
        <v>-3</v>
      </c>
      <c r="E515" s="3471" t="s">
        <v>3902</v>
      </c>
      <c r="F515" s="3472">
        <v>45.73</v>
      </c>
    </row>
    <row r="516" spans="1:6" ht="13.5" customHeight="1">
      <c r="A516" s="3466">
        <v>514</v>
      </c>
      <c r="B516" s="3467" t="s">
        <v>3389</v>
      </c>
      <c r="C516" s="3466" t="s">
        <v>3390</v>
      </c>
      <c r="D516" s="3466">
        <v>-3</v>
      </c>
      <c r="E516" s="3471" t="s">
        <v>3903</v>
      </c>
      <c r="F516" s="3472">
        <v>45.73</v>
      </c>
    </row>
    <row r="517" spans="1:6" ht="13.5" customHeight="1">
      <c r="A517" s="3466">
        <v>515</v>
      </c>
      <c r="B517" s="3467" t="s">
        <v>3389</v>
      </c>
      <c r="C517" s="3466" t="s">
        <v>3390</v>
      </c>
      <c r="D517" s="3466">
        <v>-3</v>
      </c>
      <c r="E517" s="3471" t="s">
        <v>3904</v>
      </c>
      <c r="F517" s="3472">
        <v>45.73</v>
      </c>
    </row>
    <row r="518" spans="1:6" ht="13.5" customHeight="1">
      <c r="A518" s="3466">
        <v>516</v>
      </c>
      <c r="B518" s="3467" t="s">
        <v>3389</v>
      </c>
      <c r="C518" s="3466" t="s">
        <v>3390</v>
      </c>
      <c r="D518" s="3466">
        <v>-3</v>
      </c>
      <c r="E518" s="3471" t="s">
        <v>3905</v>
      </c>
      <c r="F518" s="3472">
        <v>45.73</v>
      </c>
    </row>
    <row r="519" spans="1:6" ht="13.5" customHeight="1">
      <c r="A519" s="3466">
        <v>517</v>
      </c>
      <c r="B519" s="3467" t="s">
        <v>3389</v>
      </c>
      <c r="C519" s="3466" t="s">
        <v>3390</v>
      </c>
      <c r="D519" s="3466">
        <v>-3</v>
      </c>
      <c r="E519" s="3471" t="s">
        <v>3906</v>
      </c>
      <c r="F519" s="3472">
        <v>45.73</v>
      </c>
    </row>
    <row r="520" spans="1:6" ht="13.5" customHeight="1">
      <c r="A520" s="3466">
        <v>518</v>
      </c>
      <c r="B520" s="3467" t="s">
        <v>3389</v>
      </c>
      <c r="C520" s="3466" t="s">
        <v>3390</v>
      </c>
      <c r="D520" s="3466">
        <v>-3</v>
      </c>
      <c r="E520" s="3471" t="s">
        <v>3907</v>
      </c>
      <c r="F520" s="3472">
        <v>45.73</v>
      </c>
    </row>
    <row r="521" spans="1:6" ht="13.5" customHeight="1">
      <c r="A521" s="3466">
        <v>519</v>
      </c>
      <c r="B521" s="3467" t="s">
        <v>3389</v>
      </c>
      <c r="C521" s="3466" t="s">
        <v>3390</v>
      </c>
      <c r="D521" s="3466">
        <v>-3</v>
      </c>
      <c r="E521" s="3471" t="s">
        <v>3908</v>
      </c>
      <c r="F521" s="3472">
        <v>45.73</v>
      </c>
    </row>
    <row r="522" spans="1:6" ht="13.5" customHeight="1">
      <c r="A522" s="3466">
        <v>520</v>
      </c>
      <c r="B522" s="3467" t="s">
        <v>3389</v>
      </c>
      <c r="C522" s="3466" t="s">
        <v>3390</v>
      </c>
      <c r="D522" s="3466">
        <v>-3</v>
      </c>
      <c r="E522" s="3471" t="s">
        <v>3909</v>
      </c>
      <c r="F522" s="3472">
        <v>45.73</v>
      </c>
    </row>
    <row r="523" spans="1:6" ht="13.5" customHeight="1">
      <c r="A523" s="3466">
        <v>521</v>
      </c>
      <c r="B523" s="3467" t="s">
        <v>3389</v>
      </c>
      <c r="C523" s="3466" t="s">
        <v>3390</v>
      </c>
      <c r="D523" s="3466">
        <v>-3</v>
      </c>
      <c r="E523" s="3471" t="s">
        <v>3910</v>
      </c>
      <c r="F523" s="3472">
        <v>45.73</v>
      </c>
    </row>
    <row r="524" spans="1:6" ht="13.5" customHeight="1">
      <c r="A524" s="3466">
        <v>522</v>
      </c>
      <c r="B524" s="3467" t="s">
        <v>3389</v>
      </c>
      <c r="C524" s="3466" t="s">
        <v>3390</v>
      </c>
      <c r="D524" s="3466">
        <v>-3</v>
      </c>
      <c r="E524" s="3471" t="s">
        <v>3911</v>
      </c>
      <c r="F524" s="3472">
        <v>45.73</v>
      </c>
    </row>
    <row r="525" spans="1:6" ht="13.5" customHeight="1">
      <c r="A525" s="3466">
        <v>523</v>
      </c>
      <c r="B525" s="3467" t="s">
        <v>3389</v>
      </c>
      <c r="C525" s="3466" t="s">
        <v>3390</v>
      </c>
      <c r="D525" s="3466">
        <v>-3</v>
      </c>
      <c r="E525" s="3471" t="s">
        <v>3912</v>
      </c>
      <c r="F525" s="3472">
        <v>45.73</v>
      </c>
    </row>
    <row r="526" spans="1:6" ht="13.5" customHeight="1">
      <c r="A526" s="3466">
        <v>524</v>
      </c>
      <c r="B526" s="3467" t="s">
        <v>3389</v>
      </c>
      <c r="C526" s="3466" t="s">
        <v>3390</v>
      </c>
      <c r="D526" s="3466">
        <v>-3</v>
      </c>
      <c r="E526" s="3471" t="s">
        <v>3913</v>
      </c>
      <c r="F526" s="3472">
        <v>45.73</v>
      </c>
    </row>
    <row r="527" spans="1:6" ht="13.5" customHeight="1">
      <c r="A527" s="3466">
        <v>525</v>
      </c>
      <c r="B527" s="3467" t="s">
        <v>3389</v>
      </c>
      <c r="C527" s="3466" t="s">
        <v>3390</v>
      </c>
      <c r="D527" s="3466">
        <v>-3</v>
      </c>
      <c r="E527" s="3471" t="s">
        <v>3914</v>
      </c>
      <c r="F527" s="3472">
        <v>45.73</v>
      </c>
    </row>
    <row r="528" spans="1:6" ht="13.5" customHeight="1">
      <c r="A528" s="3466">
        <v>526</v>
      </c>
      <c r="B528" s="3467" t="s">
        <v>3389</v>
      </c>
      <c r="C528" s="3466" t="s">
        <v>3390</v>
      </c>
      <c r="D528" s="3466">
        <v>-3</v>
      </c>
      <c r="E528" s="3471" t="s">
        <v>3915</v>
      </c>
      <c r="F528" s="3472">
        <v>45.73</v>
      </c>
    </row>
    <row r="529" spans="1:6" ht="13.5" customHeight="1">
      <c r="A529" s="3466">
        <v>527</v>
      </c>
      <c r="B529" s="3467" t="s">
        <v>3389</v>
      </c>
      <c r="C529" s="3466" t="s">
        <v>3390</v>
      </c>
      <c r="D529" s="3466">
        <v>-3</v>
      </c>
      <c r="E529" s="3471" t="s">
        <v>3916</v>
      </c>
      <c r="F529" s="3472">
        <v>45.73</v>
      </c>
    </row>
    <row r="530" spans="1:6" ht="13.5" customHeight="1">
      <c r="A530" s="3466">
        <v>528</v>
      </c>
      <c r="B530" s="3467" t="s">
        <v>3389</v>
      </c>
      <c r="C530" s="3466" t="s">
        <v>3390</v>
      </c>
      <c r="D530" s="3466">
        <v>-3</v>
      </c>
      <c r="E530" s="3471" t="s">
        <v>3917</v>
      </c>
      <c r="F530" s="3472">
        <v>45.73</v>
      </c>
    </row>
    <row r="531" spans="1:6" ht="13.5" customHeight="1">
      <c r="A531" s="3466">
        <v>529</v>
      </c>
      <c r="B531" s="3467" t="s">
        <v>3389</v>
      </c>
      <c r="C531" s="3466" t="s">
        <v>3390</v>
      </c>
      <c r="D531" s="3466">
        <v>-3</v>
      </c>
      <c r="E531" s="3471" t="s">
        <v>3918</v>
      </c>
      <c r="F531" s="3472">
        <v>45.73</v>
      </c>
    </row>
    <row r="532" spans="1:6" ht="13.5" customHeight="1">
      <c r="A532" s="3466">
        <v>530</v>
      </c>
      <c r="B532" s="3467" t="s">
        <v>3389</v>
      </c>
      <c r="C532" s="3466" t="s">
        <v>3390</v>
      </c>
      <c r="D532" s="3466">
        <v>-3</v>
      </c>
      <c r="E532" s="3471" t="s">
        <v>3919</v>
      </c>
      <c r="F532" s="3472">
        <v>45.73</v>
      </c>
    </row>
    <row r="533" spans="1:6" ht="13.5" customHeight="1">
      <c r="A533" s="3466">
        <v>531</v>
      </c>
      <c r="B533" s="3467" t="s">
        <v>3389</v>
      </c>
      <c r="C533" s="3466" t="s">
        <v>3390</v>
      </c>
      <c r="D533" s="3466">
        <v>-3</v>
      </c>
      <c r="E533" s="3471" t="s">
        <v>3920</v>
      </c>
      <c r="F533" s="3472">
        <v>45.73</v>
      </c>
    </row>
    <row r="534" spans="1:6" ht="13.5" customHeight="1">
      <c r="A534" s="3466">
        <v>532</v>
      </c>
      <c r="B534" s="3467" t="s">
        <v>3389</v>
      </c>
      <c r="C534" s="3466" t="s">
        <v>3390</v>
      </c>
      <c r="D534" s="3466">
        <v>-3</v>
      </c>
      <c r="E534" s="3471" t="s">
        <v>3921</v>
      </c>
      <c r="F534" s="3472">
        <v>45.73</v>
      </c>
    </row>
    <row r="535" spans="1:6" ht="13.5" customHeight="1">
      <c r="A535" s="3466">
        <v>533</v>
      </c>
      <c r="B535" s="3467" t="s">
        <v>3389</v>
      </c>
      <c r="C535" s="3466" t="s">
        <v>3390</v>
      </c>
      <c r="D535" s="3466">
        <v>-3</v>
      </c>
      <c r="E535" s="3471" t="s">
        <v>3922</v>
      </c>
      <c r="F535" s="3472">
        <v>45.73</v>
      </c>
    </row>
    <row r="536" spans="1:6" ht="13.5" customHeight="1">
      <c r="A536" s="3466">
        <v>534</v>
      </c>
      <c r="B536" s="3467" t="s">
        <v>3389</v>
      </c>
      <c r="C536" s="3466" t="s">
        <v>3390</v>
      </c>
      <c r="D536" s="3466">
        <v>-3</v>
      </c>
      <c r="E536" s="3471" t="s">
        <v>3923</v>
      </c>
      <c r="F536" s="3472">
        <v>45.73</v>
      </c>
    </row>
    <row r="537" spans="1:6" ht="13.5" customHeight="1">
      <c r="A537" s="3466">
        <v>535</v>
      </c>
      <c r="B537" s="3467" t="s">
        <v>3389</v>
      </c>
      <c r="C537" s="3466" t="s">
        <v>3390</v>
      </c>
      <c r="D537" s="3466">
        <v>-3</v>
      </c>
      <c r="E537" s="3471" t="s">
        <v>3924</v>
      </c>
      <c r="F537" s="3472">
        <v>45.73</v>
      </c>
    </row>
    <row r="538" spans="1:6" ht="13.5" customHeight="1">
      <c r="A538" s="3466">
        <v>536</v>
      </c>
      <c r="B538" s="3467" t="s">
        <v>3389</v>
      </c>
      <c r="C538" s="3466" t="s">
        <v>3390</v>
      </c>
      <c r="D538" s="3466">
        <v>-3</v>
      </c>
      <c r="E538" s="3471" t="s">
        <v>3925</v>
      </c>
      <c r="F538" s="3472">
        <v>45.73</v>
      </c>
    </row>
    <row r="539" spans="1:6" ht="13.5" customHeight="1">
      <c r="A539" s="3466">
        <v>537</v>
      </c>
      <c r="B539" s="3467" t="s">
        <v>3389</v>
      </c>
      <c r="C539" s="3466" t="s">
        <v>3390</v>
      </c>
      <c r="D539" s="3466">
        <v>-3</v>
      </c>
      <c r="E539" s="3471" t="s">
        <v>3926</v>
      </c>
      <c r="F539" s="3472">
        <v>45.73</v>
      </c>
    </row>
    <row r="540" spans="1:6" ht="13.5" customHeight="1">
      <c r="A540" s="3466">
        <v>538</v>
      </c>
      <c r="B540" s="3467" t="s">
        <v>3389</v>
      </c>
      <c r="C540" s="3466" t="s">
        <v>3390</v>
      </c>
      <c r="D540" s="3466">
        <v>-3</v>
      </c>
      <c r="E540" s="3471" t="s">
        <v>3927</v>
      </c>
      <c r="F540" s="3472">
        <v>45.73</v>
      </c>
    </row>
    <row r="541" spans="1:6" ht="13.5" customHeight="1">
      <c r="A541" s="3466">
        <v>539</v>
      </c>
      <c r="B541" s="3467" t="s">
        <v>3389</v>
      </c>
      <c r="C541" s="3466" t="s">
        <v>3390</v>
      </c>
      <c r="D541" s="3466">
        <v>-3</v>
      </c>
      <c r="E541" s="3471" t="s">
        <v>3928</v>
      </c>
      <c r="F541" s="3472">
        <v>45.73</v>
      </c>
    </row>
    <row r="542" spans="1:6" ht="13.5" customHeight="1">
      <c r="A542" s="3466">
        <v>540</v>
      </c>
      <c r="B542" s="3467" t="s">
        <v>3389</v>
      </c>
      <c r="C542" s="3466" t="s">
        <v>3390</v>
      </c>
      <c r="D542" s="3466">
        <v>-3</v>
      </c>
      <c r="E542" s="3471" t="s">
        <v>3929</v>
      </c>
      <c r="F542" s="3472">
        <v>45.73</v>
      </c>
    </row>
    <row r="543" spans="1:6" ht="13.5" customHeight="1">
      <c r="A543" s="3466">
        <v>541</v>
      </c>
      <c r="B543" s="3467" t="s">
        <v>3389</v>
      </c>
      <c r="C543" s="3466" t="s">
        <v>3390</v>
      </c>
      <c r="D543" s="3466">
        <v>-3</v>
      </c>
      <c r="E543" s="3471" t="s">
        <v>3930</v>
      </c>
      <c r="F543" s="3472">
        <v>45.73</v>
      </c>
    </row>
    <row r="544" spans="1:6" ht="13.5" customHeight="1">
      <c r="A544" s="3466">
        <v>542</v>
      </c>
      <c r="B544" s="3467" t="s">
        <v>3389</v>
      </c>
      <c r="C544" s="3466" t="s">
        <v>3390</v>
      </c>
      <c r="D544" s="3466">
        <v>-3</v>
      </c>
      <c r="E544" s="3471" t="s">
        <v>3931</v>
      </c>
      <c r="F544" s="3472">
        <v>45.73</v>
      </c>
    </row>
    <row r="545" spans="1:6" ht="13.5" customHeight="1">
      <c r="A545" s="3466">
        <v>543</v>
      </c>
      <c r="B545" s="3467" t="s">
        <v>3389</v>
      </c>
      <c r="C545" s="3466" t="s">
        <v>3390</v>
      </c>
      <c r="D545" s="3466">
        <v>-3</v>
      </c>
      <c r="E545" s="3471" t="s">
        <v>3932</v>
      </c>
      <c r="F545" s="3472">
        <v>45.73</v>
      </c>
    </row>
    <row r="546" spans="1:6" ht="13.5" customHeight="1">
      <c r="A546" s="3466">
        <v>544</v>
      </c>
      <c r="B546" s="3467" t="s">
        <v>3389</v>
      </c>
      <c r="C546" s="3466" t="s">
        <v>3390</v>
      </c>
      <c r="D546" s="3466">
        <v>-3</v>
      </c>
      <c r="E546" s="3471" t="s">
        <v>3933</v>
      </c>
      <c r="F546" s="3472">
        <v>45.73</v>
      </c>
    </row>
    <row r="547" spans="1:6" ht="13.5" customHeight="1">
      <c r="A547" s="3466">
        <v>545</v>
      </c>
      <c r="B547" s="3467" t="s">
        <v>3389</v>
      </c>
      <c r="C547" s="3466" t="s">
        <v>3390</v>
      </c>
      <c r="D547" s="3466">
        <v>-3</v>
      </c>
      <c r="E547" s="3471" t="s">
        <v>3934</v>
      </c>
      <c r="F547" s="3472">
        <v>45.73</v>
      </c>
    </row>
    <row r="548" spans="1:6" ht="13.5" customHeight="1">
      <c r="A548" s="3466">
        <v>546</v>
      </c>
      <c r="B548" s="3467" t="s">
        <v>3389</v>
      </c>
      <c r="C548" s="3466" t="s">
        <v>3390</v>
      </c>
      <c r="D548" s="3466">
        <v>-3</v>
      </c>
      <c r="E548" s="3471" t="s">
        <v>3935</v>
      </c>
      <c r="F548" s="3472">
        <v>45.73</v>
      </c>
    </row>
    <row r="549" spans="1:6" ht="13.5" customHeight="1">
      <c r="A549" s="3466">
        <v>547</v>
      </c>
      <c r="B549" s="3467" t="s">
        <v>3389</v>
      </c>
      <c r="C549" s="3466" t="s">
        <v>3390</v>
      </c>
      <c r="D549" s="3466">
        <v>-3</v>
      </c>
      <c r="E549" s="3471" t="s">
        <v>3936</v>
      </c>
      <c r="F549" s="3472">
        <v>45.73</v>
      </c>
    </row>
    <row r="550" spans="1:6" ht="13.5" customHeight="1">
      <c r="A550" s="3466">
        <v>548</v>
      </c>
      <c r="B550" s="3467" t="s">
        <v>3389</v>
      </c>
      <c r="C550" s="3466" t="s">
        <v>3390</v>
      </c>
      <c r="D550" s="3466">
        <v>-3</v>
      </c>
      <c r="E550" s="3471" t="s">
        <v>3937</v>
      </c>
      <c r="F550" s="3472">
        <v>45.73</v>
      </c>
    </row>
    <row r="551" spans="1:6" ht="13.5" customHeight="1">
      <c r="A551" s="3466">
        <v>549</v>
      </c>
      <c r="B551" s="3467" t="s">
        <v>3389</v>
      </c>
      <c r="C551" s="3466" t="s">
        <v>3390</v>
      </c>
      <c r="D551" s="3466">
        <v>-3</v>
      </c>
      <c r="E551" s="3471" t="s">
        <v>3938</v>
      </c>
      <c r="F551" s="3472">
        <v>45.73</v>
      </c>
    </row>
    <row r="552" spans="1:6" ht="13.5" customHeight="1">
      <c r="A552" s="3466">
        <v>550</v>
      </c>
      <c r="B552" s="3467" t="s">
        <v>3389</v>
      </c>
      <c r="C552" s="3466" t="s">
        <v>3390</v>
      </c>
      <c r="D552" s="3466">
        <v>-3</v>
      </c>
      <c r="E552" s="3471" t="s">
        <v>3939</v>
      </c>
      <c r="F552" s="3472">
        <v>45.73</v>
      </c>
    </row>
    <row r="553" spans="1:6" ht="13.5" customHeight="1">
      <c r="A553" s="3466">
        <v>551</v>
      </c>
      <c r="B553" s="3467" t="s">
        <v>3389</v>
      </c>
      <c r="C553" s="3466" t="s">
        <v>3390</v>
      </c>
      <c r="D553" s="3466">
        <v>-3</v>
      </c>
      <c r="E553" s="3471" t="s">
        <v>3940</v>
      </c>
      <c r="F553" s="3472">
        <v>45.73</v>
      </c>
    </row>
    <row r="554" spans="1:6" ht="13.5" customHeight="1">
      <c r="A554" s="3466">
        <v>552</v>
      </c>
      <c r="B554" s="3467" t="s">
        <v>3389</v>
      </c>
      <c r="C554" s="3466" t="s">
        <v>3390</v>
      </c>
      <c r="D554" s="3466">
        <v>-3</v>
      </c>
      <c r="E554" s="3471" t="s">
        <v>3941</v>
      </c>
      <c r="F554" s="3472">
        <v>45.73</v>
      </c>
    </row>
    <row r="555" spans="1:6" ht="13.5" customHeight="1">
      <c r="A555" s="3466">
        <v>553</v>
      </c>
      <c r="B555" s="3467" t="s">
        <v>3389</v>
      </c>
      <c r="C555" s="3466" t="s">
        <v>3390</v>
      </c>
      <c r="D555" s="3466">
        <v>-3</v>
      </c>
      <c r="E555" s="3471" t="s">
        <v>3942</v>
      </c>
      <c r="F555" s="3472">
        <v>45.73</v>
      </c>
    </row>
    <row r="556" spans="1:6" ht="13.5" customHeight="1">
      <c r="A556" s="3466">
        <v>554</v>
      </c>
      <c r="B556" s="3467" t="s">
        <v>3389</v>
      </c>
      <c r="C556" s="3466" t="s">
        <v>3390</v>
      </c>
      <c r="D556" s="3466">
        <v>-3</v>
      </c>
      <c r="E556" s="3471" t="s">
        <v>3943</v>
      </c>
      <c r="F556" s="3472">
        <v>45.73</v>
      </c>
    </row>
    <row r="557" spans="1:6" ht="13.5" customHeight="1">
      <c r="A557" s="3466">
        <v>555</v>
      </c>
      <c r="B557" s="3467" t="s">
        <v>3389</v>
      </c>
      <c r="C557" s="3466" t="s">
        <v>3390</v>
      </c>
      <c r="D557" s="3466">
        <v>-3</v>
      </c>
      <c r="E557" s="3471" t="s">
        <v>3944</v>
      </c>
      <c r="F557" s="3472">
        <v>45.73</v>
      </c>
    </row>
    <row r="558" spans="1:6" ht="13.5" customHeight="1">
      <c r="A558" s="3466">
        <v>556</v>
      </c>
      <c r="B558" s="3467" t="s">
        <v>3389</v>
      </c>
      <c r="C558" s="3466" t="s">
        <v>3390</v>
      </c>
      <c r="D558" s="3466">
        <v>-3</v>
      </c>
      <c r="E558" s="3471" t="s">
        <v>3945</v>
      </c>
      <c r="F558" s="3472">
        <v>45.73</v>
      </c>
    </row>
    <row r="559" spans="1:6" ht="13.5" customHeight="1">
      <c r="A559" s="3466">
        <v>557</v>
      </c>
      <c r="B559" s="3467" t="s">
        <v>3389</v>
      </c>
      <c r="C559" s="3466" t="s">
        <v>3390</v>
      </c>
      <c r="D559" s="3466">
        <v>-3</v>
      </c>
      <c r="E559" s="3471" t="s">
        <v>3946</v>
      </c>
      <c r="F559" s="3472">
        <v>45.73</v>
      </c>
    </row>
    <row r="560" spans="1:6" ht="13.5" customHeight="1">
      <c r="A560" s="3466">
        <v>558</v>
      </c>
      <c r="B560" s="3467" t="s">
        <v>3389</v>
      </c>
      <c r="C560" s="3466" t="s">
        <v>3390</v>
      </c>
      <c r="D560" s="3466">
        <v>-3</v>
      </c>
      <c r="E560" s="3471" t="s">
        <v>3947</v>
      </c>
      <c r="F560" s="3472">
        <v>45.73</v>
      </c>
    </row>
    <row r="561" spans="1:6" ht="13.5" customHeight="1">
      <c r="A561" s="3466">
        <v>559</v>
      </c>
      <c r="B561" s="3467" t="s">
        <v>3389</v>
      </c>
      <c r="C561" s="3466" t="s">
        <v>3390</v>
      </c>
      <c r="D561" s="3466">
        <v>-3</v>
      </c>
      <c r="E561" s="3471" t="s">
        <v>3948</v>
      </c>
      <c r="F561" s="3472">
        <v>45.73</v>
      </c>
    </row>
    <row r="562" spans="1:6" ht="13.5" customHeight="1">
      <c r="A562" s="3466">
        <v>560</v>
      </c>
      <c r="B562" s="3467" t="s">
        <v>3389</v>
      </c>
      <c r="C562" s="3466" t="s">
        <v>3390</v>
      </c>
      <c r="D562" s="3466">
        <v>-3</v>
      </c>
      <c r="E562" s="3471" t="s">
        <v>3949</v>
      </c>
      <c r="F562" s="3472">
        <v>45.73</v>
      </c>
    </row>
    <row r="563" spans="1:6" ht="13.5" customHeight="1">
      <c r="A563" s="3466">
        <v>561</v>
      </c>
      <c r="B563" s="3467" t="s">
        <v>3389</v>
      </c>
      <c r="C563" s="3466" t="s">
        <v>3390</v>
      </c>
      <c r="D563" s="3466">
        <v>-3</v>
      </c>
      <c r="E563" s="3471" t="s">
        <v>3950</v>
      </c>
      <c r="F563" s="3472">
        <v>45.73</v>
      </c>
    </row>
    <row r="564" spans="1:6" ht="13.5" customHeight="1">
      <c r="A564" s="3466">
        <v>562</v>
      </c>
      <c r="B564" s="3467" t="s">
        <v>3389</v>
      </c>
      <c r="C564" s="3466" t="s">
        <v>3390</v>
      </c>
      <c r="D564" s="3466">
        <v>-3</v>
      </c>
      <c r="E564" s="3471" t="s">
        <v>3951</v>
      </c>
      <c r="F564" s="3472">
        <v>45.73</v>
      </c>
    </row>
    <row r="565" spans="1:6" ht="13.5" customHeight="1">
      <c r="A565" s="3466">
        <v>563</v>
      </c>
      <c r="B565" s="3467" t="s">
        <v>3389</v>
      </c>
      <c r="C565" s="3466" t="s">
        <v>3390</v>
      </c>
      <c r="D565" s="3466">
        <v>-3</v>
      </c>
      <c r="E565" s="3471" t="s">
        <v>3952</v>
      </c>
      <c r="F565" s="3472">
        <v>45.73</v>
      </c>
    </row>
    <row r="566" spans="1:6" ht="13.5" customHeight="1">
      <c r="A566" s="3466">
        <v>564</v>
      </c>
      <c r="B566" s="3467" t="s">
        <v>3389</v>
      </c>
      <c r="C566" s="3466" t="s">
        <v>3390</v>
      </c>
      <c r="D566" s="3466">
        <v>-3</v>
      </c>
      <c r="E566" s="3471" t="s">
        <v>3953</v>
      </c>
      <c r="F566" s="3472">
        <v>45.73</v>
      </c>
    </row>
    <row r="567" spans="1:6" ht="13.5" customHeight="1">
      <c r="A567" s="3466">
        <v>565</v>
      </c>
      <c r="B567" s="3467" t="s">
        <v>3389</v>
      </c>
      <c r="C567" s="3466" t="s">
        <v>3390</v>
      </c>
      <c r="D567" s="3466">
        <v>-3</v>
      </c>
      <c r="E567" s="3471" t="s">
        <v>3954</v>
      </c>
      <c r="F567" s="3472">
        <v>45.73</v>
      </c>
    </row>
    <row r="568" spans="1:6" ht="13.5" customHeight="1">
      <c r="A568" s="3466">
        <v>566</v>
      </c>
      <c r="B568" s="3467" t="s">
        <v>3389</v>
      </c>
      <c r="C568" s="3466" t="s">
        <v>3390</v>
      </c>
      <c r="D568" s="3466">
        <v>-3</v>
      </c>
      <c r="E568" s="3471" t="s">
        <v>3955</v>
      </c>
      <c r="F568" s="3472">
        <v>45.73</v>
      </c>
    </row>
    <row r="569" spans="1:6" ht="13.5" customHeight="1">
      <c r="A569" s="3466">
        <v>567</v>
      </c>
      <c r="B569" s="3467" t="s">
        <v>3389</v>
      </c>
      <c r="C569" s="3466" t="s">
        <v>3390</v>
      </c>
      <c r="D569" s="3466">
        <v>-3</v>
      </c>
      <c r="E569" s="3471" t="s">
        <v>3956</v>
      </c>
      <c r="F569" s="3472">
        <v>45.73</v>
      </c>
    </row>
    <row r="570" spans="1:6" ht="13.5" customHeight="1">
      <c r="A570" s="3466">
        <v>568</v>
      </c>
      <c r="B570" s="3467" t="s">
        <v>3389</v>
      </c>
      <c r="C570" s="3466" t="s">
        <v>3390</v>
      </c>
      <c r="D570" s="3466">
        <v>-3</v>
      </c>
      <c r="E570" s="3471" t="s">
        <v>3957</v>
      </c>
      <c r="F570" s="3472">
        <v>45.73</v>
      </c>
    </row>
    <row r="571" spans="1:6" ht="13.5" customHeight="1">
      <c r="A571" s="3466">
        <v>569</v>
      </c>
      <c r="B571" s="3467" t="s">
        <v>3389</v>
      </c>
      <c r="C571" s="3466" t="s">
        <v>3390</v>
      </c>
      <c r="D571" s="3466">
        <v>-3</v>
      </c>
      <c r="E571" s="3471" t="s">
        <v>3958</v>
      </c>
      <c r="F571" s="3472">
        <v>45.73</v>
      </c>
    </row>
    <row r="572" spans="1:6" ht="13.5" customHeight="1">
      <c r="A572" s="3466">
        <v>570</v>
      </c>
      <c r="B572" s="3467" t="s">
        <v>3389</v>
      </c>
      <c r="C572" s="3466" t="s">
        <v>3390</v>
      </c>
      <c r="D572" s="3466">
        <v>-3</v>
      </c>
      <c r="E572" s="3471" t="s">
        <v>3959</v>
      </c>
      <c r="F572" s="3472">
        <v>45.73</v>
      </c>
    </row>
    <row r="573" spans="1:6" ht="13.5" customHeight="1">
      <c r="A573" s="3466">
        <v>571</v>
      </c>
      <c r="B573" s="3467" t="s">
        <v>3389</v>
      </c>
      <c r="C573" s="3466" t="s">
        <v>3390</v>
      </c>
      <c r="D573" s="3466">
        <v>-3</v>
      </c>
      <c r="E573" s="3471" t="s">
        <v>3960</v>
      </c>
      <c r="F573" s="3472">
        <v>45.73</v>
      </c>
    </row>
    <row r="574" spans="1:6" ht="13.5" customHeight="1">
      <c r="A574" s="3466">
        <v>572</v>
      </c>
      <c r="B574" s="3467" t="s">
        <v>3389</v>
      </c>
      <c r="C574" s="3466" t="s">
        <v>3390</v>
      </c>
      <c r="D574" s="3466">
        <v>-3</v>
      </c>
      <c r="E574" s="3471" t="s">
        <v>3961</v>
      </c>
      <c r="F574" s="3472">
        <v>45.73</v>
      </c>
    </row>
    <row r="575" spans="1:6" ht="13.5" customHeight="1">
      <c r="A575" s="3466">
        <v>573</v>
      </c>
      <c r="B575" s="3467" t="s">
        <v>3389</v>
      </c>
      <c r="C575" s="3466" t="s">
        <v>3390</v>
      </c>
      <c r="D575" s="3466">
        <v>-3</v>
      </c>
      <c r="E575" s="3471" t="s">
        <v>3962</v>
      </c>
      <c r="F575" s="3472">
        <v>45.73</v>
      </c>
    </row>
    <row r="576" spans="1:6" ht="13.5" customHeight="1">
      <c r="A576" s="3466">
        <v>574</v>
      </c>
      <c r="B576" s="3467" t="s">
        <v>3389</v>
      </c>
      <c r="C576" s="3466" t="s">
        <v>3390</v>
      </c>
      <c r="D576" s="3466">
        <v>-3</v>
      </c>
      <c r="E576" s="3471" t="s">
        <v>3963</v>
      </c>
      <c r="F576" s="3472">
        <v>45.73</v>
      </c>
    </row>
    <row r="577" spans="1:6" ht="13.5" customHeight="1">
      <c r="A577" s="3466">
        <v>575</v>
      </c>
      <c r="B577" s="3467" t="s">
        <v>3389</v>
      </c>
      <c r="C577" s="3466" t="s">
        <v>3390</v>
      </c>
      <c r="D577" s="3466">
        <v>-3</v>
      </c>
      <c r="E577" s="3471" t="s">
        <v>3964</v>
      </c>
      <c r="F577" s="3472">
        <v>45.73</v>
      </c>
    </row>
    <row r="578" spans="1:6" ht="13.5" customHeight="1">
      <c r="A578" s="3466">
        <v>576</v>
      </c>
      <c r="B578" s="3467" t="s">
        <v>3389</v>
      </c>
      <c r="C578" s="3466" t="s">
        <v>3390</v>
      </c>
      <c r="D578" s="3466">
        <v>-3</v>
      </c>
      <c r="E578" s="3471" t="s">
        <v>3965</v>
      </c>
      <c r="F578" s="3472">
        <v>45.73</v>
      </c>
    </row>
    <row r="579" spans="1:6" ht="13.5" customHeight="1">
      <c r="A579" s="3466">
        <v>577</v>
      </c>
      <c r="B579" s="3467" t="s">
        <v>3389</v>
      </c>
      <c r="C579" s="3466" t="s">
        <v>3390</v>
      </c>
      <c r="D579" s="3466">
        <v>-3</v>
      </c>
      <c r="E579" s="3471" t="s">
        <v>3966</v>
      </c>
      <c r="F579" s="3472">
        <v>45.73</v>
      </c>
    </row>
    <row r="580" spans="1:6" ht="13.5" customHeight="1">
      <c r="A580" s="3466">
        <v>578</v>
      </c>
      <c r="B580" s="3467" t="s">
        <v>3389</v>
      </c>
      <c r="C580" s="3466" t="s">
        <v>3390</v>
      </c>
      <c r="D580" s="3466">
        <v>-3</v>
      </c>
      <c r="E580" s="3471" t="s">
        <v>3967</v>
      </c>
      <c r="F580" s="3472">
        <v>45.73</v>
      </c>
    </row>
    <row r="581" spans="1:6" ht="13.5" customHeight="1">
      <c r="A581" s="3466">
        <v>579</v>
      </c>
      <c r="B581" s="3467" t="s">
        <v>3389</v>
      </c>
      <c r="C581" s="3466" t="s">
        <v>3390</v>
      </c>
      <c r="D581" s="3466">
        <v>-3</v>
      </c>
      <c r="E581" s="3471" t="s">
        <v>3968</v>
      </c>
      <c r="F581" s="3472">
        <v>45.73</v>
      </c>
    </row>
    <row r="582" spans="1:6" ht="13.5" customHeight="1">
      <c r="A582" s="3466">
        <v>580</v>
      </c>
      <c r="B582" s="3467" t="s">
        <v>3389</v>
      </c>
      <c r="C582" s="3466" t="s">
        <v>3390</v>
      </c>
      <c r="D582" s="3466">
        <v>-3</v>
      </c>
      <c r="E582" s="3471" t="s">
        <v>3969</v>
      </c>
      <c r="F582" s="3472">
        <v>45.73</v>
      </c>
    </row>
    <row r="583" spans="1:6" ht="13.5" customHeight="1">
      <c r="A583" s="3466">
        <v>581</v>
      </c>
      <c r="B583" s="3467" t="s">
        <v>3389</v>
      </c>
      <c r="C583" s="3466" t="s">
        <v>3390</v>
      </c>
      <c r="D583" s="3466">
        <v>-3</v>
      </c>
      <c r="E583" s="3471" t="s">
        <v>3970</v>
      </c>
      <c r="F583" s="3472">
        <v>45.73</v>
      </c>
    </row>
    <row r="584" spans="1:6" ht="13.5" customHeight="1">
      <c r="A584" s="3466">
        <v>582</v>
      </c>
      <c r="B584" s="3467" t="s">
        <v>3389</v>
      </c>
      <c r="C584" s="3466" t="s">
        <v>3390</v>
      </c>
      <c r="D584" s="3466">
        <v>-3</v>
      </c>
      <c r="E584" s="3471" t="s">
        <v>3971</v>
      </c>
      <c r="F584" s="3472">
        <v>45.73</v>
      </c>
    </row>
    <row r="585" spans="1:6" ht="13.5" customHeight="1">
      <c r="A585" s="3466">
        <v>583</v>
      </c>
      <c r="B585" s="3467" t="s">
        <v>3389</v>
      </c>
      <c r="C585" s="3466" t="s">
        <v>3390</v>
      </c>
      <c r="D585" s="3466">
        <v>-3</v>
      </c>
      <c r="E585" s="3471" t="s">
        <v>3972</v>
      </c>
      <c r="F585" s="3472">
        <v>45.73</v>
      </c>
    </row>
    <row r="586" spans="1:6" ht="13.5" customHeight="1">
      <c r="A586" s="3466">
        <v>584</v>
      </c>
      <c r="B586" s="3467" t="s">
        <v>3389</v>
      </c>
      <c r="C586" s="3466" t="s">
        <v>3390</v>
      </c>
      <c r="D586" s="3466">
        <v>-3</v>
      </c>
      <c r="E586" s="3471" t="s">
        <v>3973</v>
      </c>
      <c r="F586" s="3472">
        <v>45.73</v>
      </c>
    </row>
    <row r="587" spans="1:6" ht="13.5" customHeight="1">
      <c r="A587" s="3466">
        <v>585</v>
      </c>
      <c r="B587" s="3467" t="s">
        <v>3389</v>
      </c>
      <c r="C587" s="3466" t="s">
        <v>3390</v>
      </c>
      <c r="D587" s="3466">
        <v>-3</v>
      </c>
      <c r="E587" s="3471" t="s">
        <v>3974</v>
      </c>
      <c r="F587" s="3472">
        <v>45.73</v>
      </c>
    </row>
    <row r="588" spans="1:6" ht="13.5" customHeight="1">
      <c r="A588" s="3466">
        <v>586</v>
      </c>
      <c r="B588" s="3467" t="s">
        <v>3389</v>
      </c>
      <c r="C588" s="3466" t="s">
        <v>3390</v>
      </c>
      <c r="D588" s="3466">
        <v>-3</v>
      </c>
      <c r="E588" s="3471" t="s">
        <v>3975</v>
      </c>
      <c r="F588" s="3472">
        <v>45.73</v>
      </c>
    </row>
    <row r="589" spans="1:6" ht="13.5" customHeight="1">
      <c r="A589" s="3466">
        <v>587</v>
      </c>
      <c r="B589" s="3467" t="s">
        <v>3389</v>
      </c>
      <c r="C589" s="3466" t="s">
        <v>3390</v>
      </c>
      <c r="D589" s="3466">
        <v>-3</v>
      </c>
      <c r="E589" s="3471" t="s">
        <v>3976</v>
      </c>
      <c r="F589" s="3472">
        <v>45.73</v>
      </c>
    </row>
    <row r="590" spans="1:6" ht="13.5" customHeight="1">
      <c r="A590" s="3466">
        <v>588</v>
      </c>
      <c r="B590" s="3467" t="s">
        <v>3389</v>
      </c>
      <c r="C590" s="3466" t="s">
        <v>3390</v>
      </c>
      <c r="D590" s="3466">
        <v>-3</v>
      </c>
      <c r="E590" s="3471" t="s">
        <v>3977</v>
      </c>
      <c r="F590" s="3472">
        <v>45.73</v>
      </c>
    </row>
    <row r="591" spans="1:6" ht="13.5" customHeight="1">
      <c r="A591" s="3466">
        <v>589</v>
      </c>
      <c r="B591" s="3467" t="s">
        <v>3389</v>
      </c>
      <c r="C591" s="3466" t="s">
        <v>3390</v>
      </c>
      <c r="D591" s="3466">
        <v>-3</v>
      </c>
      <c r="E591" s="3471" t="s">
        <v>3978</v>
      </c>
      <c r="F591" s="3472">
        <v>45.73</v>
      </c>
    </row>
    <row r="592" spans="1:6" ht="13.5" customHeight="1">
      <c r="A592" s="3466">
        <v>590</v>
      </c>
      <c r="B592" s="3467" t="s">
        <v>3389</v>
      </c>
      <c r="C592" s="3466" t="s">
        <v>3390</v>
      </c>
      <c r="D592" s="3466">
        <v>-3</v>
      </c>
      <c r="E592" s="3471" t="s">
        <v>3979</v>
      </c>
      <c r="F592" s="3472">
        <v>45.73</v>
      </c>
    </row>
    <row r="593" spans="1:6" ht="13.5" customHeight="1">
      <c r="A593" s="3466">
        <v>591</v>
      </c>
      <c r="B593" s="3467" t="s">
        <v>3389</v>
      </c>
      <c r="C593" s="3466" t="s">
        <v>3390</v>
      </c>
      <c r="D593" s="3466">
        <v>-3</v>
      </c>
      <c r="E593" s="3471" t="s">
        <v>3980</v>
      </c>
      <c r="F593" s="3472">
        <v>45.73</v>
      </c>
    </row>
    <row r="594" spans="1:6" ht="13.5" customHeight="1">
      <c r="A594" s="3466">
        <v>592</v>
      </c>
      <c r="B594" s="3467" t="s">
        <v>3389</v>
      </c>
      <c r="C594" s="3466" t="s">
        <v>3390</v>
      </c>
      <c r="D594" s="3466">
        <v>-3</v>
      </c>
      <c r="E594" s="3471" t="s">
        <v>3981</v>
      </c>
      <c r="F594" s="3472">
        <v>45.73</v>
      </c>
    </row>
    <row r="595" spans="1:6" ht="13.5" customHeight="1">
      <c r="A595" s="3466">
        <v>593</v>
      </c>
      <c r="B595" s="3467" t="s">
        <v>3389</v>
      </c>
      <c r="C595" s="3466" t="s">
        <v>3390</v>
      </c>
      <c r="D595" s="3466">
        <v>-3</v>
      </c>
      <c r="E595" s="3471" t="s">
        <v>3982</v>
      </c>
      <c r="F595" s="3472">
        <v>45.73</v>
      </c>
    </row>
    <row r="596" spans="1:6" ht="13.5" customHeight="1">
      <c r="A596" s="3466">
        <v>594</v>
      </c>
      <c r="B596" s="3467" t="s">
        <v>3389</v>
      </c>
      <c r="C596" s="3466" t="s">
        <v>3390</v>
      </c>
      <c r="D596" s="3466">
        <v>-3</v>
      </c>
      <c r="E596" s="3471" t="s">
        <v>3983</v>
      </c>
      <c r="F596" s="3472">
        <v>45.73</v>
      </c>
    </row>
    <row r="597" spans="1:6" ht="13.5" customHeight="1">
      <c r="A597" s="3466">
        <v>595</v>
      </c>
      <c r="B597" s="3467" t="s">
        <v>3389</v>
      </c>
      <c r="C597" s="3466" t="s">
        <v>3390</v>
      </c>
      <c r="D597" s="3466">
        <v>-3</v>
      </c>
      <c r="E597" s="3471" t="s">
        <v>3984</v>
      </c>
      <c r="F597" s="3472">
        <v>45.73</v>
      </c>
    </row>
    <row r="598" spans="1:6" ht="13.5" customHeight="1">
      <c r="A598" s="3466">
        <v>596</v>
      </c>
      <c r="B598" s="3467" t="s">
        <v>3389</v>
      </c>
      <c r="C598" s="3466" t="s">
        <v>3390</v>
      </c>
      <c r="D598" s="3466">
        <v>-3</v>
      </c>
      <c r="E598" s="3471" t="s">
        <v>3985</v>
      </c>
      <c r="F598" s="3472">
        <v>45.73</v>
      </c>
    </row>
    <row r="599" spans="1:6" ht="13.5" customHeight="1">
      <c r="A599" s="3466">
        <v>597</v>
      </c>
      <c r="B599" s="3467" t="s">
        <v>3389</v>
      </c>
      <c r="C599" s="3466" t="s">
        <v>3390</v>
      </c>
      <c r="D599" s="3466">
        <v>-3</v>
      </c>
      <c r="E599" s="3471" t="s">
        <v>3986</v>
      </c>
      <c r="F599" s="3472">
        <v>45.73</v>
      </c>
    </row>
    <row r="600" spans="1:6" ht="13.5" customHeight="1">
      <c r="A600" s="3466">
        <v>598</v>
      </c>
      <c r="B600" s="3467" t="s">
        <v>3389</v>
      </c>
      <c r="C600" s="3466" t="s">
        <v>3390</v>
      </c>
      <c r="D600" s="3466">
        <v>-3</v>
      </c>
      <c r="E600" s="3471" t="s">
        <v>3987</v>
      </c>
      <c r="F600" s="3472">
        <v>45.73</v>
      </c>
    </row>
    <row r="601" spans="1:6" ht="13.5" customHeight="1">
      <c r="A601" s="3466">
        <v>599</v>
      </c>
      <c r="B601" s="3467" t="s">
        <v>3389</v>
      </c>
      <c r="C601" s="3466" t="s">
        <v>3390</v>
      </c>
      <c r="D601" s="3466">
        <v>-3</v>
      </c>
      <c r="E601" s="3471" t="s">
        <v>3988</v>
      </c>
      <c r="F601" s="3472">
        <v>45.73</v>
      </c>
    </row>
    <row r="602" spans="1:6" ht="13.5" customHeight="1">
      <c r="A602" s="3466">
        <v>600</v>
      </c>
      <c r="B602" s="3467" t="s">
        <v>3389</v>
      </c>
      <c r="C602" s="3466" t="s">
        <v>3390</v>
      </c>
      <c r="D602" s="3466">
        <v>-3</v>
      </c>
      <c r="E602" s="3471" t="s">
        <v>3989</v>
      </c>
      <c r="F602" s="3472">
        <v>45.73</v>
      </c>
    </row>
    <row r="603" spans="1:6" ht="13.5" customHeight="1">
      <c r="A603" s="3466">
        <v>601</v>
      </c>
      <c r="B603" s="3467" t="s">
        <v>3389</v>
      </c>
      <c r="C603" s="3466" t="s">
        <v>3390</v>
      </c>
      <c r="D603" s="3466">
        <v>-3</v>
      </c>
      <c r="E603" s="3471" t="s">
        <v>3990</v>
      </c>
      <c r="F603" s="3472">
        <v>45.73</v>
      </c>
    </row>
    <row r="604" spans="1:6" ht="13.5" customHeight="1">
      <c r="A604" s="3466">
        <v>602</v>
      </c>
      <c r="B604" s="3467" t="s">
        <v>3389</v>
      </c>
      <c r="C604" s="3466" t="s">
        <v>3390</v>
      </c>
      <c r="D604" s="3466">
        <v>-3</v>
      </c>
      <c r="E604" s="3471" t="s">
        <v>3991</v>
      </c>
      <c r="F604" s="3472">
        <v>45.73</v>
      </c>
    </row>
    <row r="605" spans="1:6" ht="13.5" customHeight="1">
      <c r="A605" s="3466">
        <v>603</v>
      </c>
      <c r="B605" s="3467" t="s">
        <v>3389</v>
      </c>
      <c r="C605" s="3466" t="s">
        <v>3390</v>
      </c>
      <c r="D605" s="3466">
        <v>-3</v>
      </c>
      <c r="E605" s="3471" t="s">
        <v>3992</v>
      </c>
      <c r="F605" s="3472">
        <v>45.73</v>
      </c>
    </row>
    <row r="606" spans="1:6" ht="13.5" customHeight="1">
      <c r="A606" s="3466">
        <v>604</v>
      </c>
      <c r="B606" s="3467" t="s">
        <v>3389</v>
      </c>
      <c r="C606" s="3466" t="s">
        <v>3390</v>
      </c>
      <c r="D606" s="3466">
        <v>-3</v>
      </c>
      <c r="E606" s="3471" t="s">
        <v>3993</v>
      </c>
      <c r="F606" s="3472">
        <v>45.73</v>
      </c>
    </row>
    <row r="607" spans="1:6" ht="13.5" customHeight="1">
      <c r="A607" s="3466">
        <v>605</v>
      </c>
      <c r="B607" s="3467" t="s">
        <v>3389</v>
      </c>
      <c r="C607" s="3466" t="s">
        <v>3390</v>
      </c>
      <c r="D607" s="3466">
        <v>-3</v>
      </c>
      <c r="E607" s="3471" t="s">
        <v>3994</v>
      </c>
      <c r="F607" s="3472">
        <v>45.73</v>
      </c>
    </row>
    <row r="608" spans="1:6" ht="13.5" customHeight="1">
      <c r="A608" s="3466">
        <v>606</v>
      </c>
      <c r="B608" s="3467" t="s">
        <v>3389</v>
      </c>
      <c r="C608" s="3466" t="s">
        <v>3390</v>
      </c>
      <c r="D608" s="3466">
        <v>-3</v>
      </c>
      <c r="E608" s="3471" t="s">
        <v>3995</v>
      </c>
      <c r="F608" s="3472">
        <v>45.73</v>
      </c>
    </row>
    <row r="609" spans="1:6" ht="13.5" customHeight="1">
      <c r="A609" s="3466">
        <v>607</v>
      </c>
      <c r="B609" s="3467" t="s">
        <v>3389</v>
      </c>
      <c r="C609" s="3466" t="s">
        <v>3390</v>
      </c>
      <c r="D609" s="3466">
        <v>-3</v>
      </c>
      <c r="E609" s="3471" t="s">
        <v>3996</v>
      </c>
      <c r="F609" s="3472">
        <v>45.73</v>
      </c>
    </row>
    <row r="610" spans="1:6" ht="13.5" customHeight="1">
      <c r="A610" s="3466">
        <v>608</v>
      </c>
      <c r="B610" s="3467" t="s">
        <v>3389</v>
      </c>
      <c r="C610" s="3466" t="s">
        <v>3390</v>
      </c>
      <c r="D610" s="3466">
        <v>-3</v>
      </c>
      <c r="E610" s="3471" t="s">
        <v>3997</v>
      </c>
      <c r="F610" s="3472">
        <v>45.73</v>
      </c>
    </row>
    <row r="611" spans="1:6" ht="13.5" customHeight="1">
      <c r="A611" s="3466">
        <v>609</v>
      </c>
      <c r="B611" s="3467" t="s">
        <v>3389</v>
      </c>
      <c r="C611" s="3466" t="s">
        <v>3390</v>
      </c>
      <c r="D611" s="3466">
        <v>-3</v>
      </c>
      <c r="E611" s="3471" t="s">
        <v>3998</v>
      </c>
      <c r="F611" s="3472">
        <v>45.73</v>
      </c>
    </row>
    <row r="612" spans="1:6" ht="13.5" customHeight="1">
      <c r="A612" s="3466">
        <v>610</v>
      </c>
      <c r="B612" s="3467" t="s">
        <v>3389</v>
      </c>
      <c r="C612" s="3466" t="s">
        <v>3390</v>
      </c>
      <c r="D612" s="3466">
        <v>-3</v>
      </c>
      <c r="E612" s="3471" t="s">
        <v>3999</v>
      </c>
      <c r="F612" s="3472">
        <v>45.73</v>
      </c>
    </row>
    <row r="613" spans="1:6" ht="13.5" customHeight="1">
      <c r="A613" s="3466">
        <v>611</v>
      </c>
      <c r="B613" s="3467" t="s">
        <v>3389</v>
      </c>
      <c r="C613" s="3466" t="s">
        <v>3390</v>
      </c>
      <c r="D613" s="3466">
        <v>-3</v>
      </c>
      <c r="E613" s="3471" t="s">
        <v>4000</v>
      </c>
      <c r="F613" s="3472">
        <v>45.73</v>
      </c>
    </row>
    <row r="614" spans="1:6" ht="13.5" customHeight="1">
      <c r="A614" s="3466">
        <v>612</v>
      </c>
      <c r="B614" s="3467" t="s">
        <v>3389</v>
      </c>
      <c r="C614" s="3466" t="s">
        <v>3390</v>
      </c>
      <c r="D614" s="3466">
        <v>-3</v>
      </c>
      <c r="E614" s="3471" t="s">
        <v>4001</v>
      </c>
      <c r="F614" s="3472">
        <v>45.73</v>
      </c>
    </row>
    <row r="615" spans="1:6" ht="13.5" customHeight="1">
      <c r="A615" s="3466">
        <v>613</v>
      </c>
      <c r="B615" s="3467" t="s">
        <v>3389</v>
      </c>
      <c r="C615" s="3466" t="s">
        <v>3390</v>
      </c>
      <c r="D615" s="3466">
        <v>-3</v>
      </c>
      <c r="E615" s="3471" t="s">
        <v>4002</v>
      </c>
      <c r="F615" s="3472">
        <v>45.73</v>
      </c>
    </row>
    <row r="616" spans="1:6" ht="13.5" customHeight="1">
      <c r="A616" s="3466">
        <v>614</v>
      </c>
      <c r="B616" s="3467" t="s">
        <v>3389</v>
      </c>
      <c r="C616" s="3466" t="s">
        <v>3390</v>
      </c>
      <c r="D616" s="3466">
        <v>-3</v>
      </c>
      <c r="E616" s="3471" t="s">
        <v>4003</v>
      </c>
      <c r="F616" s="3472">
        <v>45.73</v>
      </c>
    </row>
    <row r="617" spans="1:6" ht="13.5" customHeight="1">
      <c r="A617" s="3466">
        <v>615</v>
      </c>
      <c r="B617" s="3467" t="s">
        <v>3389</v>
      </c>
      <c r="C617" s="3466" t="s">
        <v>3390</v>
      </c>
      <c r="D617" s="3466">
        <v>-3</v>
      </c>
      <c r="E617" s="3471" t="s">
        <v>4004</v>
      </c>
      <c r="F617" s="3472">
        <v>45.73</v>
      </c>
    </row>
    <row r="618" spans="1:6" ht="13.5" customHeight="1">
      <c r="A618" s="3466">
        <v>616</v>
      </c>
      <c r="B618" s="3467" t="s">
        <v>3389</v>
      </c>
      <c r="C618" s="3466" t="s">
        <v>3390</v>
      </c>
      <c r="D618" s="3466">
        <v>-3</v>
      </c>
      <c r="E618" s="3471" t="s">
        <v>4005</v>
      </c>
      <c r="F618" s="3472">
        <v>45.73</v>
      </c>
    </row>
    <row r="619" spans="1:6" ht="13.5" customHeight="1">
      <c r="A619" s="3466">
        <v>617</v>
      </c>
      <c r="B619" s="3467" t="s">
        <v>3389</v>
      </c>
      <c r="C619" s="3466" t="s">
        <v>3390</v>
      </c>
      <c r="D619" s="3466">
        <v>-3</v>
      </c>
      <c r="E619" s="3471" t="s">
        <v>4006</v>
      </c>
      <c r="F619" s="3472">
        <v>45.73</v>
      </c>
    </row>
    <row r="620" spans="1:6" ht="13.5" customHeight="1">
      <c r="A620" s="3466">
        <v>618</v>
      </c>
      <c r="B620" s="3467" t="s">
        <v>3389</v>
      </c>
      <c r="C620" s="3466" t="s">
        <v>3390</v>
      </c>
      <c r="D620" s="3466">
        <v>-3</v>
      </c>
      <c r="E620" s="3471" t="s">
        <v>4007</v>
      </c>
      <c r="F620" s="3472">
        <v>45.73</v>
      </c>
    </row>
    <row r="621" spans="1:6" ht="13.5" customHeight="1">
      <c r="A621" s="3466">
        <v>619</v>
      </c>
      <c r="B621" s="3467" t="s">
        <v>3389</v>
      </c>
      <c r="C621" s="3466" t="s">
        <v>3390</v>
      </c>
      <c r="D621" s="3466">
        <v>-3</v>
      </c>
      <c r="E621" s="3471" t="s">
        <v>4008</v>
      </c>
      <c r="F621" s="3472">
        <v>45.73</v>
      </c>
    </row>
    <row r="622" spans="1:6" ht="13.5" customHeight="1">
      <c r="A622" s="3466">
        <v>620</v>
      </c>
      <c r="B622" s="3467" t="s">
        <v>3389</v>
      </c>
      <c r="C622" s="3466" t="s">
        <v>3390</v>
      </c>
      <c r="D622" s="3466">
        <v>-3</v>
      </c>
      <c r="E622" s="3471" t="s">
        <v>4009</v>
      </c>
      <c r="F622" s="3472">
        <v>45.73</v>
      </c>
    </row>
    <row r="623" spans="1:6" ht="13.5" customHeight="1">
      <c r="A623" s="3466">
        <v>621</v>
      </c>
      <c r="B623" s="3467" t="s">
        <v>3389</v>
      </c>
      <c r="C623" s="3466" t="s">
        <v>3390</v>
      </c>
      <c r="D623" s="3466">
        <v>-3</v>
      </c>
      <c r="E623" s="3471" t="s">
        <v>4010</v>
      </c>
      <c r="F623" s="3472">
        <v>45.73</v>
      </c>
    </row>
    <row r="624" spans="1:6" ht="13.5" customHeight="1">
      <c r="A624" s="3466">
        <v>622</v>
      </c>
      <c r="B624" s="3467" t="s">
        <v>3389</v>
      </c>
      <c r="C624" s="3466" t="s">
        <v>3390</v>
      </c>
      <c r="D624" s="3466">
        <v>-3</v>
      </c>
      <c r="E624" s="3471" t="s">
        <v>4011</v>
      </c>
      <c r="F624" s="3472">
        <v>45.73</v>
      </c>
    </row>
    <row r="625" spans="1:6" ht="13.5" customHeight="1">
      <c r="A625" s="3466">
        <v>623</v>
      </c>
      <c r="B625" s="3467" t="s">
        <v>3389</v>
      </c>
      <c r="C625" s="3466" t="s">
        <v>3390</v>
      </c>
      <c r="D625" s="3466">
        <v>-3</v>
      </c>
      <c r="E625" s="3471" t="s">
        <v>4012</v>
      </c>
      <c r="F625" s="3472">
        <v>45.73</v>
      </c>
    </row>
    <row r="626" spans="1:6" ht="13.5" customHeight="1">
      <c r="A626" s="3466">
        <v>624</v>
      </c>
      <c r="B626" s="3467" t="s">
        <v>3389</v>
      </c>
      <c r="C626" s="3466" t="s">
        <v>3390</v>
      </c>
      <c r="D626" s="3466">
        <v>-3</v>
      </c>
      <c r="E626" s="3471" t="s">
        <v>4013</v>
      </c>
      <c r="F626" s="3472">
        <v>45.73</v>
      </c>
    </row>
    <row r="627" spans="1:6" ht="13.5" customHeight="1">
      <c r="A627" s="3466">
        <v>625</v>
      </c>
      <c r="B627" s="3467" t="s">
        <v>3389</v>
      </c>
      <c r="C627" s="3466" t="s">
        <v>3390</v>
      </c>
      <c r="D627" s="3466">
        <v>-3</v>
      </c>
      <c r="E627" s="3471" t="s">
        <v>4014</v>
      </c>
      <c r="F627" s="3472">
        <v>45.73</v>
      </c>
    </row>
    <row r="628" spans="1:6" ht="13.5" customHeight="1">
      <c r="A628" s="3466">
        <v>626</v>
      </c>
      <c r="B628" s="3467" t="s">
        <v>3389</v>
      </c>
      <c r="C628" s="3466" t="s">
        <v>3390</v>
      </c>
      <c r="D628" s="3466">
        <v>-3</v>
      </c>
      <c r="E628" s="3471" t="s">
        <v>4015</v>
      </c>
      <c r="F628" s="3472">
        <v>45.73</v>
      </c>
    </row>
    <row r="629" spans="1:6" ht="13.5" customHeight="1">
      <c r="A629" s="3466">
        <v>627</v>
      </c>
      <c r="B629" s="3467" t="s">
        <v>3389</v>
      </c>
      <c r="C629" s="3466" t="s">
        <v>3390</v>
      </c>
      <c r="D629" s="3466">
        <v>-3</v>
      </c>
      <c r="E629" s="3471" t="s">
        <v>4016</v>
      </c>
      <c r="F629" s="3472">
        <v>45.73</v>
      </c>
    </row>
    <row r="630" spans="1:6" ht="13.5" customHeight="1">
      <c r="A630" s="3466">
        <v>628</v>
      </c>
      <c r="B630" s="3467" t="s">
        <v>3389</v>
      </c>
      <c r="C630" s="3466" t="s">
        <v>3390</v>
      </c>
      <c r="D630" s="3466">
        <v>-3</v>
      </c>
      <c r="E630" s="3471" t="s">
        <v>4017</v>
      </c>
      <c r="F630" s="3472">
        <v>45.73</v>
      </c>
    </row>
    <row r="631" spans="1:6" ht="13.5" customHeight="1">
      <c r="A631" s="3466">
        <v>629</v>
      </c>
      <c r="B631" s="3467" t="s">
        <v>3389</v>
      </c>
      <c r="C631" s="3466" t="s">
        <v>3390</v>
      </c>
      <c r="D631" s="3466">
        <v>-3</v>
      </c>
      <c r="E631" s="3471" t="s">
        <v>4018</v>
      </c>
      <c r="F631" s="3472">
        <v>45.73</v>
      </c>
    </row>
    <row r="632" spans="1:6" ht="13.5" customHeight="1">
      <c r="A632" s="3466">
        <v>630</v>
      </c>
      <c r="B632" s="3467" t="s">
        <v>3389</v>
      </c>
      <c r="C632" s="3466" t="s">
        <v>3390</v>
      </c>
      <c r="D632" s="3466">
        <v>-3</v>
      </c>
      <c r="E632" s="3471" t="s">
        <v>4019</v>
      </c>
      <c r="F632" s="3472">
        <v>45.73</v>
      </c>
    </row>
    <row r="633" spans="1:6" ht="13.5" customHeight="1">
      <c r="A633" s="3466">
        <v>631</v>
      </c>
      <c r="B633" s="3467" t="s">
        <v>3389</v>
      </c>
      <c r="C633" s="3466" t="s">
        <v>3390</v>
      </c>
      <c r="D633" s="3466">
        <v>-3</v>
      </c>
      <c r="E633" s="3471" t="s">
        <v>4020</v>
      </c>
      <c r="F633" s="3472">
        <v>45.73</v>
      </c>
    </row>
    <row r="634" spans="1:6" ht="13.5" customHeight="1">
      <c r="A634" s="3466">
        <v>632</v>
      </c>
      <c r="B634" s="3467" t="s">
        <v>3389</v>
      </c>
      <c r="C634" s="3466" t="s">
        <v>3390</v>
      </c>
      <c r="D634" s="3466">
        <v>-3</v>
      </c>
      <c r="E634" s="3471" t="s">
        <v>4021</v>
      </c>
      <c r="F634" s="3472">
        <v>45.3</v>
      </c>
    </row>
    <row r="635" spans="1:6" ht="13.5" customHeight="1">
      <c r="A635" s="3466">
        <v>633</v>
      </c>
      <c r="B635" s="3467" t="s">
        <v>3389</v>
      </c>
      <c r="C635" s="3466" t="s">
        <v>3390</v>
      </c>
      <c r="D635" s="3466">
        <v>-3</v>
      </c>
      <c r="E635" s="3471" t="s">
        <v>4022</v>
      </c>
      <c r="F635" s="3472">
        <v>45.3</v>
      </c>
    </row>
    <row r="636" spans="1:6" ht="13.5" customHeight="1">
      <c r="A636" s="3466">
        <v>634</v>
      </c>
      <c r="B636" s="3467" t="s">
        <v>3389</v>
      </c>
      <c r="C636" s="3466" t="s">
        <v>3390</v>
      </c>
      <c r="D636" s="3466">
        <v>-3</v>
      </c>
      <c r="E636" s="3471" t="s">
        <v>4023</v>
      </c>
      <c r="F636" s="3472">
        <v>45.3</v>
      </c>
    </row>
    <row r="637" spans="1:6" ht="13.5" customHeight="1">
      <c r="A637" s="3466">
        <v>635</v>
      </c>
      <c r="B637" s="3467" t="s">
        <v>3389</v>
      </c>
      <c r="C637" s="3466" t="s">
        <v>3390</v>
      </c>
      <c r="D637" s="3466">
        <v>-3</v>
      </c>
      <c r="E637" s="3471" t="s">
        <v>4024</v>
      </c>
      <c r="F637" s="3472">
        <v>45.3</v>
      </c>
    </row>
    <row r="638" spans="1:6" ht="13.5" customHeight="1">
      <c r="A638" s="3466">
        <v>636</v>
      </c>
      <c r="B638" s="3467" t="s">
        <v>3389</v>
      </c>
      <c r="C638" s="3466" t="s">
        <v>3390</v>
      </c>
      <c r="D638" s="3466">
        <v>-3</v>
      </c>
      <c r="E638" s="3471" t="s">
        <v>4025</v>
      </c>
      <c r="F638" s="3472">
        <v>31.64</v>
      </c>
    </row>
    <row r="639" spans="1:6" ht="13.5" customHeight="1">
      <c r="A639" s="3466">
        <v>637</v>
      </c>
      <c r="B639" s="3467" t="s">
        <v>3389</v>
      </c>
      <c r="C639" s="3466" t="s">
        <v>3390</v>
      </c>
      <c r="D639" s="3466">
        <v>-3</v>
      </c>
      <c r="E639" s="3471" t="s">
        <v>4026</v>
      </c>
      <c r="F639" s="3472">
        <v>31.64</v>
      </c>
    </row>
    <row r="640" spans="1:6" ht="13.5" customHeight="1">
      <c r="A640" s="3466">
        <v>638</v>
      </c>
      <c r="B640" s="3467" t="s">
        <v>3389</v>
      </c>
      <c r="C640" s="3466" t="s">
        <v>3390</v>
      </c>
      <c r="D640" s="3466">
        <v>-3</v>
      </c>
      <c r="E640" s="3471" t="s">
        <v>4027</v>
      </c>
      <c r="F640" s="3472">
        <v>31.64</v>
      </c>
    </row>
    <row r="641" spans="1:6" ht="13.5" customHeight="1">
      <c r="A641" s="3466">
        <v>639</v>
      </c>
      <c r="B641" s="3467" t="s">
        <v>3389</v>
      </c>
      <c r="C641" s="3466" t="s">
        <v>3390</v>
      </c>
      <c r="D641" s="3466">
        <v>-3</v>
      </c>
      <c r="E641" s="3471" t="s">
        <v>4028</v>
      </c>
      <c r="F641" s="3472">
        <v>31.64</v>
      </c>
    </row>
    <row r="642" spans="1:6" ht="13.5" customHeight="1">
      <c r="A642" s="3466">
        <v>640</v>
      </c>
      <c r="B642" s="3467" t="s">
        <v>3389</v>
      </c>
      <c r="C642" s="3466" t="s">
        <v>3390</v>
      </c>
      <c r="D642" s="3466">
        <v>-3</v>
      </c>
      <c r="E642" s="3471" t="s">
        <v>4029</v>
      </c>
      <c r="F642" s="3472">
        <v>31.64</v>
      </c>
    </row>
    <row r="643" spans="1:6" ht="13.5" customHeight="1">
      <c r="A643" s="3466">
        <v>641</v>
      </c>
      <c r="B643" s="3467" t="s">
        <v>3389</v>
      </c>
      <c r="C643" s="3466" t="s">
        <v>3390</v>
      </c>
      <c r="D643" s="3466">
        <v>-3</v>
      </c>
      <c r="E643" s="3471" t="s">
        <v>4030</v>
      </c>
      <c r="F643" s="3472">
        <v>31.64</v>
      </c>
    </row>
    <row r="644" spans="1:6" ht="13.5" customHeight="1">
      <c r="A644" s="3466">
        <v>642</v>
      </c>
      <c r="B644" s="3467" t="s">
        <v>3389</v>
      </c>
      <c r="C644" s="3466" t="s">
        <v>3390</v>
      </c>
      <c r="D644" s="3466">
        <v>-3</v>
      </c>
      <c r="E644" s="3471" t="s">
        <v>4031</v>
      </c>
      <c r="F644" s="3472">
        <v>31.64</v>
      </c>
    </row>
    <row r="645" spans="1:6" ht="13.5" customHeight="1">
      <c r="A645" s="3466">
        <v>643</v>
      </c>
      <c r="B645" s="3467" t="s">
        <v>3389</v>
      </c>
      <c r="C645" s="3466" t="s">
        <v>3390</v>
      </c>
      <c r="D645" s="3466">
        <v>-3</v>
      </c>
      <c r="E645" s="3471" t="s">
        <v>4032</v>
      </c>
      <c r="F645" s="3472">
        <v>31.64</v>
      </c>
    </row>
    <row r="646" spans="1:6" ht="13.5" customHeight="1">
      <c r="A646" s="3466">
        <v>644</v>
      </c>
      <c r="B646" s="3467" t="s">
        <v>3389</v>
      </c>
      <c r="C646" s="3466" t="s">
        <v>3390</v>
      </c>
      <c r="D646" s="3466">
        <v>-3</v>
      </c>
      <c r="E646" s="3471" t="s">
        <v>4033</v>
      </c>
      <c r="F646" s="3472">
        <v>31.64</v>
      </c>
    </row>
    <row r="647" spans="1:6" ht="13.5" customHeight="1">
      <c r="A647" s="3466">
        <v>645</v>
      </c>
      <c r="B647" s="3467" t="s">
        <v>3389</v>
      </c>
      <c r="C647" s="3466" t="s">
        <v>3390</v>
      </c>
      <c r="D647" s="3466">
        <v>-3</v>
      </c>
      <c r="E647" s="3471" t="s">
        <v>4034</v>
      </c>
      <c r="F647" s="3472">
        <v>31.64</v>
      </c>
    </row>
    <row r="648" spans="1:6" ht="13.5" customHeight="1">
      <c r="A648" s="3466">
        <v>646</v>
      </c>
      <c r="B648" s="3467" t="s">
        <v>3389</v>
      </c>
      <c r="C648" s="3466" t="s">
        <v>3390</v>
      </c>
      <c r="D648" s="3466">
        <v>-3</v>
      </c>
      <c r="E648" s="3471" t="s">
        <v>4035</v>
      </c>
      <c r="F648" s="3472">
        <v>31.64</v>
      </c>
    </row>
    <row r="649" spans="1:6" ht="13.5" customHeight="1">
      <c r="A649" s="3466">
        <v>647</v>
      </c>
      <c r="B649" s="3467" t="s">
        <v>3389</v>
      </c>
      <c r="C649" s="3466" t="s">
        <v>3390</v>
      </c>
      <c r="D649" s="3466">
        <v>-3</v>
      </c>
      <c r="E649" s="3471" t="s">
        <v>4036</v>
      </c>
      <c r="F649" s="3472">
        <v>31.64</v>
      </c>
    </row>
    <row r="650" spans="1:6" ht="13.5" customHeight="1">
      <c r="A650" s="3466">
        <v>648</v>
      </c>
      <c r="B650" s="3467" t="s">
        <v>3389</v>
      </c>
      <c r="C650" s="3466" t="s">
        <v>3390</v>
      </c>
      <c r="D650" s="3466">
        <v>-3</v>
      </c>
      <c r="E650" s="3471" t="s">
        <v>4037</v>
      </c>
      <c r="F650" s="3472">
        <v>31.64</v>
      </c>
    </row>
    <row r="651" spans="1:6" ht="13.5" customHeight="1">
      <c r="A651" s="3466">
        <v>649</v>
      </c>
      <c r="B651" s="3467" t="s">
        <v>3389</v>
      </c>
      <c r="C651" s="3466" t="s">
        <v>3390</v>
      </c>
      <c r="D651" s="3466">
        <v>-3</v>
      </c>
      <c r="E651" s="3471" t="s">
        <v>4038</v>
      </c>
      <c r="F651" s="3472">
        <v>31.64</v>
      </c>
    </row>
    <row r="652" spans="1:6" ht="13.5" customHeight="1">
      <c r="A652" s="3466">
        <v>650</v>
      </c>
      <c r="B652" s="3467" t="s">
        <v>3389</v>
      </c>
      <c r="C652" s="3466" t="s">
        <v>3390</v>
      </c>
      <c r="D652" s="3466">
        <v>-3</v>
      </c>
      <c r="E652" s="3471" t="s">
        <v>4039</v>
      </c>
      <c r="F652" s="3472">
        <v>31.64</v>
      </c>
    </row>
    <row r="653" spans="1:6" ht="13.5" customHeight="1">
      <c r="A653" s="3466">
        <v>651</v>
      </c>
      <c r="B653" s="3467" t="s">
        <v>3389</v>
      </c>
      <c r="C653" s="3466" t="s">
        <v>3390</v>
      </c>
      <c r="D653" s="3466">
        <v>-3</v>
      </c>
      <c r="E653" s="3471" t="s">
        <v>4040</v>
      </c>
      <c r="F653" s="3472">
        <v>31.64</v>
      </c>
    </row>
    <row r="654" spans="1:6" ht="13.5" customHeight="1">
      <c r="A654" s="3466">
        <v>652</v>
      </c>
      <c r="B654" s="3467" t="s">
        <v>3389</v>
      </c>
      <c r="C654" s="3466" t="s">
        <v>3390</v>
      </c>
      <c r="D654" s="3466">
        <v>-3</v>
      </c>
      <c r="E654" s="3471" t="s">
        <v>4041</v>
      </c>
      <c r="F654" s="3472">
        <v>31.64</v>
      </c>
    </row>
    <row r="655" spans="1:6" ht="13.5" customHeight="1">
      <c r="A655" s="3466">
        <v>653</v>
      </c>
      <c r="B655" s="3467" t="s">
        <v>3389</v>
      </c>
      <c r="C655" s="3466" t="s">
        <v>3390</v>
      </c>
      <c r="D655" s="3466">
        <v>-3</v>
      </c>
      <c r="E655" s="3471" t="s">
        <v>4042</v>
      </c>
      <c r="F655" s="3472">
        <v>31.64</v>
      </c>
    </row>
    <row r="656" spans="1:6" ht="13.5" customHeight="1">
      <c r="A656" s="3466">
        <v>654</v>
      </c>
      <c r="B656" s="3467" t="s">
        <v>3389</v>
      </c>
      <c r="C656" s="3466" t="s">
        <v>3390</v>
      </c>
      <c r="D656" s="3466">
        <v>-3</v>
      </c>
      <c r="E656" s="3471" t="s">
        <v>4043</v>
      </c>
      <c r="F656" s="3472">
        <v>31.64</v>
      </c>
    </row>
    <row r="657" spans="1:6" ht="13.5" customHeight="1">
      <c r="A657" s="3466">
        <v>655</v>
      </c>
      <c r="B657" s="3467" t="s">
        <v>3389</v>
      </c>
      <c r="C657" s="3466" t="s">
        <v>3390</v>
      </c>
      <c r="D657" s="3466">
        <v>-3</v>
      </c>
      <c r="E657" s="3471" t="s">
        <v>4044</v>
      </c>
      <c r="F657" s="3472">
        <v>31.64</v>
      </c>
    </row>
    <row r="658" spans="1:6" ht="13.5" customHeight="1">
      <c r="A658" s="3466">
        <v>656</v>
      </c>
      <c r="B658" s="3467" t="s">
        <v>3389</v>
      </c>
      <c r="C658" s="3466" t="s">
        <v>3390</v>
      </c>
      <c r="D658" s="3466">
        <v>-3</v>
      </c>
      <c r="E658" s="3471" t="s">
        <v>4045</v>
      </c>
      <c r="F658" s="3472">
        <v>31.64</v>
      </c>
    </row>
    <row r="659" spans="1:6" ht="13.5" customHeight="1">
      <c r="A659" s="3466">
        <v>657</v>
      </c>
      <c r="B659" s="3467" t="s">
        <v>3389</v>
      </c>
      <c r="C659" s="3466" t="s">
        <v>3390</v>
      </c>
      <c r="D659" s="3466">
        <v>-3</v>
      </c>
      <c r="E659" s="3471" t="s">
        <v>4046</v>
      </c>
      <c r="F659" s="3472">
        <v>31.64</v>
      </c>
    </row>
    <row r="660" spans="1:6" ht="13.5" customHeight="1">
      <c r="A660" s="3466">
        <v>658</v>
      </c>
      <c r="B660" s="3467" t="s">
        <v>3389</v>
      </c>
      <c r="C660" s="3466" t="s">
        <v>3390</v>
      </c>
      <c r="D660" s="3466">
        <v>-3</v>
      </c>
      <c r="E660" s="3471" t="s">
        <v>4047</v>
      </c>
      <c r="F660" s="3472">
        <v>31.64</v>
      </c>
    </row>
    <row r="661" spans="1:6" ht="13.5" customHeight="1">
      <c r="A661" s="3466">
        <v>659</v>
      </c>
      <c r="B661" s="3467" t="s">
        <v>3389</v>
      </c>
      <c r="C661" s="3466" t="s">
        <v>3390</v>
      </c>
      <c r="D661" s="3466">
        <v>-3</v>
      </c>
      <c r="E661" s="3471" t="s">
        <v>4048</v>
      </c>
      <c r="F661" s="3472">
        <v>31.64</v>
      </c>
    </row>
    <row r="662" spans="1:6" ht="13.5" customHeight="1">
      <c r="A662" s="3466">
        <v>660</v>
      </c>
      <c r="B662" s="3467" t="s">
        <v>3389</v>
      </c>
      <c r="C662" s="3466" t="s">
        <v>3390</v>
      </c>
      <c r="D662" s="3466">
        <v>-3</v>
      </c>
      <c r="E662" s="3471" t="s">
        <v>4049</v>
      </c>
      <c r="F662" s="3472">
        <v>86.28</v>
      </c>
    </row>
    <row r="663" spans="1:6" ht="13.5" customHeight="1">
      <c r="A663" s="3466">
        <v>661</v>
      </c>
      <c r="B663" s="3467" t="s">
        <v>3389</v>
      </c>
      <c r="C663" s="3466" t="s">
        <v>3390</v>
      </c>
      <c r="D663" s="3466">
        <v>-3</v>
      </c>
      <c r="E663" s="3471" t="s">
        <v>4050</v>
      </c>
      <c r="F663" s="3472">
        <v>86.28</v>
      </c>
    </row>
    <row r="664" spans="1:6" ht="13.5" customHeight="1">
      <c r="A664" s="3466">
        <v>662</v>
      </c>
      <c r="B664" s="3467" t="s">
        <v>3389</v>
      </c>
      <c r="C664" s="3466" t="s">
        <v>3390</v>
      </c>
      <c r="D664" s="3466">
        <v>-3</v>
      </c>
      <c r="E664" s="3471" t="s">
        <v>4051</v>
      </c>
      <c r="F664" s="3472">
        <v>86.28</v>
      </c>
    </row>
    <row r="665" spans="1:6" ht="13.5" customHeight="1">
      <c r="A665" s="3466">
        <v>663</v>
      </c>
      <c r="B665" s="3467" t="s">
        <v>3389</v>
      </c>
      <c r="C665" s="3466" t="s">
        <v>3390</v>
      </c>
      <c r="D665" s="3466">
        <v>-3</v>
      </c>
      <c r="E665" s="3471" t="s">
        <v>4052</v>
      </c>
      <c r="F665" s="3472">
        <v>86.28</v>
      </c>
    </row>
    <row r="666" spans="1:6" ht="13.5" customHeight="1">
      <c r="A666" s="3466">
        <v>664</v>
      </c>
      <c r="B666" s="3467" t="s">
        <v>3389</v>
      </c>
      <c r="C666" s="3466" t="s">
        <v>3390</v>
      </c>
      <c r="D666" s="3466">
        <v>-3</v>
      </c>
      <c r="E666" s="3471" t="s">
        <v>4053</v>
      </c>
      <c r="F666" s="3472">
        <v>86.28</v>
      </c>
    </row>
    <row r="667" spans="1:6" ht="13.5" customHeight="1">
      <c r="A667" s="3466">
        <v>665</v>
      </c>
      <c r="B667" s="3467" t="s">
        <v>3389</v>
      </c>
      <c r="C667" s="3466" t="s">
        <v>3390</v>
      </c>
      <c r="D667" s="3466">
        <v>-3</v>
      </c>
      <c r="E667" s="3471" t="s">
        <v>4054</v>
      </c>
      <c r="F667" s="3472">
        <v>86.28</v>
      </c>
    </row>
    <row r="668" spans="1:6" ht="13.5" customHeight="1">
      <c r="A668" s="3466">
        <v>666</v>
      </c>
      <c r="B668" s="3467" t="s">
        <v>3389</v>
      </c>
      <c r="C668" s="3466" t="s">
        <v>3390</v>
      </c>
      <c r="D668" s="3466">
        <v>-3</v>
      </c>
      <c r="E668" s="3471" t="s">
        <v>4055</v>
      </c>
      <c r="F668" s="3472">
        <v>86.28</v>
      </c>
    </row>
    <row r="669" spans="1:6" ht="13.5" customHeight="1">
      <c r="A669" s="3466">
        <v>667</v>
      </c>
      <c r="B669" s="3467" t="s">
        <v>3389</v>
      </c>
      <c r="C669" s="3466" t="s">
        <v>3390</v>
      </c>
      <c r="D669" s="3466">
        <v>-3</v>
      </c>
      <c r="E669" s="3471" t="s">
        <v>4056</v>
      </c>
      <c r="F669" s="3472">
        <v>86.28</v>
      </c>
    </row>
    <row r="670" spans="1:6" ht="13.5" customHeight="1">
      <c r="A670" s="3466">
        <v>668</v>
      </c>
      <c r="B670" s="3467" t="s">
        <v>3389</v>
      </c>
      <c r="C670" s="3466" t="s">
        <v>3390</v>
      </c>
      <c r="D670" s="3466">
        <v>-3</v>
      </c>
      <c r="E670" s="3471" t="s">
        <v>4057</v>
      </c>
      <c r="F670" s="3472">
        <v>86.28</v>
      </c>
    </row>
    <row r="671" spans="1:6" ht="13.5" customHeight="1">
      <c r="A671" s="3466">
        <v>669</v>
      </c>
      <c r="B671" s="3467" t="s">
        <v>3389</v>
      </c>
      <c r="C671" s="3466" t="s">
        <v>3390</v>
      </c>
      <c r="D671" s="3466">
        <v>-3</v>
      </c>
      <c r="E671" s="3471" t="s">
        <v>4058</v>
      </c>
      <c r="F671" s="3472">
        <v>45.73</v>
      </c>
    </row>
    <row r="672" spans="1:6" ht="13.5" customHeight="1">
      <c r="A672" s="3466">
        <v>670</v>
      </c>
      <c r="B672" s="3467" t="s">
        <v>3389</v>
      </c>
      <c r="C672" s="3466" t="s">
        <v>3390</v>
      </c>
      <c r="D672" s="3466">
        <v>-3</v>
      </c>
      <c r="E672" s="3471" t="s">
        <v>4059</v>
      </c>
      <c r="F672" s="3472">
        <v>45.73</v>
      </c>
    </row>
    <row r="673" spans="1:6" ht="13.5" customHeight="1">
      <c r="A673" s="3466">
        <v>671</v>
      </c>
      <c r="B673" s="3467" t="s">
        <v>3389</v>
      </c>
      <c r="C673" s="3466" t="s">
        <v>3390</v>
      </c>
      <c r="D673" s="3466">
        <v>-3</v>
      </c>
      <c r="E673" s="3471" t="s">
        <v>4060</v>
      </c>
      <c r="F673" s="3472">
        <v>45.73</v>
      </c>
    </row>
    <row r="674" spans="1:6" ht="13.5" customHeight="1">
      <c r="A674" s="3466">
        <v>672</v>
      </c>
      <c r="B674" s="3467" t="s">
        <v>3389</v>
      </c>
      <c r="C674" s="3466" t="s">
        <v>3390</v>
      </c>
      <c r="D674" s="3466">
        <v>-3</v>
      </c>
      <c r="E674" s="3471" t="s">
        <v>4061</v>
      </c>
      <c r="F674" s="3472">
        <v>45.73</v>
      </c>
    </row>
    <row r="675" spans="1:6" ht="13.5" customHeight="1">
      <c r="A675" s="3466">
        <v>673</v>
      </c>
      <c r="B675" s="3467" t="s">
        <v>3389</v>
      </c>
      <c r="C675" s="3466" t="s">
        <v>3390</v>
      </c>
      <c r="D675" s="3466">
        <v>-3</v>
      </c>
      <c r="E675" s="3471" t="s">
        <v>4062</v>
      </c>
      <c r="F675" s="3472">
        <v>45.73</v>
      </c>
    </row>
    <row r="676" spans="1:6" ht="13.5" customHeight="1">
      <c r="A676" s="3466">
        <v>674</v>
      </c>
      <c r="B676" s="3467" t="s">
        <v>3389</v>
      </c>
      <c r="C676" s="3466" t="s">
        <v>3390</v>
      </c>
      <c r="D676" s="3466">
        <v>-3</v>
      </c>
      <c r="E676" s="3471" t="s">
        <v>4063</v>
      </c>
      <c r="F676" s="3472">
        <v>45.73</v>
      </c>
    </row>
    <row r="677" spans="1:6" ht="13.5" customHeight="1">
      <c r="A677" s="3466">
        <v>675</v>
      </c>
      <c r="B677" s="3467" t="s">
        <v>3389</v>
      </c>
      <c r="C677" s="3466" t="s">
        <v>3390</v>
      </c>
      <c r="D677" s="3466">
        <v>-3</v>
      </c>
      <c r="E677" s="3471" t="s">
        <v>4064</v>
      </c>
      <c r="F677" s="3472">
        <v>45.73</v>
      </c>
    </row>
    <row r="678" spans="1:6" ht="13.5" customHeight="1">
      <c r="A678" s="3466">
        <v>676</v>
      </c>
      <c r="B678" s="3467" t="s">
        <v>3389</v>
      </c>
      <c r="C678" s="3466" t="s">
        <v>3390</v>
      </c>
      <c r="D678" s="3466">
        <v>-3</v>
      </c>
      <c r="E678" s="3471" t="s">
        <v>4065</v>
      </c>
      <c r="F678" s="3472">
        <v>45.73</v>
      </c>
    </row>
    <row r="679" spans="1:6" ht="13.5" customHeight="1">
      <c r="A679" s="3466">
        <v>677</v>
      </c>
      <c r="B679" s="3467" t="s">
        <v>3389</v>
      </c>
      <c r="C679" s="3466" t="s">
        <v>3390</v>
      </c>
      <c r="D679" s="3466">
        <v>-3</v>
      </c>
      <c r="E679" s="3471" t="s">
        <v>4066</v>
      </c>
      <c r="F679" s="3472">
        <v>45.73</v>
      </c>
    </row>
    <row r="680" spans="1:6" ht="13.5" customHeight="1">
      <c r="A680" s="3466">
        <v>678</v>
      </c>
      <c r="B680" s="3467" t="s">
        <v>3389</v>
      </c>
      <c r="C680" s="3466" t="s">
        <v>3390</v>
      </c>
      <c r="D680" s="3466">
        <v>-3</v>
      </c>
      <c r="E680" s="3471" t="s">
        <v>4067</v>
      </c>
      <c r="F680" s="3472">
        <v>45.73</v>
      </c>
    </row>
    <row r="681" spans="1:6" ht="13.5" customHeight="1">
      <c r="A681" s="3466">
        <v>679</v>
      </c>
      <c r="B681" s="3467" t="s">
        <v>3389</v>
      </c>
      <c r="C681" s="3466" t="s">
        <v>3390</v>
      </c>
      <c r="D681" s="3466">
        <v>-3</v>
      </c>
      <c r="E681" s="3471" t="s">
        <v>4068</v>
      </c>
      <c r="F681" s="3472">
        <v>45.73</v>
      </c>
    </row>
    <row r="682" spans="1:6" ht="13.5" customHeight="1">
      <c r="A682" s="3466">
        <v>680</v>
      </c>
      <c r="B682" s="3467" t="s">
        <v>3389</v>
      </c>
      <c r="C682" s="3466" t="s">
        <v>3390</v>
      </c>
      <c r="D682" s="3466">
        <v>-3</v>
      </c>
      <c r="E682" s="3471" t="s">
        <v>4069</v>
      </c>
      <c r="F682" s="3472">
        <v>45.73</v>
      </c>
    </row>
    <row r="683" spans="1:6" ht="13.5" customHeight="1">
      <c r="A683" s="3466">
        <v>681</v>
      </c>
      <c r="B683" s="3467" t="s">
        <v>3389</v>
      </c>
      <c r="C683" s="3466" t="s">
        <v>3390</v>
      </c>
      <c r="D683" s="3466">
        <v>-3</v>
      </c>
      <c r="E683" s="3471" t="s">
        <v>4070</v>
      </c>
      <c r="F683" s="3472">
        <v>45.73</v>
      </c>
    </row>
    <row r="684" spans="1:6" ht="13.5" customHeight="1">
      <c r="A684" s="3466">
        <v>682</v>
      </c>
      <c r="B684" s="3467" t="s">
        <v>3389</v>
      </c>
      <c r="C684" s="3466" t="s">
        <v>3390</v>
      </c>
      <c r="D684" s="3466">
        <v>-3</v>
      </c>
      <c r="E684" s="3471" t="s">
        <v>4071</v>
      </c>
      <c r="F684" s="3472">
        <v>45.73</v>
      </c>
    </row>
    <row r="685" spans="1:6" ht="13.5" customHeight="1">
      <c r="A685" s="3466">
        <v>683</v>
      </c>
      <c r="B685" s="3467" t="s">
        <v>3389</v>
      </c>
      <c r="C685" s="3466" t="s">
        <v>3390</v>
      </c>
      <c r="D685" s="3466">
        <v>-3</v>
      </c>
      <c r="E685" s="3471" t="s">
        <v>4072</v>
      </c>
      <c r="F685" s="3472">
        <v>45.73</v>
      </c>
    </row>
    <row r="686" spans="1:6" ht="13.5" customHeight="1">
      <c r="A686" s="3466">
        <v>684</v>
      </c>
      <c r="B686" s="3467" t="s">
        <v>3389</v>
      </c>
      <c r="C686" s="3466" t="s">
        <v>3390</v>
      </c>
      <c r="D686" s="3466">
        <v>-3</v>
      </c>
      <c r="E686" s="3471" t="s">
        <v>4073</v>
      </c>
      <c r="F686" s="3472">
        <v>45.73</v>
      </c>
    </row>
    <row r="687" spans="1:6" ht="13.5" customHeight="1">
      <c r="A687" s="3466">
        <v>685</v>
      </c>
      <c r="B687" s="3467" t="s">
        <v>3389</v>
      </c>
      <c r="C687" s="3466" t="s">
        <v>3390</v>
      </c>
      <c r="D687" s="3466">
        <v>-3</v>
      </c>
      <c r="E687" s="3471" t="s">
        <v>4074</v>
      </c>
      <c r="F687" s="3472">
        <v>45.73</v>
      </c>
    </row>
    <row r="688" spans="1:6" ht="13.5" customHeight="1">
      <c r="A688" s="3466">
        <v>686</v>
      </c>
      <c r="B688" s="3467" t="s">
        <v>3389</v>
      </c>
      <c r="C688" s="3466" t="s">
        <v>3390</v>
      </c>
      <c r="D688" s="3466">
        <v>-3</v>
      </c>
      <c r="E688" s="3471" t="s">
        <v>4075</v>
      </c>
      <c r="F688" s="3472">
        <v>45.73</v>
      </c>
    </row>
    <row r="689" spans="1:6" ht="13.5" customHeight="1">
      <c r="A689" s="3466">
        <v>687</v>
      </c>
      <c r="B689" s="3467" t="s">
        <v>3389</v>
      </c>
      <c r="C689" s="3466" t="s">
        <v>3390</v>
      </c>
      <c r="D689" s="3466">
        <v>-3</v>
      </c>
      <c r="E689" s="3471" t="s">
        <v>4076</v>
      </c>
      <c r="F689" s="3472">
        <v>45.73</v>
      </c>
    </row>
    <row r="690" spans="1:6" ht="13.5" customHeight="1">
      <c r="A690" s="3466">
        <v>688</v>
      </c>
      <c r="B690" s="3467" t="s">
        <v>3389</v>
      </c>
      <c r="C690" s="3466" t="s">
        <v>3390</v>
      </c>
      <c r="D690" s="3466">
        <v>-3</v>
      </c>
      <c r="E690" s="3471" t="s">
        <v>4077</v>
      </c>
      <c r="F690" s="3472">
        <v>45.73</v>
      </c>
    </row>
    <row r="691" spans="1:6" ht="13.5" customHeight="1">
      <c r="A691" s="3466">
        <v>689</v>
      </c>
      <c r="B691" s="3467" t="s">
        <v>3389</v>
      </c>
      <c r="C691" s="3466" t="s">
        <v>3390</v>
      </c>
      <c r="D691" s="3466">
        <v>-3</v>
      </c>
      <c r="E691" s="3471" t="s">
        <v>4078</v>
      </c>
      <c r="F691" s="3472">
        <v>45.73</v>
      </c>
    </row>
    <row r="692" spans="1:6" ht="13.5" customHeight="1">
      <c r="A692" s="3466">
        <v>690</v>
      </c>
      <c r="B692" s="3467" t="s">
        <v>3389</v>
      </c>
      <c r="C692" s="3466" t="s">
        <v>3390</v>
      </c>
      <c r="D692" s="3466">
        <v>-3</v>
      </c>
      <c r="E692" s="3471" t="s">
        <v>4079</v>
      </c>
      <c r="F692" s="3472">
        <v>45.73</v>
      </c>
    </row>
    <row r="693" spans="1:6" ht="13.5" customHeight="1">
      <c r="A693" s="3466">
        <v>691</v>
      </c>
      <c r="B693" s="3467" t="s">
        <v>3389</v>
      </c>
      <c r="C693" s="3466" t="s">
        <v>3390</v>
      </c>
      <c r="D693" s="3466">
        <v>-3</v>
      </c>
      <c r="E693" s="3471" t="s">
        <v>4080</v>
      </c>
      <c r="F693" s="3472">
        <v>45.73</v>
      </c>
    </row>
    <row r="694" spans="1:6" ht="13.5" customHeight="1">
      <c r="A694" s="3466">
        <v>692</v>
      </c>
      <c r="B694" s="3467" t="s">
        <v>3389</v>
      </c>
      <c r="C694" s="3466" t="s">
        <v>3390</v>
      </c>
      <c r="D694" s="3466">
        <v>-3</v>
      </c>
      <c r="E694" s="3471" t="s">
        <v>4081</v>
      </c>
      <c r="F694" s="3472">
        <v>45.73</v>
      </c>
    </row>
    <row r="695" spans="1:6" ht="13.5" customHeight="1">
      <c r="A695" s="3466">
        <v>693</v>
      </c>
      <c r="B695" s="3467" t="s">
        <v>3389</v>
      </c>
      <c r="C695" s="3466" t="s">
        <v>3390</v>
      </c>
      <c r="D695" s="3466">
        <v>-3</v>
      </c>
      <c r="E695" s="3471" t="s">
        <v>4082</v>
      </c>
      <c r="F695" s="3472">
        <v>45.73</v>
      </c>
    </row>
    <row r="696" spans="1:6" ht="13.5" customHeight="1">
      <c r="A696" s="3466">
        <v>694</v>
      </c>
      <c r="B696" s="3467" t="s">
        <v>3389</v>
      </c>
      <c r="C696" s="3466" t="s">
        <v>3390</v>
      </c>
      <c r="D696" s="3466">
        <v>-3</v>
      </c>
      <c r="E696" s="3471" t="s">
        <v>4083</v>
      </c>
      <c r="F696" s="3472">
        <v>45.73</v>
      </c>
    </row>
    <row r="697" spans="1:6" ht="13.5" customHeight="1">
      <c r="A697" s="3466">
        <v>695</v>
      </c>
      <c r="B697" s="3467" t="s">
        <v>3389</v>
      </c>
      <c r="C697" s="3466" t="s">
        <v>3390</v>
      </c>
      <c r="D697" s="3466">
        <v>-3</v>
      </c>
      <c r="E697" s="3471" t="s">
        <v>4084</v>
      </c>
      <c r="F697" s="3472">
        <v>45.73</v>
      </c>
    </row>
    <row r="698" spans="1:6" ht="13.5" customHeight="1">
      <c r="A698" s="3466">
        <v>696</v>
      </c>
      <c r="B698" s="3467" t="s">
        <v>3389</v>
      </c>
      <c r="C698" s="3466" t="s">
        <v>3390</v>
      </c>
      <c r="D698" s="3466">
        <v>-3</v>
      </c>
      <c r="E698" s="3471" t="s">
        <v>4085</v>
      </c>
      <c r="F698" s="3472">
        <v>45.73</v>
      </c>
    </row>
    <row r="699" spans="1:6" ht="13.5" customHeight="1">
      <c r="A699" s="3466">
        <v>697</v>
      </c>
      <c r="B699" s="3467" t="s">
        <v>3389</v>
      </c>
      <c r="C699" s="3466" t="s">
        <v>3390</v>
      </c>
      <c r="D699" s="3466">
        <v>-3</v>
      </c>
      <c r="E699" s="3471" t="s">
        <v>4086</v>
      </c>
      <c r="F699" s="3472">
        <v>45.73</v>
      </c>
    </row>
    <row r="700" spans="1:6" ht="13.5" customHeight="1">
      <c r="A700" s="3466">
        <v>698</v>
      </c>
      <c r="B700" s="3467" t="s">
        <v>3389</v>
      </c>
      <c r="C700" s="3466" t="s">
        <v>3390</v>
      </c>
      <c r="D700" s="3466">
        <v>-3</v>
      </c>
      <c r="E700" s="3471" t="s">
        <v>4087</v>
      </c>
      <c r="F700" s="3472">
        <v>45.73</v>
      </c>
    </row>
    <row r="701" spans="1:6" ht="13.5" customHeight="1">
      <c r="A701" s="3466">
        <v>699</v>
      </c>
      <c r="B701" s="3467" t="s">
        <v>3389</v>
      </c>
      <c r="C701" s="3466" t="s">
        <v>3390</v>
      </c>
      <c r="D701" s="3466">
        <v>-3</v>
      </c>
      <c r="E701" s="3471" t="s">
        <v>4088</v>
      </c>
      <c r="F701" s="3472">
        <v>45.73</v>
      </c>
    </row>
    <row r="702" spans="1:6" ht="13.5" customHeight="1">
      <c r="A702" s="3466">
        <v>700</v>
      </c>
      <c r="B702" s="3467" t="s">
        <v>3389</v>
      </c>
      <c r="C702" s="3466" t="s">
        <v>3390</v>
      </c>
      <c r="D702" s="3466">
        <v>-3</v>
      </c>
      <c r="E702" s="3471" t="s">
        <v>4089</v>
      </c>
      <c r="F702" s="3472">
        <v>45.73</v>
      </c>
    </row>
    <row r="703" spans="1:6" ht="13.5" customHeight="1">
      <c r="A703" s="3466">
        <v>701</v>
      </c>
      <c r="B703" s="3467" t="s">
        <v>3389</v>
      </c>
      <c r="C703" s="3466" t="s">
        <v>3390</v>
      </c>
      <c r="D703" s="3466">
        <v>-3</v>
      </c>
      <c r="E703" s="3471" t="s">
        <v>4090</v>
      </c>
      <c r="F703" s="3472">
        <v>45.73</v>
      </c>
    </row>
    <row r="704" spans="1:6" ht="13.5" customHeight="1">
      <c r="A704" s="3466">
        <v>702</v>
      </c>
      <c r="B704" s="3467" t="s">
        <v>3389</v>
      </c>
      <c r="C704" s="3466" t="s">
        <v>3390</v>
      </c>
      <c r="D704" s="3466">
        <v>-3</v>
      </c>
      <c r="E704" s="3471" t="s">
        <v>4091</v>
      </c>
      <c r="F704" s="3472">
        <v>45.73</v>
      </c>
    </row>
    <row r="705" spans="1:6" ht="13.5" customHeight="1">
      <c r="A705" s="3466">
        <v>703</v>
      </c>
      <c r="B705" s="3467" t="s">
        <v>3389</v>
      </c>
      <c r="C705" s="3466" t="s">
        <v>3390</v>
      </c>
      <c r="D705" s="3466">
        <v>-3</v>
      </c>
      <c r="E705" s="3471" t="s">
        <v>4092</v>
      </c>
      <c r="F705" s="3472">
        <v>45.73</v>
      </c>
    </row>
    <row r="706" spans="1:6" ht="13.5" customHeight="1">
      <c r="A706" s="3466">
        <v>704</v>
      </c>
      <c r="B706" s="3467" t="s">
        <v>3389</v>
      </c>
      <c r="C706" s="3466" t="s">
        <v>3390</v>
      </c>
      <c r="D706" s="3466">
        <v>-3</v>
      </c>
      <c r="E706" s="3471" t="s">
        <v>4093</v>
      </c>
      <c r="F706" s="3472">
        <v>45.73</v>
      </c>
    </row>
    <row r="707" spans="1:6" ht="13.5" customHeight="1">
      <c r="A707" s="3466">
        <v>705</v>
      </c>
      <c r="B707" s="3467" t="s">
        <v>3389</v>
      </c>
      <c r="C707" s="3466" t="s">
        <v>3390</v>
      </c>
      <c r="D707" s="3466">
        <v>-3</v>
      </c>
      <c r="E707" s="3471" t="s">
        <v>4094</v>
      </c>
      <c r="F707" s="3472">
        <v>45.73</v>
      </c>
    </row>
    <row r="708" spans="1:6" ht="13.5" customHeight="1">
      <c r="A708" s="3466">
        <v>706</v>
      </c>
      <c r="B708" s="3467" t="s">
        <v>3389</v>
      </c>
      <c r="C708" s="3466" t="s">
        <v>3390</v>
      </c>
      <c r="D708" s="3466">
        <v>-3</v>
      </c>
      <c r="E708" s="3471" t="s">
        <v>4095</v>
      </c>
      <c r="F708" s="3472">
        <v>45.73</v>
      </c>
    </row>
    <row r="709" spans="1:6" ht="13.5" customHeight="1">
      <c r="A709" s="3466">
        <v>707</v>
      </c>
      <c r="B709" s="3467" t="s">
        <v>3389</v>
      </c>
      <c r="C709" s="3466" t="s">
        <v>3390</v>
      </c>
      <c r="D709" s="3466">
        <v>-3</v>
      </c>
      <c r="E709" s="3471" t="s">
        <v>4096</v>
      </c>
      <c r="F709" s="3472">
        <v>45.73</v>
      </c>
    </row>
    <row r="710" spans="1:6" ht="13.5" customHeight="1">
      <c r="A710" s="3466">
        <v>708</v>
      </c>
      <c r="B710" s="3467" t="s">
        <v>3389</v>
      </c>
      <c r="C710" s="3466" t="s">
        <v>3390</v>
      </c>
      <c r="D710" s="3466">
        <v>-3</v>
      </c>
      <c r="E710" s="3471" t="s">
        <v>4097</v>
      </c>
      <c r="F710" s="3472">
        <v>45.73</v>
      </c>
    </row>
    <row r="711" spans="1:6" ht="13.5" customHeight="1">
      <c r="A711" s="3466">
        <v>709</v>
      </c>
      <c r="B711" s="3467" t="s">
        <v>3389</v>
      </c>
      <c r="C711" s="3466" t="s">
        <v>3390</v>
      </c>
      <c r="D711" s="3466">
        <v>-3</v>
      </c>
      <c r="E711" s="3471" t="s">
        <v>4098</v>
      </c>
      <c r="F711" s="3472">
        <v>45.73</v>
      </c>
    </row>
    <row r="712" spans="1:6" ht="13.5" customHeight="1">
      <c r="A712" s="3466">
        <v>710</v>
      </c>
      <c r="B712" s="3467" t="s">
        <v>3389</v>
      </c>
      <c r="C712" s="3466" t="s">
        <v>3390</v>
      </c>
      <c r="D712" s="3466">
        <v>-3</v>
      </c>
      <c r="E712" s="3471" t="s">
        <v>4099</v>
      </c>
      <c r="F712" s="3472">
        <v>45.73</v>
      </c>
    </row>
    <row r="713" spans="1:6" ht="13.5" customHeight="1">
      <c r="A713" s="3466">
        <v>711</v>
      </c>
      <c r="B713" s="3467" t="s">
        <v>3389</v>
      </c>
      <c r="C713" s="3466" t="s">
        <v>3390</v>
      </c>
      <c r="D713" s="3466">
        <v>-3</v>
      </c>
      <c r="E713" s="3471" t="s">
        <v>4100</v>
      </c>
      <c r="F713" s="3472">
        <v>45.73</v>
      </c>
    </row>
    <row r="714" spans="1:6" ht="13.5" customHeight="1">
      <c r="A714" s="3466">
        <v>712</v>
      </c>
      <c r="B714" s="3467" t="s">
        <v>3389</v>
      </c>
      <c r="C714" s="3466" t="s">
        <v>3390</v>
      </c>
      <c r="D714" s="3466">
        <v>-3</v>
      </c>
      <c r="E714" s="3471" t="s">
        <v>4101</v>
      </c>
      <c r="F714" s="3472">
        <v>45.73</v>
      </c>
    </row>
    <row r="715" spans="1:6" ht="13.5" customHeight="1">
      <c r="A715" s="3466">
        <v>713</v>
      </c>
      <c r="B715" s="3467" t="s">
        <v>3389</v>
      </c>
      <c r="C715" s="3466" t="s">
        <v>3390</v>
      </c>
      <c r="D715" s="3466">
        <v>-3</v>
      </c>
      <c r="E715" s="3471" t="s">
        <v>4102</v>
      </c>
      <c r="F715" s="3472">
        <v>45.73</v>
      </c>
    </row>
    <row r="716" spans="1:6" ht="13.5" customHeight="1">
      <c r="A716" s="3466">
        <v>714</v>
      </c>
      <c r="B716" s="3467" t="s">
        <v>3389</v>
      </c>
      <c r="C716" s="3466" t="s">
        <v>3390</v>
      </c>
      <c r="D716" s="3466">
        <v>-3</v>
      </c>
      <c r="E716" s="3471" t="s">
        <v>4103</v>
      </c>
      <c r="F716" s="3472">
        <v>45.73</v>
      </c>
    </row>
    <row r="717" spans="1:6" ht="13.5" customHeight="1">
      <c r="A717" s="3466">
        <v>715</v>
      </c>
      <c r="B717" s="3467" t="s">
        <v>3389</v>
      </c>
      <c r="C717" s="3466" t="s">
        <v>3390</v>
      </c>
      <c r="D717" s="3466">
        <v>-3</v>
      </c>
      <c r="E717" s="3471" t="s">
        <v>4104</v>
      </c>
      <c r="F717" s="3472">
        <v>45.73</v>
      </c>
    </row>
    <row r="718" spans="1:6" ht="13.5" customHeight="1">
      <c r="A718" s="3466">
        <v>716</v>
      </c>
      <c r="B718" s="3467" t="s">
        <v>3389</v>
      </c>
      <c r="C718" s="3466" t="s">
        <v>3390</v>
      </c>
      <c r="D718" s="3466">
        <v>-3</v>
      </c>
      <c r="E718" s="3471" t="s">
        <v>4105</v>
      </c>
      <c r="F718" s="3472">
        <v>45.73</v>
      </c>
    </row>
    <row r="719" spans="1:6" ht="13.5" customHeight="1">
      <c r="A719" s="3466">
        <v>717</v>
      </c>
      <c r="B719" s="3467" t="s">
        <v>3389</v>
      </c>
      <c r="C719" s="3466" t="s">
        <v>3390</v>
      </c>
      <c r="D719" s="3466">
        <v>-3</v>
      </c>
      <c r="E719" s="3471" t="s">
        <v>4106</v>
      </c>
      <c r="F719" s="3472">
        <v>45.73</v>
      </c>
    </row>
    <row r="720" spans="1:6" ht="13.5" customHeight="1">
      <c r="A720" s="3466">
        <v>718</v>
      </c>
      <c r="B720" s="3467" t="s">
        <v>3389</v>
      </c>
      <c r="C720" s="3466" t="s">
        <v>3390</v>
      </c>
      <c r="D720" s="3466">
        <v>-3</v>
      </c>
      <c r="E720" s="3471" t="s">
        <v>4107</v>
      </c>
      <c r="F720" s="3472">
        <v>45.73</v>
      </c>
    </row>
    <row r="721" spans="1:6" ht="13.5" customHeight="1">
      <c r="A721" s="3466">
        <v>719</v>
      </c>
      <c r="B721" s="3467" t="s">
        <v>3389</v>
      </c>
      <c r="C721" s="3466" t="s">
        <v>3390</v>
      </c>
      <c r="D721" s="3466">
        <v>-3</v>
      </c>
      <c r="E721" s="3471" t="s">
        <v>4108</v>
      </c>
      <c r="F721" s="3472">
        <v>45.73</v>
      </c>
    </row>
    <row r="722" spans="1:6" ht="13.5" customHeight="1">
      <c r="A722" s="3466">
        <v>720</v>
      </c>
      <c r="B722" s="3467" t="s">
        <v>3389</v>
      </c>
      <c r="C722" s="3466" t="s">
        <v>3390</v>
      </c>
      <c r="D722" s="3466">
        <v>-3</v>
      </c>
      <c r="E722" s="3471" t="s">
        <v>4109</v>
      </c>
      <c r="F722" s="3472">
        <v>45.73</v>
      </c>
    </row>
    <row r="723" spans="1:6" ht="13.5" customHeight="1">
      <c r="A723" s="3466">
        <v>721</v>
      </c>
      <c r="B723" s="3467" t="s">
        <v>3389</v>
      </c>
      <c r="C723" s="3466" t="s">
        <v>3390</v>
      </c>
      <c r="D723" s="3466">
        <v>-3</v>
      </c>
      <c r="E723" s="3471" t="s">
        <v>4110</v>
      </c>
      <c r="F723" s="3472">
        <v>45.73</v>
      </c>
    </row>
    <row r="724" spans="1:6" ht="13.5" customHeight="1">
      <c r="A724" s="3466">
        <v>722</v>
      </c>
      <c r="B724" s="3467" t="s">
        <v>3389</v>
      </c>
      <c r="C724" s="3466" t="s">
        <v>3390</v>
      </c>
      <c r="D724" s="3466">
        <v>-3</v>
      </c>
      <c r="E724" s="3471" t="s">
        <v>4111</v>
      </c>
      <c r="F724" s="3472">
        <v>45.73</v>
      </c>
    </row>
    <row r="725" spans="1:6" ht="13.5" customHeight="1">
      <c r="A725" s="3466">
        <v>723</v>
      </c>
      <c r="B725" s="3467" t="s">
        <v>3389</v>
      </c>
      <c r="C725" s="3466" t="s">
        <v>3390</v>
      </c>
      <c r="D725" s="3466">
        <v>-3</v>
      </c>
      <c r="E725" s="3471" t="s">
        <v>4112</v>
      </c>
      <c r="F725" s="3472">
        <v>45.73</v>
      </c>
    </row>
    <row r="726" spans="1:6" ht="13.5" customHeight="1">
      <c r="A726" s="3466">
        <v>724</v>
      </c>
      <c r="B726" s="3467" t="s">
        <v>3389</v>
      </c>
      <c r="C726" s="3466" t="s">
        <v>3390</v>
      </c>
      <c r="D726" s="3466">
        <v>-3</v>
      </c>
      <c r="E726" s="3471" t="s">
        <v>4113</v>
      </c>
      <c r="F726" s="3472">
        <v>45.73</v>
      </c>
    </row>
    <row r="727" spans="1:6" ht="13.5" customHeight="1">
      <c r="A727" s="3466">
        <v>725</v>
      </c>
      <c r="B727" s="3467" t="s">
        <v>3389</v>
      </c>
      <c r="C727" s="3466" t="s">
        <v>3390</v>
      </c>
      <c r="D727" s="3466">
        <v>-3</v>
      </c>
      <c r="E727" s="3471" t="s">
        <v>4114</v>
      </c>
      <c r="F727" s="3472">
        <v>45.73</v>
      </c>
    </row>
    <row r="728" spans="1:6" ht="13.5" customHeight="1">
      <c r="A728" s="3466">
        <v>726</v>
      </c>
      <c r="B728" s="3467" t="s">
        <v>3389</v>
      </c>
      <c r="C728" s="3466" t="s">
        <v>3390</v>
      </c>
      <c r="D728" s="3466">
        <v>-3</v>
      </c>
      <c r="E728" s="3471" t="s">
        <v>4115</v>
      </c>
      <c r="F728" s="3472">
        <v>45.73</v>
      </c>
    </row>
    <row r="729" spans="1:6" ht="13.5" customHeight="1">
      <c r="A729" s="3466">
        <v>727</v>
      </c>
      <c r="B729" s="3467" t="s">
        <v>3389</v>
      </c>
      <c r="C729" s="3466" t="s">
        <v>3390</v>
      </c>
      <c r="D729" s="3466">
        <v>-3</v>
      </c>
      <c r="E729" s="3471" t="s">
        <v>4116</v>
      </c>
      <c r="F729" s="3472">
        <v>45.73</v>
      </c>
    </row>
    <row r="730" spans="1:6" ht="13.5" customHeight="1">
      <c r="A730" s="3466">
        <v>728</v>
      </c>
      <c r="B730" s="3467" t="s">
        <v>3389</v>
      </c>
      <c r="C730" s="3466" t="s">
        <v>3390</v>
      </c>
      <c r="D730" s="3466">
        <v>-3</v>
      </c>
      <c r="E730" s="3471" t="s">
        <v>4117</v>
      </c>
      <c r="F730" s="3472">
        <v>45.73</v>
      </c>
    </row>
    <row r="731" spans="1:6" ht="13.5" customHeight="1">
      <c r="A731" s="3466">
        <v>729</v>
      </c>
      <c r="B731" s="3467" t="s">
        <v>3389</v>
      </c>
      <c r="C731" s="3466" t="s">
        <v>3390</v>
      </c>
      <c r="D731" s="3466">
        <v>-3</v>
      </c>
      <c r="E731" s="3471" t="s">
        <v>4118</v>
      </c>
      <c r="F731" s="3472">
        <v>45.73</v>
      </c>
    </row>
    <row r="732" spans="1:6" ht="13.5" customHeight="1">
      <c r="A732" s="3466">
        <v>730</v>
      </c>
      <c r="B732" s="3467" t="s">
        <v>3389</v>
      </c>
      <c r="C732" s="3466" t="s">
        <v>3390</v>
      </c>
      <c r="D732" s="3466">
        <v>-3</v>
      </c>
      <c r="E732" s="3471" t="s">
        <v>4119</v>
      </c>
      <c r="F732" s="3472">
        <v>45.73</v>
      </c>
    </row>
    <row r="733" spans="1:6" ht="13.5" customHeight="1">
      <c r="A733" s="3466">
        <v>731</v>
      </c>
      <c r="B733" s="3467" t="s">
        <v>3389</v>
      </c>
      <c r="C733" s="3466" t="s">
        <v>3390</v>
      </c>
      <c r="D733" s="3466">
        <v>-3</v>
      </c>
      <c r="E733" s="3471" t="s">
        <v>4120</v>
      </c>
      <c r="F733" s="3472">
        <v>45.73</v>
      </c>
    </row>
    <row r="734" spans="1:6" ht="13.5" customHeight="1">
      <c r="A734" s="3466">
        <v>732</v>
      </c>
      <c r="B734" s="3467" t="s">
        <v>3389</v>
      </c>
      <c r="C734" s="3466" t="s">
        <v>3390</v>
      </c>
      <c r="D734" s="3466">
        <v>-3</v>
      </c>
      <c r="E734" s="3471" t="s">
        <v>4121</v>
      </c>
      <c r="F734" s="3472">
        <v>45.73</v>
      </c>
    </row>
    <row r="735" spans="1:6" ht="13.5" customHeight="1">
      <c r="A735" s="3466">
        <v>733</v>
      </c>
      <c r="B735" s="3467" t="s">
        <v>3389</v>
      </c>
      <c r="C735" s="3466" t="s">
        <v>3390</v>
      </c>
      <c r="D735" s="3466">
        <v>-3</v>
      </c>
      <c r="E735" s="3471" t="s">
        <v>4122</v>
      </c>
      <c r="F735" s="3472">
        <v>45.73</v>
      </c>
    </row>
    <row r="736" spans="1:6" ht="13.5" customHeight="1">
      <c r="A736" s="3466">
        <v>734</v>
      </c>
      <c r="B736" s="3467" t="s">
        <v>3389</v>
      </c>
      <c r="C736" s="3466" t="s">
        <v>3390</v>
      </c>
      <c r="D736" s="3466">
        <v>-3</v>
      </c>
      <c r="E736" s="3471" t="s">
        <v>4123</v>
      </c>
      <c r="F736" s="3472">
        <v>45.73</v>
      </c>
    </row>
    <row r="737" spans="1:6" ht="13.5" customHeight="1">
      <c r="A737" s="3466">
        <v>735</v>
      </c>
      <c r="B737" s="3467" t="s">
        <v>3389</v>
      </c>
      <c r="C737" s="3466" t="s">
        <v>3390</v>
      </c>
      <c r="D737" s="3466">
        <v>-3</v>
      </c>
      <c r="E737" s="3471" t="s">
        <v>4124</v>
      </c>
      <c r="F737" s="3472">
        <v>45.73</v>
      </c>
    </row>
    <row r="738" spans="1:6" ht="13.5" customHeight="1">
      <c r="A738" s="3466">
        <v>736</v>
      </c>
      <c r="B738" s="3467" t="s">
        <v>3389</v>
      </c>
      <c r="C738" s="3466" t="s">
        <v>3390</v>
      </c>
      <c r="D738" s="3466">
        <v>-3</v>
      </c>
      <c r="E738" s="3471" t="s">
        <v>4125</v>
      </c>
      <c r="F738" s="3472">
        <v>45.73</v>
      </c>
    </row>
    <row r="739" spans="1:6" ht="13.5" customHeight="1">
      <c r="A739" s="3466">
        <v>737</v>
      </c>
      <c r="B739" s="3467" t="s">
        <v>3389</v>
      </c>
      <c r="C739" s="3466" t="s">
        <v>3390</v>
      </c>
      <c r="D739" s="3466">
        <v>-3</v>
      </c>
      <c r="E739" s="3471" t="s">
        <v>4126</v>
      </c>
      <c r="F739" s="3472">
        <v>45.73</v>
      </c>
    </row>
    <row r="740" spans="1:6" ht="13.5" customHeight="1">
      <c r="A740" s="3466">
        <v>738</v>
      </c>
      <c r="B740" s="3467" t="s">
        <v>3389</v>
      </c>
      <c r="C740" s="3466" t="s">
        <v>3390</v>
      </c>
      <c r="D740" s="3466">
        <v>-3</v>
      </c>
      <c r="E740" s="3471" t="s">
        <v>4127</v>
      </c>
      <c r="F740" s="3472">
        <v>45.73</v>
      </c>
    </row>
    <row r="741" spans="1:6" ht="13.5" customHeight="1">
      <c r="A741" s="3466">
        <v>739</v>
      </c>
      <c r="B741" s="3467" t="s">
        <v>3389</v>
      </c>
      <c r="C741" s="3466" t="s">
        <v>3390</v>
      </c>
      <c r="D741" s="3466">
        <v>-3</v>
      </c>
      <c r="E741" s="3471" t="s">
        <v>4128</v>
      </c>
      <c r="F741" s="3472">
        <v>45.73</v>
      </c>
    </row>
    <row r="742" spans="1:6" ht="13.5" customHeight="1">
      <c r="A742" s="3466">
        <v>740</v>
      </c>
      <c r="B742" s="3467" t="s">
        <v>3389</v>
      </c>
      <c r="C742" s="3466" t="s">
        <v>3390</v>
      </c>
      <c r="D742" s="3466">
        <v>-3</v>
      </c>
      <c r="E742" s="3471" t="s">
        <v>4129</v>
      </c>
      <c r="F742" s="3472">
        <v>45.73</v>
      </c>
    </row>
    <row r="743" spans="1:6" ht="13.5" customHeight="1">
      <c r="A743" s="3466">
        <v>741</v>
      </c>
      <c r="B743" s="3467" t="s">
        <v>3389</v>
      </c>
      <c r="C743" s="3466" t="s">
        <v>3390</v>
      </c>
      <c r="D743" s="3466">
        <v>-3</v>
      </c>
      <c r="E743" s="3471" t="s">
        <v>4130</v>
      </c>
      <c r="F743" s="3472">
        <v>45.73</v>
      </c>
    </row>
    <row r="744" spans="1:6" ht="13.5" customHeight="1">
      <c r="A744" s="3466">
        <v>742</v>
      </c>
      <c r="B744" s="3467" t="s">
        <v>3389</v>
      </c>
      <c r="C744" s="3466" t="s">
        <v>3390</v>
      </c>
      <c r="D744" s="3466">
        <v>-3</v>
      </c>
      <c r="E744" s="3471" t="s">
        <v>4131</v>
      </c>
      <c r="F744" s="3472">
        <v>45.73</v>
      </c>
    </row>
    <row r="745" spans="1:6" ht="13.5" customHeight="1">
      <c r="A745" s="3466">
        <v>743</v>
      </c>
      <c r="B745" s="3467" t="s">
        <v>3389</v>
      </c>
      <c r="C745" s="3466" t="s">
        <v>3390</v>
      </c>
      <c r="D745" s="3466">
        <v>-3</v>
      </c>
      <c r="E745" s="3471" t="s">
        <v>4132</v>
      </c>
      <c r="F745" s="3472">
        <v>45.73</v>
      </c>
    </row>
    <row r="746" spans="1:6" ht="13.5" customHeight="1">
      <c r="A746" s="3466">
        <v>744</v>
      </c>
      <c r="B746" s="3467" t="s">
        <v>3389</v>
      </c>
      <c r="C746" s="3466" t="s">
        <v>3390</v>
      </c>
      <c r="D746" s="3466">
        <v>-3</v>
      </c>
      <c r="E746" s="3471" t="s">
        <v>4133</v>
      </c>
      <c r="F746" s="3472">
        <v>45.73</v>
      </c>
    </row>
    <row r="747" spans="1:6" ht="13.5" customHeight="1">
      <c r="A747" s="3466">
        <v>745</v>
      </c>
      <c r="B747" s="3467" t="s">
        <v>3389</v>
      </c>
      <c r="C747" s="3466" t="s">
        <v>3390</v>
      </c>
      <c r="D747" s="3466">
        <v>-3</v>
      </c>
      <c r="E747" s="3471" t="s">
        <v>4134</v>
      </c>
      <c r="F747" s="3472">
        <v>45.73</v>
      </c>
    </row>
    <row r="748" spans="1:6" ht="13.5" customHeight="1">
      <c r="A748" s="3466">
        <v>746</v>
      </c>
      <c r="B748" s="3467" t="s">
        <v>3389</v>
      </c>
      <c r="C748" s="3466" t="s">
        <v>3390</v>
      </c>
      <c r="D748" s="3466">
        <v>-3</v>
      </c>
      <c r="E748" s="3471" t="s">
        <v>4135</v>
      </c>
      <c r="F748" s="3472">
        <v>45.73</v>
      </c>
    </row>
    <row r="749" spans="1:6" ht="13.5" customHeight="1">
      <c r="A749" s="3466">
        <v>747</v>
      </c>
      <c r="B749" s="3467" t="s">
        <v>3389</v>
      </c>
      <c r="C749" s="3466" t="s">
        <v>3390</v>
      </c>
      <c r="D749" s="3466">
        <v>-3</v>
      </c>
      <c r="E749" s="3471" t="s">
        <v>4136</v>
      </c>
      <c r="F749" s="3472">
        <v>45.73</v>
      </c>
    </row>
    <row r="750" spans="1:6" ht="13.5" customHeight="1">
      <c r="A750" s="3466">
        <v>748</v>
      </c>
      <c r="B750" s="3467" t="s">
        <v>3389</v>
      </c>
      <c r="C750" s="3466" t="s">
        <v>3390</v>
      </c>
      <c r="D750" s="3466">
        <v>-3</v>
      </c>
      <c r="E750" s="3471" t="s">
        <v>4137</v>
      </c>
      <c r="F750" s="3472">
        <v>45.73</v>
      </c>
    </row>
    <row r="751" spans="1:6" ht="13.5" customHeight="1">
      <c r="A751" s="3466">
        <v>749</v>
      </c>
      <c r="B751" s="3467" t="s">
        <v>3389</v>
      </c>
      <c r="C751" s="3466" t="s">
        <v>3390</v>
      </c>
      <c r="D751" s="3466">
        <v>-3</v>
      </c>
      <c r="E751" s="3471" t="s">
        <v>4138</v>
      </c>
      <c r="F751" s="3472">
        <v>45.73</v>
      </c>
    </row>
    <row r="752" spans="1:6" ht="13.5" customHeight="1">
      <c r="A752" s="3466">
        <v>750</v>
      </c>
      <c r="B752" s="3467" t="s">
        <v>3389</v>
      </c>
      <c r="C752" s="3466" t="s">
        <v>3390</v>
      </c>
      <c r="D752" s="3466">
        <v>-3</v>
      </c>
      <c r="E752" s="3471" t="s">
        <v>4139</v>
      </c>
      <c r="F752" s="3472">
        <v>45.73</v>
      </c>
    </row>
    <row r="753" spans="1:6" ht="13.5" customHeight="1">
      <c r="A753" s="3466">
        <v>751</v>
      </c>
      <c r="B753" s="3467" t="s">
        <v>3389</v>
      </c>
      <c r="C753" s="3466" t="s">
        <v>3390</v>
      </c>
      <c r="D753" s="3466">
        <v>-3</v>
      </c>
      <c r="E753" s="3471" t="s">
        <v>4140</v>
      </c>
      <c r="F753" s="3472">
        <v>45.73</v>
      </c>
    </row>
    <row r="754" spans="1:6" ht="13.5" customHeight="1">
      <c r="A754" s="3466">
        <v>752</v>
      </c>
      <c r="B754" s="3467" t="s">
        <v>3389</v>
      </c>
      <c r="C754" s="3466" t="s">
        <v>3390</v>
      </c>
      <c r="D754" s="3466">
        <v>-3</v>
      </c>
      <c r="E754" s="3471" t="s">
        <v>4141</v>
      </c>
      <c r="F754" s="3472">
        <v>45.73</v>
      </c>
    </row>
    <row r="755" spans="1:6" ht="13.5" customHeight="1">
      <c r="A755" s="3466">
        <v>753</v>
      </c>
      <c r="B755" s="3467" t="s">
        <v>3389</v>
      </c>
      <c r="C755" s="3466" t="s">
        <v>3390</v>
      </c>
      <c r="D755" s="3466">
        <v>-3</v>
      </c>
      <c r="E755" s="3471" t="s">
        <v>4142</v>
      </c>
      <c r="F755" s="3472">
        <v>45.73</v>
      </c>
    </row>
    <row r="756" spans="1:6" ht="13.5" customHeight="1">
      <c r="A756" s="3466">
        <v>754</v>
      </c>
      <c r="B756" s="3467" t="s">
        <v>3389</v>
      </c>
      <c r="C756" s="3466" t="s">
        <v>3390</v>
      </c>
      <c r="D756" s="3466">
        <v>-3</v>
      </c>
      <c r="E756" s="3471" t="s">
        <v>4143</v>
      </c>
      <c r="F756" s="3472">
        <v>45.73</v>
      </c>
    </row>
    <row r="757" spans="1:6" ht="13.5" customHeight="1">
      <c r="A757" s="3466">
        <v>755</v>
      </c>
      <c r="B757" s="3467" t="s">
        <v>3389</v>
      </c>
      <c r="C757" s="3466" t="s">
        <v>3390</v>
      </c>
      <c r="D757" s="3466">
        <v>-3</v>
      </c>
      <c r="E757" s="3471" t="s">
        <v>4144</v>
      </c>
      <c r="F757" s="3472">
        <v>45.73</v>
      </c>
    </row>
    <row r="758" spans="1:6" ht="13.5" customHeight="1">
      <c r="A758" s="3466">
        <v>756</v>
      </c>
      <c r="B758" s="3467" t="s">
        <v>3389</v>
      </c>
      <c r="C758" s="3466" t="s">
        <v>3390</v>
      </c>
      <c r="D758" s="3466">
        <v>-3</v>
      </c>
      <c r="E758" s="3471" t="s">
        <v>4145</v>
      </c>
      <c r="F758" s="3472">
        <v>45.73</v>
      </c>
    </row>
    <row r="759" spans="1:6" ht="13.5" customHeight="1">
      <c r="A759" s="3466">
        <v>757</v>
      </c>
      <c r="B759" s="3467" t="s">
        <v>3389</v>
      </c>
      <c r="C759" s="3466" t="s">
        <v>3390</v>
      </c>
      <c r="D759" s="3466">
        <v>-3</v>
      </c>
      <c r="E759" s="3471" t="s">
        <v>4146</v>
      </c>
      <c r="F759" s="3472">
        <v>45.73</v>
      </c>
    </row>
    <row r="760" spans="1:6" ht="13.5" customHeight="1">
      <c r="A760" s="3466">
        <v>758</v>
      </c>
      <c r="B760" s="3467" t="s">
        <v>3389</v>
      </c>
      <c r="C760" s="3466" t="s">
        <v>3390</v>
      </c>
      <c r="D760" s="3466">
        <v>-3</v>
      </c>
      <c r="E760" s="3471" t="s">
        <v>4147</v>
      </c>
      <c r="F760" s="3472">
        <v>45.73</v>
      </c>
    </row>
    <row r="761" spans="1:6" ht="13.5" customHeight="1">
      <c r="A761" s="3466">
        <v>759</v>
      </c>
      <c r="B761" s="3467" t="s">
        <v>3389</v>
      </c>
      <c r="C761" s="3466" t="s">
        <v>3390</v>
      </c>
      <c r="D761" s="3466">
        <v>-3</v>
      </c>
      <c r="E761" s="3471" t="s">
        <v>4148</v>
      </c>
      <c r="F761" s="3472">
        <v>45.73</v>
      </c>
    </row>
    <row r="762" spans="1:6" ht="13.5" customHeight="1">
      <c r="A762" s="3466">
        <v>760</v>
      </c>
      <c r="B762" s="3467" t="s">
        <v>3389</v>
      </c>
      <c r="C762" s="3466" t="s">
        <v>3390</v>
      </c>
      <c r="D762" s="3466">
        <v>-3</v>
      </c>
      <c r="E762" s="3471" t="s">
        <v>4149</v>
      </c>
      <c r="F762" s="3472">
        <v>45.73</v>
      </c>
    </row>
    <row r="763" spans="1:6" ht="13.5" customHeight="1">
      <c r="A763" s="3466">
        <v>761</v>
      </c>
      <c r="B763" s="3467" t="s">
        <v>3389</v>
      </c>
      <c r="C763" s="3466" t="s">
        <v>3390</v>
      </c>
      <c r="D763" s="3466">
        <v>-3</v>
      </c>
      <c r="E763" s="3471" t="s">
        <v>4150</v>
      </c>
      <c r="F763" s="3472">
        <v>45.73</v>
      </c>
    </row>
    <row r="764" spans="1:6" ht="13.5" customHeight="1">
      <c r="A764" s="3466">
        <v>762</v>
      </c>
      <c r="B764" s="3467" t="s">
        <v>3389</v>
      </c>
      <c r="C764" s="3466" t="s">
        <v>3390</v>
      </c>
      <c r="D764" s="3466">
        <v>-3</v>
      </c>
      <c r="E764" s="3471" t="s">
        <v>4151</v>
      </c>
      <c r="F764" s="3472">
        <v>45.73</v>
      </c>
    </row>
    <row r="765" spans="1:6" ht="13.5" customHeight="1">
      <c r="A765" s="3466">
        <v>763</v>
      </c>
      <c r="B765" s="3467" t="s">
        <v>3389</v>
      </c>
      <c r="C765" s="3466" t="s">
        <v>3390</v>
      </c>
      <c r="D765" s="3466">
        <v>-3</v>
      </c>
      <c r="E765" s="3471" t="s">
        <v>4152</v>
      </c>
      <c r="F765" s="3472">
        <v>45.73</v>
      </c>
    </row>
    <row r="766" spans="1:6" ht="13.5" customHeight="1">
      <c r="A766" s="3466">
        <v>764</v>
      </c>
      <c r="B766" s="3467" t="s">
        <v>3389</v>
      </c>
      <c r="C766" s="3466" t="s">
        <v>3390</v>
      </c>
      <c r="D766" s="3466">
        <v>-3</v>
      </c>
      <c r="E766" s="3471" t="s">
        <v>4153</v>
      </c>
      <c r="F766" s="3472">
        <v>45.73</v>
      </c>
    </row>
    <row r="767" spans="1:6" ht="13.5" customHeight="1">
      <c r="A767" s="3466">
        <v>765</v>
      </c>
      <c r="B767" s="3467" t="s">
        <v>3389</v>
      </c>
      <c r="C767" s="3466" t="s">
        <v>3390</v>
      </c>
      <c r="D767" s="3466">
        <v>-3</v>
      </c>
      <c r="E767" s="3471" t="s">
        <v>4154</v>
      </c>
      <c r="F767" s="3472">
        <v>45.73</v>
      </c>
    </row>
    <row r="768" spans="1:6" ht="13.5" customHeight="1">
      <c r="A768" s="3466">
        <v>766</v>
      </c>
      <c r="B768" s="3467" t="s">
        <v>3389</v>
      </c>
      <c r="C768" s="3466" t="s">
        <v>3390</v>
      </c>
      <c r="D768" s="3466">
        <v>-3</v>
      </c>
      <c r="E768" s="3471" t="s">
        <v>4155</v>
      </c>
      <c r="F768" s="3472">
        <v>45.73</v>
      </c>
    </row>
    <row r="769" spans="1:6" ht="13.5" customHeight="1">
      <c r="A769" s="3466">
        <v>767</v>
      </c>
      <c r="B769" s="3467" t="s">
        <v>3389</v>
      </c>
      <c r="C769" s="3466" t="s">
        <v>3390</v>
      </c>
      <c r="D769" s="3466">
        <v>-3</v>
      </c>
      <c r="E769" s="3471" t="s">
        <v>4156</v>
      </c>
      <c r="F769" s="3472">
        <v>45.73</v>
      </c>
    </row>
    <row r="770" spans="1:6" ht="13.5" customHeight="1">
      <c r="A770" s="3466">
        <v>768</v>
      </c>
      <c r="B770" s="3467" t="s">
        <v>3389</v>
      </c>
      <c r="C770" s="3466" t="s">
        <v>3390</v>
      </c>
      <c r="D770" s="3466">
        <v>-3</v>
      </c>
      <c r="E770" s="3471" t="s">
        <v>4157</v>
      </c>
      <c r="F770" s="3472">
        <v>45.73</v>
      </c>
    </row>
    <row r="771" spans="1:6" ht="13.5" customHeight="1">
      <c r="A771" s="3466">
        <v>769</v>
      </c>
      <c r="B771" s="3467" t="s">
        <v>3389</v>
      </c>
      <c r="C771" s="3466" t="s">
        <v>3390</v>
      </c>
      <c r="D771" s="3466">
        <v>-3</v>
      </c>
      <c r="E771" s="3471" t="s">
        <v>4158</v>
      </c>
      <c r="F771" s="3472">
        <v>45.73</v>
      </c>
    </row>
    <row r="772" spans="1:6" ht="13.5" customHeight="1">
      <c r="A772" s="3466">
        <v>770</v>
      </c>
      <c r="B772" s="3467" t="s">
        <v>3389</v>
      </c>
      <c r="C772" s="3466" t="s">
        <v>3390</v>
      </c>
      <c r="D772" s="3466">
        <v>-3</v>
      </c>
      <c r="E772" s="3471" t="s">
        <v>4159</v>
      </c>
      <c r="F772" s="3472">
        <v>45.73</v>
      </c>
    </row>
    <row r="773" spans="1:6" ht="13.5" customHeight="1">
      <c r="A773" s="3466">
        <v>771</v>
      </c>
      <c r="B773" s="3467" t="s">
        <v>3389</v>
      </c>
      <c r="C773" s="3466" t="s">
        <v>3390</v>
      </c>
      <c r="D773" s="3466">
        <v>-3</v>
      </c>
      <c r="E773" s="3471" t="s">
        <v>4160</v>
      </c>
      <c r="F773" s="3472">
        <v>45.73</v>
      </c>
    </row>
    <row r="774" spans="1:6" ht="13.5" customHeight="1">
      <c r="A774" s="3466">
        <v>772</v>
      </c>
      <c r="B774" s="3467" t="s">
        <v>3389</v>
      </c>
      <c r="C774" s="3466" t="s">
        <v>3390</v>
      </c>
      <c r="D774" s="3466">
        <v>-3</v>
      </c>
      <c r="E774" s="3471" t="s">
        <v>4161</v>
      </c>
      <c r="F774" s="3472">
        <v>45.73</v>
      </c>
    </row>
    <row r="775" spans="1:6" ht="13.5" customHeight="1">
      <c r="A775" s="3466">
        <v>773</v>
      </c>
      <c r="B775" s="3467" t="s">
        <v>3389</v>
      </c>
      <c r="C775" s="3466" t="s">
        <v>3390</v>
      </c>
      <c r="D775" s="3466">
        <v>-3</v>
      </c>
      <c r="E775" s="3471" t="s">
        <v>4162</v>
      </c>
      <c r="F775" s="3472">
        <v>45.73</v>
      </c>
    </row>
    <row r="776" spans="1:6" ht="13.5" customHeight="1">
      <c r="A776" s="3466">
        <v>774</v>
      </c>
      <c r="B776" s="3467" t="s">
        <v>3389</v>
      </c>
      <c r="C776" s="3466" t="s">
        <v>3390</v>
      </c>
      <c r="D776" s="3466">
        <v>-3</v>
      </c>
      <c r="E776" s="3471" t="s">
        <v>4163</v>
      </c>
      <c r="F776" s="3472">
        <v>45.73</v>
      </c>
    </row>
    <row r="777" spans="1:6" ht="13.5" customHeight="1">
      <c r="A777" s="3466">
        <v>775</v>
      </c>
      <c r="B777" s="3467" t="s">
        <v>3389</v>
      </c>
      <c r="C777" s="3466" t="s">
        <v>3390</v>
      </c>
      <c r="D777" s="3466">
        <v>-3</v>
      </c>
      <c r="E777" s="3471" t="s">
        <v>4164</v>
      </c>
      <c r="F777" s="3472">
        <v>45.73</v>
      </c>
    </row>
    <row r="778" spans="1:6" ht="13.5" customHeight="1">
      <c r="A778" s="3466">
        <v>776</v>
      </c>
      <c r="B778" s="3467" t="s">
        <v>3389</v>
      </c>
      <c r="C778" s="3466" t="s">
        <v>3390</v>
      </c>
      <c r="D778" s="3466">
        <v>-3</v>
      </c>
      <c r="E778" s="3471" t="s">
        <v>4165</v>
      </c>
      <c r="F778" s="3472">
        <v>45.73</v>
      </c>
    </row>
    <row r="779" spans="1:6" ht="13.5" customHeight="1">
      <c r="A779" s="3466">
        <v>777</v>
      </c>
      <c r="B779" s="3467" t="s">
        <v>3389</v>
      </c>
      <c r="C779" s="3466" t="s">
        <v>3390</v>
      </c>
      <c r="D779" s="3466">
        <v>-3</v>
      </c>
      <c r="E779" s="3471" t="s">
        <v>4166</v>
      </c>
      <c r="F779" s="3472">
        <v>45.73</v>
      </c>
    </row>
    <row r="780" spans="1:6" ht="13.5" customHeight="1">
      <c r="A780" s="3466">
        <v>778</v>
      </c>
      <c r="B780" s="3467" t="s">
        <v>3389</v>
      </c>
      <c r="C780" s="3466" t="s">
        <v>3390</v>
      </c>
      <c r="D780" s="3466">
        <v>-3</v>
      </c>
      <c r="E780" s="3471" t="s">
        <v>4167</v>
      </c>
      <c r="F780" s="3472">
        <v>45.73</v>
      </c>
    </row>
    <row r="781" spans="1:6" ht="13.5" customHeight="1">
      <c r="A781" s="3466">
        <v>779</v>
      </c>
      <c r="B781" s="3467" t="s">
        <v>3389</v>
      </c>
      <c r="C781" s="3466" t="s">
        <v>3390</v>
      </c>
      <c r="D781" s="3466">
        <v>-3</v>
      </c>
      <c r="E781" s="3471" t="s">
        <v>4168</v>
      </c>
      <c r="F781" s="3472">
        <v>45.73</v>
      </c>
    </row>
    <row r="782" spans="1:6" ht="13.5" customHeight="1">
      <c r="A782" s="3466">
        <v>780</v>
      </c>
      <c r="B782" s="3467" t="s">
        <v>3389</v>
      </c>
      <c r="C782" s="3466" t="s">
        <v>3390</v>
      </c>
      <c r="D782" s="3466">
        <v>-3</v>
      </c>
      <c r="E782" s="3471" t="s">
        <v>4169</v>
      </c>
      <c r="F782" s="3472">
        <v>45.73</v>
      </c>
    </row>
    <row r="783" spans="1:6" ht="13.5" customHeight="1">
      <c r="A783" s="3466">
        <v>781</v>
      </c>
      <c r="B783" s="3467" t="s">
        <v>3389</v>
      </c>
      <c r="C783" s="3466" t="s">
        <v>3390</v>
      </c>
      <c r="D783" s="3466">
        <v>-3</v>
      </c>
      <c r="E783" s="3471" t="s">
        <v>4170</v>
      </c>
      <c r="F783" s="3472">
        <v>45.73</v>
      </c>
    </row>
    <row r="784" spans="1:6" ht="13.5" customHeight="1">
      <c r="A784" s="3466">
        <v>782</v>
      </c>
      <c r="B784" s="3467" t="s">
        <v>3389</v>
      </c>
      <c r="C784" s="3466" t="s">
        <v>3390</v>
      </c>
      <c r="D784" s="3466">
        <v>-3</v>
      </c>
      <c r="E784" s="3471" t="s">
        <v>4171</v>
      </c>
      <c r="F784" s="3472">
        <v>45.73</v>
      </c>
    </row>
    <row r="785" spans="1:6" ht="13.5" customHeight="1">
      <c r="A785" s="3466">
        <v>783</v>
      </c>
      <c r="B785" s="3467" t="s">
        <v>3389</v>
      </c>
      <c r="C785" s="3466" t="s">
        <v>3390</v>
      </c>
      <c r="D785" s="3466">
        <v>-3</v>
      </c>
      <c r="E785" s="3471" t="s">
        <v>4172</v>
      </c>
      <c r="F785" s="3472">
        <v>45.73</v>
      </c>
    </row>
    <row r="786" spans="1:6" ht="13.5" customHeight="1">
      <c r="A786" s="3466">
        <v>784</v>
      </c>
      <c r="B786" s="3467" t="s">
        <v>3389</v>
      </c>
      <c r="C786" s="3466" t="s">
        <v>3390</v>
      </c>
      <c r="D786" s="3466">
        <v>-3</v>
      </c>
      <c r="E786" s="3471" t="s">
        <v>4173</v>
      </c>
      <c r="F786" s="3472">
        <v>45.73</v>
      </c>
    </row>
    <row r="787" spans="1:6" ht="13.5" customHeight="1">
      <c r="A787" s="3466">
        <v>785</v>
      </c>
      <c r="B787" s="3467" t="s">
        <v>3389</v>
      </c>
      <c r="C787" s="3466" t="s">
        <v>3390</v>
      </c>
      <c r="D787" s="3466">
        <v>-3</v>
      </c>
      <c r="E787" s="3471" t="s">
        <v>4174</v>
      </c>
      <c r="F787" s="3472">
        <v>45.73</v>
      </c>
    </row>
    <row r="788" spans="1:6" ht="13.5" customHeight="1">
      <c r="A788" s="3466">
        <v>786</v>
      </c>
      <c r="B788" s="3467" t="s">
        <v>3389</v>
      </c>
      <c r="C788" s="3466" t="s">
        <v>3390</v>
      </c>
      <c r="D788" s="3466">
        <v>-3</v>
      </c>
      <c r="E788" s="3471" t="s">
        <v>4175</v>
      </c>
      <c r="F788" s="3472">
        <v>45.73</v>
      </c>
    </row>
    <row r="789" spans="1:6" ht="13.5" customHeight="1">
      <c r="A789" s="3466">
        <v>787</v>
      </c>
      <c r="B789" s="3467" t="s">
        <v>3389</v>
      </c>
      <c r="C789" s="3466" t="s">
        <v>3390</v>
      </c>
      <c r="D789" s="3466">
        <v>-3</v>
      </c>
      <c r="E789" s="3471" t="s">
        <v>4176</v>
      </c>
      <c r="F789" s="3472">
        <v>45.73</v>
      </c>
    </row>
    <row r="790" spans="1:6" ht="13.5" customHeight="1">
      <c r="A790" s="3466">
        <v>788</v>
      </c>
      <c r="B790" s="3467" t="s">
        <v>3389</v>
      </c>
      <c r="C790" s="3466" t="s">
        <v>3390</v>
      </c>
      <c r="D790" s="3466">
        <v>-3</v>
      </c>
      <c r="E790" s="3471" t="s">
        <v>4177</v>
      </c>
      <c r="F790" s="3472">
        <v>45.73</v>
      </c>
    </row>
    <row r="791" spans="1:6" ht="13.5" customHeight="1">
      <c r="A791" s="3466">
        <v>789</v>
      </c>
      <c r="B791" s="3467" t="s">
        <v>3389</v>
      </c>
      <c r="C791" s="3466" t="s">
        <v>3390</v>
      </c>
      <c r="D791" s="3466">
        <v>-3</v>
      </c>
      <c r="E791" s="3471" t="s">
        <v>4178</v>
      </c>
      <c r="F791" s="3472">
        <v>45.73</v>
      </c>
    </row>
    <row r="792" spans="1:6" ht="13.5" customHeight="1">
      <c r="A792" s="3466">
        <v>790</v>
      </c>
      <c r="B792" s="3467" t="s">
        <v>3389</v>
      </c>
      <c r="C792" s="3466" t="s">
        <v>3390</v>
      </c>
      <c r="D792" s="3466">
        <v>-3</v>
      </c>
      <c r="E792" s="3471" t="s">
        <v>4179</v>
      </c>
      <c r="F792" s="3472">
        <v>45.73</v>
      </c>
    </row>
    <row r="793" spans="1:6" ht="13.5" customHeight="1">
      <c r="A793" s="3466">
        <v>791</v>
      </c>
      <c r="B793" s="3467" t="s">
        <v>3389</v>
      </c>
      <c r="C793" s="3466" t="s">
        <v>3390</v>
      </c>
      <c r="D793" s="3466">
        <v>-3</v>
      </c>
      <c r="E793" s="3471" t="s">
        <v>4180</v>
      </c>
      <c r="F793" s="3472">
        <v>45.73</v>
      </c>
    </row>
    <row r="794" spans="1:6" ht="13.5" customHeight="1">
      <c r="A794" s="3466">
        <v>792</v>
      </c>
      <c r="B794" s="3467" t="s">
        <v>3389</v>
      </c>
      <c r="C794" s="3466" t="s">
        <v>3390</v>
      </c>
      <c r="D794" s="3466">
        <v>-3</v>
      </c>
      <c r="E794" s="3471" t="s">
        <v>4181</v>
      </c>
      <c r="F794" s="3472">
        <v>45.73</v>
      </c>
    </row>
    <row r="795" spans="1:6" ht="13.5" customHeight="1">
      <c r="A795" s="3466">
        <v>793</v>
      </c>
      <c r="B795" s="3467" t="s">
        <v>3389</v>
      </c>
      <c r="C795" s="3466" t="s">
        <v>3390</v>
      </c>
      <c r="D795" s="3466">
        <v>-3</v>
      </c>
      <c r="E795" s="3471" t="s">
        <v>4182</v>
      </c>
      <c r="F795" s="3472">
        <v>45.73</v>
      </c>
    </row>
    <row r="796" spans="1:6" ht="13.5" customHeight="1">
      <c r="A796" s="3466">
        <v>794</v>
      </c>
      <c r="B796" s="3467" t="s">
        <v>3389</v>
      </c>
      <c r="C796" s="3466" t="s">
        <v>3390</v>
      </c>
      <c r="D796" s="3466">
        <v>-3</v>
      </c>
      <c r="E796" s="3471" t="s">
        <v>4183</v>
      </c>
      <c r="F796" s="3472">
        <v>45.73</v>
      </c>
    </row>
    <row r="797" spans="1:6" ht="13.5" customHeight="1">
      <c r="A797" s="3466">
        <v>795</v>
      </c>
      <c r="B797" s="3467" t="s">
        <v>3389</v>
      </c>
      <c r="C797" s="3466" t="s">
        <v>3390</v>
      </c>
      <c r="D797" s="3466">
        <v>-3</v>
      </c>
      <c r="E797" s="3471" t="s">
        <v>4184</v>
      </c>
      <c r="F797" s="3472">
        <v>45.73</v>
      </c>
    </row>
    <row r="798" spans="1:6" ht="13.5" customHeight="1">
      <c r="A798" s="3466">
        <v>796</v>
      </c>
      <c r="B798" s="3467" t="s">
        <v>3389</v>
      </c>
      <c r="C798" s="3466" t="s">
        <v>3390</v>
      </c>
      <c r="D798" s="3466">
        <v>-3</v>
      </c>
      <c r="E798" s="3471" t="s">
        <v>4185</v>
      </c>
      <c r="F798" s="3472">
        <v>45.73</v>
      </c>
    </row>
    <row r="799" spans="1:6" ht="13.5" customHeight="1">
      <c r="A799" s="3466">
        <v>797</v>
      </c>
      <c r="B799" s="3467" t="s">
        <v>3389</v>
      </c>
      <c r="C799" s="3466" t="s">
        <v>3390</v>
      </c>
      <c r="D799" s="3466">
        <v>-3</v>
      </c>
      <c r="E799" s="3471" t="s">
        <v>4186</v>
      </c>
      <c r="F799" s="3472">
        <v>45.73</v>
      </c>
    </row>
    <row r="800" spans="1:6" ht="13.5" customHeight="1">
      <c r="A800" s="3466">
        <v>798</v>
      </c>
      <c r="B800" s="3467" t="s">
        <v>3389</v>
      </c>
      <c r="C800" s="3466" t="s">
        <v>3390</v>
      </c>
      <c r="D800" s="3466">
        <v>-3</v>
      </c>
      <c r="E800" s="3471" t="s">
        <v>4187</v>
      </c>
      <c r="F800" s="3472">
        <v>45.73</v>
      </c>
    </row>
    <row r="801" spans="1:6" ht="13.5" customHeight="1">
      <c r="A801" s="3466">
        <v>799</v>
      </c>
      <c r="B801" s="3467" t="s">
        <v>3389</v>
      </c>
      <c r="C801" s="3466" t="s">
        <v>3390</v>
      </c>
      <c r="D801" s="3466">
        <v>-3</v>
      </c>
      <c r="E801" s="3471" t="s">
        <v>4188</v>
      </c>
      <c r="F801" s="3472">
        <v>45.73</v>
      </c>
    </row>
    <row r="802" spans="1:6" ht="13.5" customHeight="1">
      <c r="A802" s="3466">
        <v>800</v>
      </c>
      <c r="B802" s="3467" t="s">
        <v>3389</v>
      </c>
      <c r="C802" s="3466" t="s">
        <v>3390</v>
      </c>
      <c r="D802" s="3466">
        <v>-3</v>
      </c>
      <c r="E802" s="3471" t="s">
        <v>4189</v>
      </c>
      <c r="F802" s="3472">
        <v>45.73</v>
      </c>
    </row>
    <row r="803" spans="1:6" ht="13.5" customHeight="1">
      <c r="A803" s="3466">
        <v>801</v>
      </c>
      <c r="B803" s="3467" t="s">
        <v>3389</v>
      </c>
      <c r="C803" s="3466" t="s">
        <v>3390</v>
      </c>
      <c r="D803" s="3466">
        <v>-3</v>
      </c>
      <c r="E803" s="3471" t="s">
        <v>4190</v>
      </c>
      <c r="F803" s="3472">
        <v>45.73</v>
      </c>
    </row>
    <row r="804" spans="1:6" ht="13.5" customHeight="1">
      <c r="A804" s="3466">
        <v>802</v>
      </c>
      <c r="B804" s="3467" t="s">
        <v>3389</v>
      </c>
      <c r="C804" s="3466" t="s">
        <v>3390</v>
      </c>
      <c r="D804" s="3466">
        <v>-3</v>
      </c>
      <c r="E804" s="3471" t="s">
        <v>4191</v>
      </c>
      <c r="F804" s="3472">
        <v>45.73</v>
      </c>
    </row>
    <row r="805" spans="1:6" ht="13.5" customHeight="1">
      <c r="A805" s="3466">
        <v>803</v>
      </c>
      <c r="B805" s="3467" t="s">
        <v>3389</v>
      </c>
      <c r="C805" s="3466" t="s">
        <v>3390</v>
      </c>
      <c r="D805" s="3466">
        <v>-3</v>
      </c>
      <c r="E805" s="3471" t="s">
        <v>4192</v>
      </c>
      <c r="F805" s="3472">
        <v>45.73</v>
      </c>
    </row>
    <row r="806" spans="1:6" ht="13.5" customHeight="1">
      <c r="A806" s="3466">
        <v>804</v>
      </c>
      <c r="B806" s="3467" t="s">
        <v>3389</v>
      </c>
      <c r="C806" s="3466" t="s">
        <v>3390</v>
      </c>
      <c r="D806" s="3466">
        <v>-3</v>
      </c>
      <c r="E806" s="3471" t="s">
        <v>4193</v>
      </c>
      <c r="F806" s="3472">
        <v>45.73</v>
      </c>
    </row>
    <row r="807" spans="1:6" ht="13.5" customHeight="1">
      <c r="A807" s="3466">
        <v>805</v>
      </c>
      <c r="B807" s="3467" t="s">
        <v>3389</v>
      </c>
      <c r="C807" s="3466" t="s">
        <v>3390</v>
      </c>
      <c r="D807" s="3466">
        <v>-3</v>
      </c>
      <c r="E807" s="3471" t="s">
        <v>4194</v>
      </c>
      <c r="F807" s="3472">
        <v>45.73</v>
      </c>
    </row>
    <row r="808" spans="1:6" ht="13.5" customHeight="1">
      <c r="A808" s="3466">
        <v>806</v>
      </c>
      <c r="B808" s="3467" t="s">
        <v>3389</v>
      </c>
      <c r="C808" s="3466" t="s">
        <v>3390</v>
      </c>
      <c r="D808" s="3466">
        <v>-3</v>
      </c>
      <c r="E808" s="3471" t="s">
        <v>4195</v>
      </c>
      <c r="F808" s="3472">
        <v>45.73</v>
      </c>
    </row>
    <row r="809" spans="1:6" ht="13.5" customHeight="1">
      <c r="A809" s="3466">
        <v>807</v>
      </c>
      <c r="B809" s="3467" t="s">
        <v>3389</v>
      </c>
      <c r="C809" s="3466" t="s">
        <v>3390</v>
      </c>
      <c r="D809" s="3466">
        <v>-3</v>
      </c>
      <c r="E809" s="3471" t="s">
        <v>4196</v>
      </c>
      <c r="F809" s="3472">
        <v>45.73</v>
      </c>
    </row>
    <row r="810" spans="1:6" ht="13.5" customHeight="1">
      <c r="A810" s="3466">
        <v>808</v>
      </c>
      <c r="B810" s="3467" t="s">
        <v>3389</v>
      </c>
      <c r="C810" s="3466" t="s">
        <v>3390</v>
      </c>
      <c r="D810" s="3466">
        <v>-3</v>
      </c>
      <c r="E810" s="3471" t="s">
        <v>4197</v>
      </c>
      <c r="F810" s="3472">
        <v>45.73</v>
      </c>
    </row>
    <row r="811" spans="1:6" ht="13.5" customHeight="1">
      <c r="A811" s="3466">
        <v>809</v>
      </c>
      <c r="B811" s="3467" t="s">
        <v>3389</v>
      </c>
      <c r="C811" s="3466" t="s">
        <v>3390</v>
      </c>
      <c r="D811" s="3466">
        <v>-3</v>
      </c>
      <c r="E811" s="3471" t="s">
        <v>4198</v>
      </c>
      <c r="F811" s="3472">
        <v>45.73</v>
      </c>
    </row>
    <row r="812" spans="1:6" ht="13.5" customHeight="1">
      <c r="A812" s="3466">
        <v>810</v>
      </c>
      <c r="B812" s="3467" t="s">
        <v>3389</v>
      </c>
      <c r="C812" s="3466" t="s">
        <v>3390</v>
      </c>
      <c r="D812" s="3466">
        <v>-3</v>
      </c>
      <c r="E812" s="3471" t="s">
        <v>4199</v>
      </c>
      <c r="F812" s="3472">
        <v>45.73</v>
      </c>
    </row>
    <row r="813" spans="1:6" ht="13.5" customHeight="1">
      <c r="A813" s="3466">
        <v>811</v>
      </c>
      <c r="B813" s="3467" t="s">
        <v>3389</v>
      </c>
      <c r="C813" s="3466" t="s">
        <v>3390</v>
      </c>
      <c r="D813" s="3466">
        <v>-3</v>
      </c>
      <c r="E813" s="3471" t="s">
        <v>4200</v>
      </c>
      <c r="F813" s="3472">
        <v>45.73</v>
      </c>
    </row>
    <row r="814" spans="1:6" ht="13.5" customHeight="1">
      <c r="A814" s="3466">
        <v>812</v>
      </c>
      <c r="B814" s="3467" t="s">
        <v>3389</v>
      </c>
      <c r="C814" s="3466" t="s">
        <v>3390</v>
      </c>
      <c r="D814" s="3466">
        <v>-3</v>
      </c>
      <c r="E814" s="3471" t="s">
        <v>4201</v>
      </c>
      <c r="F814" s="3472">
        <v>45.73</v>
      </c>
    </row>
    <row r="815" spans="1:6" ht="13.5" customHeight="1">
      <c r="A815" s="3466">
        <v>813</v>
      </c>
      <c r="B815" s="3467" t="s">
        <v>3389</v>
      </c>
      <c r="C815" s="3466" t="s">
        <v>3390</v>
      </c>
      <c r="D815" s="3466">
        <v>-3</v>
      </c>
      <c r="E815" s="3471" t="s">
        <v>4202</v>
      </c>
      <c r="F815" s="3472">
        <v>45.73</v>
      </c>
    </row>
    <row r="816" spans="1:6" ht="13.5" customHeight="1">
      <c r="A816" s="3466">
        <v>814</v>
      </c>
      <c r="B816" s="3467" t="s">
        <v>3389</v>
      </c>
      <c r="C816" s="3466" t="s">
        <v>3390</v>
      </c>
      <c r="D816" s="3466">
        <v>-3</v>
      </c>
      <c r="E816" s="3471" t="s">
        <v>4203</v>
      </c>
      <c r="F816" s="3472">
        <v>45.73</v>
      </c>
    </row>
    <row r="817" spans="1:6" ht="13.5" customHeight="1">
      <c r="A817" s="3466">
        <v>815</v>
      </c>
      <c r="B817" s="3467" t="s">
        <v>3389</v>
      </c>
      <c r="C817" s="3466" t="s">
        <v>3390</v>
      </c>
      <c r="D817" s="3466">
        <v>-3</v>
      </c>
      <c r="E817" s="3471" t="s">
        <v>4204</v>
      </c>
      <c r="F817" s="3472">
        <v>45.73</v>
      </c>
    </row>
    <row r="818" spans="1:6" ht="13.5" customHeight="1">
      <c r="A818" s="3466">
        <v>816</v>
      </c>
      <c r="B818" s="3467" t="s">
        <v>3389</v>
      </c>
      <c r="C818" s="3466" t="s">
        <v>3390</v>
      </c>
      <c r="D818" s="3466">
        <v>-3</v>
      </c>
      <c r="E818" s="3471" t="s">
        <v>4205</v>
      </c>
      <c r="F818" s="3472">
        <v>45.73</v>
      </c>
    </row>
    <row r="819" spans="1:6" ht="13.5" customHeight="1">
      <c r="A819" s="3466">
        <v>817</v>
      </c>
      <c r="B819" s="3467" t="s">
        <v>3389</v>
      </c>
      <c r="C819" s="3466" t="s">
        <v>3390</v>
      </c>
      <c r="D819" s="3466">
        <v>-3</v>
      </c>
      <c r="E819" s="3471" t="s">
        <v>4206</v>
      </c>
      <c r="F819" s="3472">
        <v>45.73</v>
      </c>
    </row>
    <row r="820" spans="1:6" ht="13.5" customHeight="1">
      <c r="A820" s="3466">
        <v>818</v>
      </c>
      <c r="B820" s="3467" t="s">
        <v>3389</v>
      </c>
      <c r="C820" s="3466" t="s">
        <v>3390</v>
      </c>
      <c r="D820" s="3466">
        <v>-3</v>
      </c>
      <c r="E820" s="3471" t="s">
        <v>4207</v>
      </c>
      <c r="F820" s="3472">
        <v>45.73</v>
      </c>
    </row>
    <row r="821" spans="1:6" ht="13.5" customHeight="1">
      <c r="A821" s="3466">
        <v>819</v>
      </c>
      <c r="B821" s="3467" t="s">
        <v>3389</v>
      </c>
      <c r="C821" s="3466" t="s">
        <v>3390</v>
      </c>
      <c r="D821" s="3466">
        <v>-3</v>
      </c>
      <c r="E821" s="3471" t="s">
        <v>4208</v>
      </c>
      <c r="F821" s="3472">
        <v>45.73</v>
      </c>
    </row>
    <row r="822" spans="1:6" ht="13.5" customHeight="1">
      <c r="A822" s="3466">
        <v>820</v>
      </c>
      <c r="B822" s="3467" t="s">
        <v>3389</v>
      </c>
      <c r="C822" s="3466" t="s">
        <v>3390</v>
      </c>
      <c r="D822" s="3466">
        <v>-3</v>
      </c>
      <c r="E822" s="3471" t="s">
        <v>4209</v>
      </c>
      <c r="F822" s="3472">
        <v>45.73</v>
      </c>
    </row>
    <row r="823" spans="1:6" ht="13.5" customHeight="1">
      <c r="A823" s="3466">
        <v>821</v>
      </c>
      <c r="B823" s="3467" t="s">
        <v>3389</v>
      </c>
      <c r="C823" s="3466" t="s">
        <v>3390</v>
      </c>
      <c r="D823" s="3466">
        <v>-3</v>
      </c>
      <c r="E823" s="3471" t="s">
        <v>4210</v>
      </c>
      <c r="F823" s="3472">
        <v>45.73</v>
      </c>
    </row>
    <row r="824" spans="1:6" ht="13.5" customHeight="1">
      <c r="A824" s="3466">
        <v>822</v>
      </c>
      <c r="B824" s="3467" t="s">
        <v>3389</v>
      </c>
      <c r="C824" s="3466" t="s">
        <v>3390</v>
      </c>
      <c r="D824" s="3466">
        <v>-3</v>
      </c>
      <c r="E824" s="3471" t="s">
        <v>4211</v>
      </c>
      <c r="F824" s="3472">
        <v>45.73</v>
      </c>
    </row>
    <row r="825" spans="1:6" ht="13.5" customHeight="1">
      <c r="A825" s="3466">
        <v>823</v>
      </c>
      <c r="B825" s="3467" t="s">
        <v>3389</v>
      </c>
      <c r="C825" s="3466" t="s">
        <v>3390</v>
      </c>
      <c r="D825" s="3466">
        <v>-3</v>
      </c>
      <c r="E825" s="3471" t="s">
        <v>4212</v>
      </c>
      <c r="F825" s="3472">
        <v>45.73</v>
      </c>
    </row>
    <row r="826" spans="1:6" ht="13.5" customHeight="1">
      <c r="A826" s="3466">
        <v>824</v>
      </c>
      <c r="B826" s="3467" t="s">
        <v>3389</v>
      </c>
      <c r="C826" s="3466" t="s">
        <v>3390</v>
      </c>
      <c r="D826" s="3466">
        <v>-3</v>
      </c>
      <c r="E826" s="3471" t="s">
        <v>4213</v>
      </c>
      <c r="F826" s="3472">
        <v>45.73</v>
      </c>
    </row>
    <row r="827" spans="1:6" ht="13.5" customHeight="1">
      <c r="A827" s="3466">
        <v>825</v>
      </c>
      <c r="B827" s="3467" t="s">
        <v>3389</v>
      </c>
      <c r="C827" s="3466" t="s">
        <v>3390</v>
      </c>
      <c r="D827" s="3466">
        <v>-3</v>
      </c>
      <c r="E827" s="3471" t="s">
        <v>4214</v>
      </c>
      <c r="F827" s="3472">
        <v>45.73</v>
      </c>
    </row>
    <row r="828" spans="1:6" ht="13.5" customHeight="1">
      <c r="A828" s="3466">
        <v>826</v>
      </c>
      <c r="B828" s="3467" t="s">
        <v>3389</v>
      </c>
      <c r="C828" s="3466" t="s">
        <v>3390</v>
      </c>
      <c r="D828" s="3466">
        <v>-3</v>
      </c>
      <c r="E828" s="3471" t="s">
        <v>4215</v>
      </c>
      <c r="F828" s="3472">
        <v>45.73</v>
      </c>
    </row>
    <row r="829" spans="1:6" ht="13.5" customHeight="1">
      <c r="A829" s="3466">
        <v>827</v>
      </c>
      <c r="B829" s="3467" t="s">
        <v>3389</v>
      </c>
      <c r="C829" s="3466" t="s">
        <v>3390</v>
      </c>
      <c r="D829" s="3466">
        <v>-3</v>
      </c>
      <c r="E829" s="3471" t="s">
        <v>4216</v>
      </c>
      <c r="F829" s="3472">
        <v>45.73</v>
      </c>
    </row>
    <row r="830" spans="1:6" ht="13.5" customHeight="1">
      <c r="A830" s="3466">
        <v>828</v>
      </c>
      <c r="B830" s="3467" t="s">
        <v>3389</v>
      </c>
      <c r="C830" s="3466" t="s">
        <v>3390</v>
      </c>
      <c r="D830" s="3466">
        <v>-3</v>
      </c>
      <c r="E830" s="3471" t="s">
        <v>4217</v>
      </c>
      <c r="F830" s="3472">
        <v>45.73</v>
      </c>
    </row>
    <row r="831" spans="1:6" ht="13.5" customHeight="1">
      <c r="A831" s="3466">
        <v>829</v>
      </c>
      <c r="B831" s="3467" t="s">
        <v>3389</v>
      </c>
      <c r="C831" s="3466" t="s">
        <v>3390</v>
      </c>
      <c r="D831" s="3466">
        <v>-3</v>
      </c>
      <c r="E831" s="3471" t="s">
        <v>4218</v>
      </c>
      <c r="F831" s="3472">
        <v>45.73</v>
      </c>
    </row>
    <row r="832" spans="1:6" ht="13.5" customHeight="1">
      <c r="A832" s="3466">
        <v>830</v>
      </c>
      <c r="B832" s="3467" t="s">
        <v>3389</v>
      </c>
      <c r="C832" s="3466" t="s">
        <v>3390</v>
      </c>
      <c r="D832" s="3466">
        <v>-3</v>
      </c>
      <c r="E832" s="3471" t="s">
        <v>4219</v>
      </c>
      <c r="F832" s="3472">
        <v>45.73</v>
      </c>
    </row>
    <row r="833" spans="1:6" ht="13.5" customHeight="1">
      <c r="A833" s="3466">
        <v>831</v>
      </c>
      <c r="B833" s="3467" t="s">
        <v>3389</v>
      </c>
      <c r="C833" s="3466" t="s">
        <v>3390</v>
      </c>
      <c r="D833" s="3466">
        <v>-3</v>
      </c>
      <c r="E833" s="3471" t="s">
        <v>4220</v>
      </c>
      <c r="F833" s="3472">
        <v>45.73</v>
      </c>
    </row>
    <row r="834" spans="1:6" ht="13.5" customHeight="1">
      <c r="A834" s="3466">
        <v>832</v>
      </c>
      <c r="B834" s="3467" t="s">
        <v>3389</v>
      </c>
      <c r="C834" s="3466" t="s">
        <v>3390</v>
      </c>
      <c r="D834" s="3466">
        <v>-3</v>
      </c>
      <c r="E834" s="3471" t="s">
        <v>4221</v>
      </c>
      <c r="F834" s="3472">
        <v>45.73</v>
      </c>
    </row>
    <row r="835" spans="1:6" ht="13.5" customHeight="1">
      <c r="A835" s="3466">
        <v>833</v>
      </c>
      <c r="B835" s="3467" t="s">
        <v>3389</v>
      </c>
      <c r="C835" s="3466" t="s">
        <v>3390</v>
      </c>
      <c r="D835" s="3466">
        <v>-3</v>
      </c>
      <c r="E835" s="3471" t="s">
        <v>4222</v>
      </c>
      <c r="F835" s="3472">
        <v>45.73</v>
      </c>
    </row>
    <row r="836" spans="1:6" ht="13.5" customHeight="1">
      <c r="A836" s="3466">
        <v>834</v>
      </c>
      <c r="B836" s="3467" t="s">
        <v>3389</v>
      </c>
      <c r="C836" s="3466" t="s">
        <v>3390</v>
      </c>
      <c r="D836" s="3466">
        <v>-3</v>
      </c>
      <c r="E836" s="3471" t="s">
        <v>4223</v>
      </c>
      <c r="F836" s="3472">
        <v>45.73</v>
      </c>
    </row>
    <row r="837" spans="1:6" ht="13.5" customHeight="1">
      <c r="A837" s="3466">
        <v>835</v>
      </c>
      <c r="B837" s="3467" t="s">
        <v>3389</v>
      </c>
      <c r="C837" s="3466" t="s">
        <v>3390</v>
      </c>
      <c r="D837" s="3466">
        <v>-3</v>
      </c>
      <c r="E837" s="3471" t="s">
        <v>4224</v>
      </c>
      <c r="F837" s="3472">
        <v>45.73</v>
      </c>
    </row>
    <row r="838" spans="1:6" ht="13.5" customHeight="1">
      <c r="A838" s="3466">
        <v>836</v>
      </c>
      <c r="B838" s="3467" t="s">
        <v>3389</v>
      </c>
      <c r="C838" s="3466" t="s">
        <v>3390</v>
      </c>
      <c r="D838" s="3466">
        <v>-3</v>
      </c>
      <c r="E838" s="3471" t="s">
        <v>4225</v>
      </c>
      <c r="F838" s="3472">
        <v>45.73</v>
      </c>
    </row>
    <row r="839" spans="1:6" ht="13.5" customHeight="1">
      <c r="A839" s="3466">
        <v>837</v>
      </c>
      <c r="B839" s="3467" t="s">
        <v>3389</v>
      </c>
      <c r="C839" s="3466" t="s">
        <v>3390</v>
      </c>
      <c r="D839" s="3466">
        <v>-3</v>
      </c>
      <c r="E839" s="3471" t="s">
        <v>4226</v>
      </c>
      <c r="F839" s="3472">
        <v>45.73</v>
      </c>
    </row>
    <row r="840" spans="1:6" ht="13.5" customHeight="1">
      <c r="A840" s="3466">
        <v>838</v>
      </c>
      <c r="B840" s="3467" t="s">
        <v>3389</v>
      </c>
      <c r="C840" s="3466" t="s">
        <v>3390</v>
      </c>
      <c r="D840" s="3466">
        <v>-3</v>
      </c>
      <c r="E840" s="3471" t="s">
        <v>4227</v>
      </c>
      <c r="F840" s="3472">
        <v>45.73</v>
      </c>
    </row>
    <row r="841" spans="1:6" ht="13.5" customHeight="1">
      <c r="A841" s="3466">
        <v>839</v>
      </c>
      <c r="B841" s="3467" t="s">
        <v>3389</v>
      </c>
      <c r="C841" s="3466" t="s">
        <v>3390</v>
      </c>
      <c r="D841" s="3466">
        <v>-3</v>
      </c>
      <c r="E841" s="3471" t="s">
        <v>4228</v>
      </c>
      <c r="F841" s="3472">
        <v>45.73</v>
      </c>
    </row>
    <row r="842" spans="1:6" ht="13.5" customHeight="1">
      <c r="A842" s="3466">
        <v>840</v>
      </c>
      <c r="B842" s="3467" t="s">
        <v>3389</v>
      </c>
      <c r="C842" s="3466" t="s">
        <v>3390</v>
      </c>
      <c r="D842" s="3466">
        <v>-3</v>
      </c>
      <c r="E842" s="3471" t="s">
        <v>4229</v>
      </c>
      <c r="F842" s="3472">
        <v>45.73</v>
      </c>
    </row>
    <row r="843" spans="1:6" ht="13.5" customHeight="1">
      <c r="A843" s="3466">
        <v>841</v>
      </c>
      <c r="B843" s="3467" t="s">
        <v>3389</v>
      </c>
      <c r="C843" s="3466" t="s">
        <v>3390</v>
      </c>
      <c r="D843" s="3466">
        <v>-3</v>
      </c>
      <c r="E843" s="3471" t="s">
        <v>4230</v>
      </c>
      <c r="F843" s="3472">
        <v>45.73</v>
      </c>
    </row>
    <row r="844" spans="1:6" ht="13.5" customHeight="1">
      <c r="A844" s="3466">
        <v>842</v>
      </c>
      <c r="B844" s="3467" t="s">
        <v>3389</v>
      </c>
      <c r="C844" s="3466" t="s">
        <v>3390</v>
      </c>
      <c r="D844" s="3466">
        <v>-3</v>
      </c>
      <c r="E844" s="3471" t="s">
        <v>4231</v>
      </c>
      <c r="F844" s="3472">
        <v>45.73</v>
      </c>
    </row>
    <row r="845" spans="1:6" ht="13.5" customHeight="1">
      <c r="A845" s="3466">
        <v>843</v>
      </c>
      <c r="B845" s="3467" t="s">
        <v>3389</v>
      </c>
      <c r="C845" s="3466" t="s">
        <v>3390</v>
      </c>
      <c r="D845" s="3466">
        <v>-3</v>
      </c>
      <c r="E845" s="3471" t="s">
        <v>4232</v>
      </c>
      <c r="F845" s="3472">
        <v>45.73</v>
      </c>
    </row>
    <row r="846" spans="1:6" ht="13.5" customHeight="1">
      <c r="A846" s="3466">
        <v>844</v>
      </c>
      <c r="B846" s="3467" t="s">
        <v>3389</v>
      </c>
      <c r="C846" s="3466" t="s">
        <v>3390</v>
      </c>
      <c r="D846" s="3466">
        <v>-3</v>
      </c>
      <c r="E846" s="3471" t="s">
        <v>4233</v>
      </c>
      <c r="F846" s="3472">
        <v>45.73</v>
      </c>
    </row>
    <row r="847" spans="1:6" ht="13.5" customHeight="1">
      <c r="A847" s="3466">
        <v>845</v>
      </c>
      <c r="B847" s="3467" t="s">
        <v>3389</v>
      </c>
      <c r="C847" s="3466" t="s">
        <v>3390</v>
      </c>
      <c r="D847" s="3466">
        <v>-3</v>
      </c>
      <c r="E847" s="3471" t="s">
        <v>4234</v>
      </c>
      <c r="F847" s="3472">
        <v>45.73</v>
      </c>
    </row>
    <row r="848" spans="1:6" ht="13.5" customHeight="1">
      <c r="A848" s="3466">
        <v>846</v>
      </c>
      <c r="B848" s="3467" t="s">
        <v>3389</v>
      </c>
      <c r="C848" s="3466" t="s">
        <v>3390</v>
      </c>
      <c r="D848" s="3466">
        <v>-3</v>
      </c>
      <c r="E848" s="3471" t="s">
        <v>4235</v>
      </c>
      <c r="F848" s="3472">
        <v>45.73</v>
      </c>
    </row>
    <row r="849" spans="1:6" ht="13.5" customHeight="1">
      <c r="A849" s="3466">
        <v>847</v>
      </c>
      <c r="B849" s="3467" t="s">
        <v>3389</v>
      </c>
      <c r="C849" s="3466" t="s">
        <v>3390</v>
      </c>
      <c r="D849" s="3466">
        <v>-3</v>
      </c>
      <c r="E849" s="3471" t="s">
        <v>4236</v>
      </c>
      <c r="F849" s="3472">
        <v>45.73</v>
      </c>
    </row>
    <row r="850" spans="1:6" ht="13.5" customHeight="1">
      <c r="A850" s="3466">
        <v>848</v>
      </c>
      <c r="B850" s="3467" t="s">
        <v>3389</v>
      </c>
      <c r="C850" s="3466" t="s">
        <v>3390</v>
      </c>
      <c r="D850" s="3466">
        <v>-3</v>
      </c>
      <c r="E850" s="3471" t="s">
        <v>4237</v>
      </c>
      <c r="F850" s="3472">
        <v>45.73</v>
      </c>
    </row>
    <row r="851" spans="1:6" ht="13.5" customHeight="1">
      <c r="A851" s="3466">
        <v>849</v>
      </c>
      <c r="B851" s="3467" t="s">
        <v>3389</v>
      </c>
      <c r="C851" s="3466" t="s">
        <v>3390</v>
      </c>
      <c r="D851" s="3466">
        <v>-3</v>
      </c>
      <c r="E851" s="3471" t="s">
        <v>4238</v>
      </c>
      <c r="F851" s="3472">
        <v>45.73</v>
      </c>
    </row>
    <row r="852" spans="1:6" ht="13.5" customHeight="1">
      <c r="A852" s="3466">
        <v>850</v>
      </c>
      <c r="B852" s="3467" t="s">
        <v>3389</v>
      </c>
      <c r="C852" s="3466" t="s">
        <v>3390</v>
      </c>
      <c r="D852" s="3466">
        <v>-3</v>
      </c>
      <c r="E852" s="3471" t="s">
        <v>4239</v>
      </c>
      <c r="F852" s="3472">
        <v>45.3</v>
      </c>
    </row>
    <row r="853" spans="1:6" ht="13.5" customHeight="1">
      <c r="A853" s="3466">
        <v>851</v>
      </c>
      <c r="B853" s="3467" t="s">
        <v>3389</v>
      </c>
      <c r="C853" s="3466" t="s">
        <v>3390</v>
      </c>
      <c r="D853" s="3466">
        <v>-3</v>
      </c>
      <c r="E853" s="3471" t="s">
        <v>4240</v>
      </c>
      <c r="F853" s="3472">
        <v>45.3</v>
      </c>
    </row>
    <row r="854" spans="1:6" ht="13.5" customHeight="1">
      <c r="A854" s="3466">
        <v>852</v>
      </c>
      <c r="B854" s="3467" t="s">
        <v>3389</v>
      </c>
      <c r="C854" s="3466" t="s">
        <v>3390</v>
      </c>
      <c r="D854" s="3466">
        <v>-3</v>
      </c>
      <c r="E854" s="3471" t="s">
        <v>4241</v>
      </c>
      <c r="F854" s="3472">
        <v>45.3</v>
      </c>
    </row>
    <row r="855" spans="1:6" ht="13.5" customHeight="1">
      <c r="A855" s="3466">
        <v>853</v>
      </c>
      <c r="B855" s="3467" t="s">
        <v>3389</v>
      </c>
      <c r="C855" s="3466" t="s">
        <v>3390</v>
      </c>
      <c r="D855" s="3466">
        <v>-3</v>
      </c>
      <c r="E855" s="3471" t="s">
        <v>4242</v>
      </c>
      <c r="F855" s="3472">
        <v>45.3</v>
      </c>
    </row>
    <row r="856" spans="1:6" ht="13.5" customHeight="1">
      <c r="A856" s="3466">
        <v>854</v>
      </c>
      <c r="B856" s="3467" t="s">
        <v>3389</v>
      </c>
      <c r="C856" s="3466" t="s">
        <v>3390</v>
      </c>
      <c r="D856" s="3466">
        <v>-3</v>
      </c>
      <c r="E856" s="3471" t="s">
        <v>4243</v>
      </c>
      <c r="F856" s="3472">
        <v>45.3</v>
      </c>
    </row>
    <row r="857" spans="1:6" ht="13.5" customHeight="1">
      <c r="A857" s="3466">
        <v>855</v>
      </c>
      <c r="B857" s="3467" t="s">
        <v>3389</v>
      </c>
      <c r="C857" s="3466" t="s">
        <v>3390</v>
      </c>
      <c r="D857" s="3466">
        <v>-3</v>
      </c>
      <c r="E857" s="3471" t="s">
        <v>4244</v>
      </c>
      <c r="F857" s="3472">
        <v>45.3</v>
      </c>
    </row>
    <row r="858" spans="1:6" ht="13.5" customHeight="1">
      <c r="A858" s="3466">
        <v>856</v>
      </c>
      <c r="B858" s="3467" t="s">
        <v>3389</v>
      </c>
      <c r="C858" s="3466" t="s">
        <v>3390</v>
      </c>
      <c r="D858" s="3466">
        <v>-3</v>
      </c>
      <c r="E858" s="3471" t="s">
        <v>4245</v>
      </c>
      <c r="F858" s="3472">
        <v>31.64</v>
      </c>
    </row>
    <row r="859" spans="1:6" ht="13.5" customHeight="1">
      <c r="A859" s="3466">
        <v>857</v>
      </c>
      <c r="B859" s="3467" t="s">
        <v>3389</v>
      </c>
      <c r="C859" s="3466" t="s">
        <v>3390</v>
      </c>
      <c r="D859" s="3466">
        <v>-3</v>
      </c>
      <c r="E859" s="3471" t="s">
        <v>4246</v>
      </c>
      <c r="F859" s="3472">
        <v>31.64</v>
      </c>
    </row>
    <row r="860" spans="1:6" ht="13.5" customHeight="1">
      <c r="A860" s="3466">
        <v>858</v>
      </c>
      <c r="B860" s="3467" t="s">
        <v>3389</v>
      </c>
      <c r="C860" s="3466" t="s">
        <v>3390</v>
      </c>
      <c r="D860" s="3466">
        <v>-3</v>
      </c>
      <c r="E860" s="3471" t="s">
        <v>4247</v>
      </c>
      <c r="F860" s="3472">
        <v>31.64</v>
      </c>
    </row>
    <row r="861" spans="1:6" ht="13.5" customHeight="1">
      <c r="A861" s="3466">
        <v>859</v>
      </c>
      <c r="B861" s="3467" t="s">
        <v>3389</v>
      </c>
      <c r="C861" s="3466" t="s">
        <v>3390</v>
      </c>
      <c r="D861" s="3466">
        <v>-3</v>
      </c>
      <c r="E861" s="3471" t="s">
        <v>4248</v>
      </c>
      <c r="F861" s="3472">
        <v>31.64</v>
      </c>
    </row>
    <row r="862" spans="1:6" ht="13.5" customHeight="1">
      <c r="A862" s="3466">
        <v>860</v>
      </c>
      <c r="B862" s="3467" t="s">
        <v>3389</v>
      </c>
      <c r="C862" s="3466" t="s">
        <v>3390</v>
      </c>
      <c r="D862" s="3466">
        <v>-3</v>
      </c>
      <c r="E862" s="3471" t="s">
        <v>4249</v>
      </c>
      <c r="F862" s="3472">
        <v>31.64</v>
      </c>
    </row>
    <row r="863" spans="1:6" ht="13.5" customHeight="1">
      <c r="A863" s="3466">
        <v>861</v>
      </c>
      <c r="B863" s="3467" t="s">
        <v>3389</v>
      </c>
      <c r="C863" s="3466" t="s">
        <v>3390</v>
      </c>
      <c r="D863" s="3466">
        <v>-3</v>
      </c>
      <c r="E863" s="3471" t="s">
        <v>4250</v>
      </c>
      <c r="F863" s="3472">
        <v>31.64</v>
      </c>
    </row>
    <row r="864" spans="1:6" ht="13.5" customHeight="1">
      <c r="A864" s="3466">
        <v>862</v>
      </c>
      <c r="B864" s="3467" t="s">
        <v>3389</v>
      </c>
      <c r="C864" s="3466" t="s">
        <v>3390</v>
      </c>
      <c r="D864" s="3466">
        <v>-3</v>
      </c>
      <c r="E864" s="3471" t="s">
        <v>4251</v>
      </c>
      <c r="F864" s="3472">
        <v>31.64</v>
      </c>
    </row>
    <row r="865" spans="1:6" ht="13.5" customHeight="1">
      <c r="A865" s="3466">
        <v>863</v>
      </c>
      <c r="B865" s="3467" t="s">
        <v>3389</v>
      </c>
      <c r="C865" s="3466" t="s">
        <v>3390</v>
      </c>
      <c r="D865" s="3466">
        <v>-3</v>
      </c>
      <c r="E865" s="3471" t="s">
        <v>4252</v>
      </c>
      <c r="F865" s="3472">
        <v>31.64</v>
      </c>
    </row>
    <row r="866" spans="1:6" ht="13.5" customHeight="1">
      <c r="A866" s="3466">
        <v>864</v>
      </c>
      <c r="B866" s="3467" t="s">
        <v>3389</v>
      </c>
      <c r="C866" s="3466" t="s">
        <v>3390</v>
      </c>
      <c r="D866" s="3466">
        <v>-3</v>
      </c>
      <c r="E866" s="3471" t="s">
        <v>4253</v>
      </c>
      <c r="F866" s="3472">
        <v>31.64</v>
      </c>
    </row>
    <row r="867" spans="1:6" ht="13.5" customHeight="1">
      <c r="A867" s="3466">
        <v>865</v>
      </c>
      <c r="B867" s="3467" t="s">
        <v>3389</v>
      </c>
      <c r="C867" s="3466" t="s">
        <v>3390</v>
      </c>
      <c r="D867" s="3466">
        <v>-3</v>
      </c>
      <c r="E867" s="3471" t="s">
        <v>4254</v>
      </c>
      <c r="F867" s="3472">
        <v>31.64</v>
      </c>
    </row>
    <row r="868" spans="1:6" ht="13.5" customHeight="1">
      <c r="A868" s="3466">
        <v>866</v>
      </c>
      <c r="B868" s="3467" t="s">
        <v>3389</v>
      </c>
      <c r="C868" s="3466" t="s">
        <v>3390</v>
      </c>
      <c r="D868" s="3466">
        <v>-3</v>
      </c>
      <c r="E868" s="3471" t="s">
        <v>4255</v>
      </c>
      <c r="F868" s="3472">
        <v>31.64</v>
      </c>
    </row>
    <row r="869" spans="1:6" ht="13.5" customHeight="1">
      <c r="A869" s="3466">
        <v>867</v>
      </c>
      <c r="B869" s="3467" t="s">
        <v>3389</v>
      </c>
      <c r="C869" s="3466" t="s">
        <v>3390</v>
      </c>
      <c r="D869" s="3466">
        <v>-3</v>
      </c>
      <c r="E869" s="3471" t="s">
        <v>4256</v>
      </c>
      <c r="F869" s="3472">
        <v>86.28</v>
      </c>
    </row>
    <row r="870" spans="1:6" ht="13.5" customHeight="1">
      <c r="A870" s="3466">
        <v>868</v>
      </c>
      <c r="B870" s="3467" t="s">
        <v>3389</v>
      </c>
      <c r="C870" s="3466" t="s">
        <v>3390</v>
      </c>
      <c r="D870" s="3466">
        <v>-3</v>
      </c>
      <c r="E870" s="3471" t="s">
        <v>4257</v>
      </c>
      <c r="F870" s="3472">
        <v>86.28</v>
      </c>
    </row>
    <row r="871" spans="1:6" ht="13.5" customHeight="1">
      <c r="A871" s="3466">
        <v>869</v>
      </c>
      <c r="B871" s="3467" t="s">
        <v>3389</v>
      </c>
      <c r="C871" s="3466" t="s">
        <v>3390</v>
      </c>
      <c r="D871" s="3466">
        <v>-3</v>
      </c>
      <c r="E871" s="3471" t="s">
        <v>4258</v>
      </c>
      <c r="F871" s="3472">
        <v>86.28</v>
      </c>
    </row>
    <row r="872" spans="1:6" ht="13.5" customHeight="1">
      <c r="A872" s="3466">
        <v>870</v>
      </c>
      <c r="B872" s="3467" t="s">
        <v>3389</v>
      </c>
      <c r="C872" s="3466"/>
      <c r="D872" s="3466">
        <v>-3</v>
      </c>
      <c r="E872" s="3471" t="s">
        <v>4259</v>
      </c>
      <c r="F872" s="3472">
        <v>60.5</v>
      </c>
    </row>
    <row r="873" spans="1:6" ht="13.5" customHeight="1">
      <c r="A873" s="3466">
        <v>871</v>
      </c>
      <c r="B873" s="3467" t="s">
        <v>3389</v>
      </c>
      <c r="C873" s="3466"/>
      <c r="D873" s="3466">
        <v>-3</v>
      </c>
      <c r="E873" s="3471" t="s">
        <v>4260</v>
      </c>
      <c r="F873" s="3472">
        <v>11.91</v>
      </c>
    </row>
    <row r="874" spans="1:6" ht="13.5" customHeight="1">
      <c r="A874" s="3466">
        <v>872</v>
      </c>
      <c r="B874" s="3467" t="s">
        <v>3389</v>
      </c>
      <c r="C874" s="3466"/>
      <c r="D874" s="3466">
        <v>-3</v>
      </c>
      <c r="E874" s="3471" t="s">
        <v>4261</v>
      </c>
      <c r="F874" s="3472">
        <v>10.4</v>
      </c>
    </row>
    <row r="875" spans="1:6" ht="13.5" customHeight="1">
      <c r="A875" s="3466">
        <v>873</v>
      </c>
      <c r="B875" s="3467" t="s">
        <v>3389</v>
      </c>
      <c r="C875" s="3466"/>
      <c r="D875" s="3466">
        <v>-3</v>
      </c>
      <c r="E875" s="3471" t="s">
        <v>4262</v>
      </c>
      <c r="F875" s="3472">
        <v>52.41</v>
      </c>
    </row>
    <row r="876" spans="1:6" ht="13.5" customHeight="1">
      <c r="A876" s="3466">
        <v>874</v>
      </c>
      <c r="B876" s="3467" t="s">
        <v>3389</v>
      </c>
      <c r="C876" s="3466"/>
      <c r="D876" s="3466">
        <v>-3</v>
      </c>
      <c r="E876" s="3471" t="s">
        <v>4263</v>
      </c>
      <c r="F876" s="3472">
        <v>9.7799999999999994</v>
      </c>
    </row>
    <row r="877" spans="1:6" ht="13.5" customHeight="1">
      <c r="A877" s="3466">
        <v>875</v>
      </c>
      <c r="B877" s="3467" t="s">
        <v>3389</v>
      </c>
      <c r="C877" s="3466"/>
      <c r="D877" s="3466">
        <v>-3</v>
      </c>
      <c r="E877" s="3471" t="s">
        <v>4264</v>
      </c>
      <c r="F877" s="3472">
        <v>39.54</v>
      </c>
    </row>
    <row r="878" spans="1:6" ht="13.5" customHeight="1">
      <c r="A878" s="3466">
        <v>876</v>
      </c>
      <c r="B878" s="3467" t="s">
        <v>3389</v>
      </c>
      <c r="C878" s="3466"/>
      <c r="D878" s="3466">
        <v>-3</v>
      </c>
      <c r="E878" s="3471" t="s">
        <v>4265</v>
      </c>
      <c r="F878" s="3472">
        <v>58.56</v>
      </c>
    </row>
    <row r="879" spans="1:6" ht="13.5" customHeight="1">
      <c r="A879" s="3466">
        <v>877</v>
      </c>
      <c r="B879" s="3467" t="s">
        <v>3389</v>
      </c>
      <c r="C879" s="3466"/>
      <c r="D879" s="3466">
        <v>-3</v>
      </c>
      <c r="E879" s="3471" t="s">
        <v>4266</v>
      </c>
      <c r="F879" s="3472">
        <v>19.37</v>
      </c>
    </row>
    <row r="880" spans="1:6" ht="13.5" customHeight="1">
      <c r="A880" s="3466">
        <v>878</v>
      </c>
      <c r="B880" s="3467" t="s">
        <v>3389</v>
      </c>
      <c r="C880" s="3466"/>
      <c r="D880" s="3466">
        <v>-3</v>
      </c>
      <c r="E880" s="3471" t="s">
        <v>4267</v>
      </c>
      <c r="F880" s="3472">
        <v>15.08</v>
      </c>
    </row>
    <row r="881" spans="1:6" ht="13.5" customHeight="1">
      <c r="A881" s="3466">
        <v>879</v>
      </c>
      <c r="B881" s="3467" t="s">
        <v>3389</v>
      </c>
      <c r="C881" s="3466" t="s">
        <v>3390</v>
      </c>
      <c r="D881" s="3466">
        <v>-2</v>
      </c>
      <c r="E881" s="3471" t="s">
        <v>4268</v>
      </c>
      <c r="F881" s="3472">
        <v>45.73</v>
      </c>
    </row>
    <row r="882" spans="1:6" ht="13.5" customHeight="1">
      <c r="A882" s="3466">
        <v>880</v>
      </c>
      <c r="B882" s="3467" t="s">
        <v>3389</v>
      </c>
      <c r="C882" s="3466" t="s">
        <v>3390</v>
      </c>
      <c r="D882" s="3466">
        <v>-2</v>
      </c>
      <c r="E882" s="3471" t="s">
        <v>4269</v>
      </c>
      <c r="F882" s="3472">
        <v>45.73</v>
      </c>
    </row>
    <row r="883" spans="1:6" ht="13.5" customHeight="1">
      <c r="A883" s="3466">
        <v>881</v>
      </c>
      <c r="B883" s="3467" t="s">
        <v>3389</v>
      </c>
      <c r="C883" s="3466" t="s">
        <v>3390</v>
      </c>
      <c r="D883" s="3466">
        <v>-2</v>
      </c>
      <c r="E883" s="3471" t="s">
        <v>4270</v>
      </c>
      <c r="F883" s="3472">
        <v>45.73</v>
      </c>
    </row>
    <row r="884" spans="1:6" ht="13.5" customHeight="1">
      <c r="A884" s="3466">
        <v>882</v>
      </c>
      <c r="B884" s="3467" t="s">
        <v>3389</v>
      </c>
      <c r="C884" s="3466" t="s">
        <v>3390</v>
      </c>
      <c r="D884" s="3466">
        <v>-2</v>
      </c>
      <c r="E884" s="3471" t="s">
        <v>4271</v>
      </c>
      <c r="F884" s="3472">
        <v>45.73</v>
      </c>
    </row>
    <row r="885" spans="1:6" ht="13.5" customHeight="1">
      <c r="A885" s="3466">
        <v>883</v>
      </c>
      <c r="B885" s="3467" t="s">
        <v>3389</v>
      </c>
      <c r="C885" s="3466" t="s">
        <v>3390</v>
      </c>
      <c r="D885" s="3466">
        <v>-2</v>
      </c>
      <c r="E885" s="3471" t="s">
        <v>4272</v>
      </c>
      <c r="F885" s="3472">
        <v>45.73</v>
      </c>
    </row>
    <row r="886" spans="1:6" ht="13.5" customHeight="1">
      <c r="A886" s="3466">
        <v>884</v>
      </c>
      <c r="B886" s="3467" t="s">
        <v>3389</v>
      </c>
      <c r="C886" s="3466" t="s">
        <v>3390</v>
      </c>
      <c r="D886" s="3466">
        <v>-2</v>
      </c>
      <c r="E886" s="3471" t="s">
        <v>4273</v>
      </c>
      <c r="F886" s="3472">
        <v>45.73</v>
      </c>
    </row>
    <row r="887" spans="1:6" ht="13.5" customHeight="1">
      <c r="A887" s="3466">
        <v>885</v>
      </c>
      <c r="B887" s="3467" t="s">
        <v>3389</v>
      </c>
      <c r="C887" s="3466" t="s">
        <v>3390</v>
      </c>
      <c r="D887" s="3466">
        <v>-2</v>
      </c>
      <c r="E887" s="3471" t="s">
        <v>4274</v>
      </c>
      <c r="F887" s="3472">
        <v>45.73</v>
      </c>
    </row>
    <row r="888" spans="1:6" ht="13.5" customHeight="1">
      <c r="A888" s="3466">
        <v>886</v>
      </c>
      <c r="B888" s="3467" t="s">
        <v>3389</v>
      </c>
      <c r="C888" s="3466" t="s">
        <v>3390</v>
      </c>
      <c r="D888" s="3466">
        <v>-2</v>
      </c>
      <c r="E888" s="3471" t="s">
        <v>4275</v>
      </c>
      <c r="F888" s="3472">
        <v>45.73</v>
      </c>
    </row>
    <row r="889" spans="1:6" ht="13.5" customHeight="1">
      <c r="A889" s="3466">
        <v>887</v>
      </c>
      <c r="B889" s="3467" t="s">
        <v>3389</v>
      </c>
      <c r="C889" s="3466" t="s">
        <v>3390</v>
      </c>
      <c r="D889" s="3466">
        <v>-2</v>
      </c>
      <c r="E889" s="3471" t="s">
        <v>4276</v>
      </c>
      <c r="F889" s="3472">
        <v>45.73</v>
      </c>
    </row>
    <row r="890" spans="1:6" ht="13.5" customHeight="1">
      <c r="A890" s="3466">
        <v>888</v>
      </c>
      <c r="B890" s="3467" t="s">
        <v>3389</v>
      </c>
      <c r="C890" s="3466" t="s">
        <v>3390</v>
      </c>
      <c r="D890" s="3466">
        <v>-2</v>
      </c>
      <c r="E890" s="3471" t="s">
        <v>4277</v>
      </c>
      <c r="F890" s="3472">
        <v>45.73</v>
      </c>
    </row>
    <row r="891" spans="1:6" ht="13.5" customHeight="1">
      <c r="A891" s="3466">
        <v>889</v>
      </c>
      <c r="B891" s="3467" t="s">
        <v>3389</v>
      </c>
      <c r="C891" s="3466" t="s">
        <v>3390</v>
      </c>
      <c r="D891" s="3466">
        <v>-2</v>
      </c>
      <c r="E891" s="3471" t="s">
        <v>4278</v>
      </c>
      <c r="F891" s="3472">
        <v>45.73</v>
      </c>
    </row>
    <row r="892" spans="1:6" ht="13.5" customHeight="1">
      <c r="A892" s="3466">
        <v>890</v>
      </c>
      <c r="B892" s="3467" t="s">
        <v>3389</v>
      </c>
      <c r="C892" s="3466" t="s">
        <v>3390</v>
      </c>
      <c r="D892" s="3466">
        <v>-2</v>
      </c>
      <c r="E892" s="3471" t="s">
        <v>4279</v>
      </c>
      <c r="F892" s="3472">
        <v>45.73</v>
      </c>
    </row>
    <row r="893" spans="1:6" ht="13.5" customHeight="1">
      <c r="A893" s="3466">
        <v>891</v>
      </c>
      <c r="B893" s="3467" t="s">
        <v>3389</v>
      </c>
      <c r="C893" s="3466" t="s">
        <v>3390</v>
      </c>
      <c r="D893" s="3466">
        <v>-2</v>
      </c>
      <c r="E893" s="3471" t="s">
        <v>4280</v>
      </c>
      <c r="F893" s="3472">
        <v>45.73</v>
      </c>
    </row>
    <row r="894" spans="1:6" ht="13.5" customHeight="1">
      <c r="A894" s="3466">
        <v>892</v>
      </c>
      <c r="B894" s="3467" t="s">
        <v>3389</v>
      </c>
      <c r="C894" s="3466" t="s">
        <v>3390</v>
      </c>
      <c r="D894" s="3466">
        <v>-2</v>
      </c>
      <c r="E894" s="3471" t="s">
        <v>4281</v>
      </c>
      <c r="F894" s="3472">
        <v>45.73</v>
      </c>
    </row>
    <row r="895" spans="1:6" ht="13.5" customHeight="1">
      <c r="A895" s="3466">
        <v>893</v>
      </c>
      <c r="B895" s="3467" t="s">
        <v>3389</v>
      </c>
      <c r="C895" s="3466" t="s">
        <v>3390</v>
      </c>
      <c r="D895" s="3466">
        <v>-2</v>
      </c>
      <c r="E895" s="3471" t="s">
        <v>4282</v>
      </c>
      <c r="F895" s="3472">
        <v>45.73</v>
      </c>
    </row>
    <row r="896" spans="1:6" ht="13.5" customHeight="1">
      <c r="A896" s="3466">
        <v>894</v>
      </c>
      <c r="B896" s="3467" t="s">
        <v>3389</v>
      </c>
      <c r="C896" s="3466" t="s">
        <v>3390</v>
      </c>
      <c r="D896" s="3466">
        <v>-2</v>
      </c>
      <c r="E896" s="3471" t="s">
        <v>4283</v>
      </c>
      <c r="F896" s="3472">
        <v>45.73</v>
      </c>
    </row>
    <row r="897" spans="1:6" ht="13.5" customHeight="1">
      <c r="A897" s="3466">
        <v>895</v>
      </c>
      <c r="B897" s="3467" t="s">
        <v>3389</v>
      </c>
      <c r="C897" s="3466" t="s">
        <v>3390</v>
      </c>
      <c r="D897" s="3466">
        <v>-2</v>
      </c>
      <c r="E897" s="3471" t="s">
        <v>4284</v>
      </c>
      <c r="F897" s="3472">
        <v>45.73</v>
      </c>
    </row>
    <row r="898" spans="1:6" ht="13.5" customHeight="1">
      <c r="A898" s="3466">
        <v>896</v>
      </c>
      <c r="B898" s="3467" t="s">
        <v>3389</v>
      </c>
      <c r="C898" s="3466" t="s">
        <v>3390</v>
      </c>
      <c r="D898" s="3466">
        <v>-2</v>
      </c>
      <c r="E898" s="3471" t="s">
        <v>4285</v>
      </c>
      <c r="F898" s="3472">
        <v>45.73</v>
      </c>
    </row>
    <row r="899" spans="1:6" ht="13.5" customHeight="1">
      <c r="A899" s="3466">
        <v>897</v>
      </c>
      <c r="B899" s="3467" t="s">
        <v>3389</v>
      </c>
      <c r="C899" s="3466" t="s">
        <v>3390</v>
      </c>
      <c r="D899" s="3466">
        <v>-2</v>
      </c>
      <c r="E899" s="3471" t="s">
        <v>4286</v>
      </c>
      <c r="F899" s="3472">
        <v>45.73</v>
      </c>
    </row>
    <row r="900" spans="1:6" ht="13.5" customHeight="1">
      <c r="A900" s="3466">
        <v>898</v>
      </c>
      <c r="B900" s="3467" t="s">
        <v>3389</v>
      </c>
      <c r="C900" s="3466" t="s">
        <v>3390</v>
      </c>
      <c r="D900" s="3466">
        <v>-2</v>
      </c>
      <c r="E900" s="3471" t="s">
        <v>4287</v>
      </c>
      <c r="F900" s="3472">
        <v>45.73</v>
      </c>
    </row>
    <row r="901" spans="1:6" ht="13.5" customHeight="1">
      <c r="A901" s="3466">
        <v>899</v>
      </c>
      <c r="B901" s="3467" t="s">
        <v>3389</v>
      </c>
      <c r="C901" s="3466" t="s">
        <v>3390</v>
      </c>
      <c r="D901" s="3466">
        <v>-2</v>
      </c>
      <c r="E901" s="3471" t="s">
        <v>4288</v>
      </c>
      <c r="F901" s="3472">
        <v>45.73</v>
      </c>
    </row>
    <row r="902" spans="1:6" ht="13.5" customHeight="1">
      <c r="A902" s="3466">
        <v>900</v>
      </c>
      <c r="B902" s="3467" t="s">
        <v>3389</v>
      </c>
      <c r="C902" s="3466" t="s">
        <v>3390</v>
      </c>
      <c r="D902" s="3466">
        <v>-2</v>
      </c>
      <c r="E902" s="3471" t="s">
        <v>4289</v>
      </c>
      <c r="F902" s="3472">
        <v>45.73</v>
      </c>
    </row>
    <row r="903" spans="1:6" ht="13.5" customHeight="1">
      <c r="A903" s="3466">
        <v>901</v>
      </c>
      <c r="B903" s="3467" t="s">
        <v>3389</v>
      </c>
      <c r="C903" s="3466" t="s">
        <v>3390</v>
      </c>
      <c r="D903" s="3466">
        <v>-2</v>
      </c>
      <c r="E903" s="3471" t="s">
        <v>4290</v>
      </c>
      <c r="F903" s="3472">
        <v>45.73</v>
      </c>
    </row>
    <row r="904" spans="1:6" ht="13.5" customHeight="1">
      <c r="A904" s="3466">
        <v>902</v>
      </c>
      <c r="B904" s="3467" t="s">
        <v>3389</v>
      </c>
      <c r="C904" s="3466" t="s">
        <v>3390</v>
      </c>
      <c r="D904" s="3466">
        <v>-2</v>
      </c>
      <c r="E904" s="3471" t="s">
        <v>4291</v>
      </c>
      <c r="F904" s="3472">
        <v>45.73</v>
      </c>
    </row>
    <row r="905" spans="1:6" ht="13.5" customHeight="1">
      <c r="A905" s="3466">
        <v>903</v>
      </c>
      <c r="B905" s="3467" t="s">
        <v>3389</v>
      </c>
      <c r="C905" s="3466" t="s">
        <v>3390</v>
      </c>
      <c r="D905" s="3466">
        <v>-2</v>
      </c>
      <c r="E905" s="3471" t="s">
        <v>4292</v>
      </c>
      <c r="F905" s="3472">
        <v>45.73</v>
      </c>
    </row>
    <row r="906" spans="1:6" ht="13.5" customHeight="1">
      <c r="A906" s="3466">
        <v>904</v>
      </c>
      <c r="B906" s="3467" t="s">
        <v>3389</v>
      </c>
      <c r="C906" s="3466" t="s">
        <v>3390</v>
      </c>
      <c r="D906" s="3466">
        <v>-2</v>
      </c>
      <c r="E906" s="3471" t="s">
        <v>4293</v>
      </c>
      <c r="F906" s="3472">
        <v>45.73</v>
      </c>
    </row>
    <row r="907" spans="1:6" ht="13.5" customHeight="1">
      <c r="A907" s="3466">
        <v>905</v>
      </c>
      <c r="B907" s="3467" t="s">
        <v>3389</v>
      </c>
      <c r="C907" s="3466" t="s">
        <v>3390</v>
      </c>
      <c r="D907" s="3466">
        <v>-2</v>
      </c>
      <c r="E907" s="3471" t="s">
        <v>4294</v>
      </c>
      <c r="F907" s="3472">
        <v>45.73</v>
      </c>
    </row>
    <row r="908" spans="1:6" ht="13.5" customHeight="1">
      <c r="A908" s="3466">
        <v>906</v>
      </c>
      <c r="B908" s="3467" t="s">
        <v>3389</v>
      </c>
      <c r="C908" s="3466" t="s">
        <v>3390</v>
      </c>
      <c r="D908" s="3466">
        <v>-2</v>
      </c>
      <c r="E908" s="3471" t="s">
        <v>4295</v>
      </c>
      <c r="F908" s="3472">
        <v>45.73</v>
      </c>
    </row>
    <row r="909" spans="1:6" ht="13.5" customHeight="1">
      <c r="A909" s="3466">
        <v>907</v>
      </c>
      <c r="B909" s="3467" t="s">
        <v>3389</v>
      </c>
      <c r="C909" s="3466" t="s">
        <v>3390</v>
      </c>
      <c r="D909" s="3466">
        <v>-2</v>
      </c>
      <c r="E909" s="3471" t="s">
        <v>4296</v>
      </c>
      <c r="F909" s="3472">
        <v>45.73</v>
      </c>
    </row>
    <row r="910" spans="1:6" ht="13.5" customHeight="1">
      <c r="A910" s="3466">
        <v>908</v>
      </c>
      <c r="B910" s="3467" t="s">
        <v>3389</v>
      </c>
      <c r="C910" s="3466" t="s">
        <v>3390</v>
      </c>
      <c r="D910" s="3466">
        <v>-2</v>
      </c>
      <c r="E910" s="3471" t="s">
        <v>4297</v>
      </c>
      <c r="F910" s="3472">
        <v>45.73</v>
      </c>
    </row>
    <row r="911" spans="1:6" ht="13.5" customHeight="1">
      <c r="A911" s="3466">
        <v>909</v>
      </c>
      <c r="B911" s="3467" t="s">
        <v>3389</v>
      </c>
      <c r="C911" s="3466" t="s">
        <v>3390</v>
      </c>
      <c r="D911" s="3466">
        <v>-2</v>
      </c>
      <c r="E911" s="3471" t="s">
        <v>4298</v>
      </c>
      <c r="F911" s="3472">
        <v>45.73</v>
      </c>
    </row>
    <row r="912" spans="1:6" ht="13.5" customHeight="1">
      <c r="A912" s="3466">
        <v>910</v>
      </c>
      <c r="B912" s="3467" t="s">
        <v>3389</v>
      </c>
      <c r="C912" s="3466" t="s">
        <v>3390</v>
      </c>
      <c r="D912" s="3466">
        <v>-2</v>
      </c>
      <c r="E912" s="3471" t="s">
        <v>4299</v>
      </c>
      <c r="F912" s="3472">
        <v>45.73</v>
      </c>
    </row>
    <row r="913" spans="1:6" ht="13.5" customHeight="1">
      <c r="A913" s="3466">
        <v>911</v>
      </c>
      <c r="B913" s="3467" t="s">
        <v>3389</v>
      </c>
      <c r="C913" s="3466" t="s">
        <v>3390</v>
      </c>
      <c r="D913" s="3466">
        <v>-2</v>
      </c>
      <c r="E913" s="3471" t="s">
        <v>4300</v>
      </c>
      <c r="F913" s="3472">
        <v>45.73</v>
      </c>
    </row>
    <row r="914" spans="1:6" ht="13.5" customHeight="1">
      <c r="A914" s="3466">
        <v>912</v>
      </c>
      <c r="B914" s="3467" t="s">
        <v>3389</v>
      </c>
      <c r="C914" s="3466" t="s">
        <v>3390</v>
      </c>
      <c r="D914" s="3466">
        <v>-2</v>
      </c>
      <c r="E914" s="3471" t="s">
        <v>4301</v>
      </c>
      <c r="F914" s="3472">
        <v>45.73</v>
      </c>
    </row>
    <row r="915" spans="1:6" ht="13.5" customHeight="1">
      <c r="A915" s="3466">
        <v>913</v>
      </c>
      <c r="B915" s="3467" t="s">
        <v>3389</v>
      </c>
      <c r="C915" s="3466" t="s">
        <v>3390</v>
      </c>
      <c r="D915" s="3466">
        <v>-2</v>
      </c>
      <c r="E915" s="3471" t="s">
        <v>4302</v>
      </c>
      <c r="F915" s="3472">
        <v>45.73</v>
      </c>
    </row>
    <row r="916" spans="1:6" ht="13.5" customHeight="1">
      <c r="A916" s="3466">
        <v>914</v>
      </c>
      <c r="B916" s="3467" t="s">
        <v>3389</v>
      </c>
      <c r="C916" s="3466" t="s">
        <v>3390</v>
      </c>
      <c r="D916" s="3466">
        <v>-2</v>
      </c>
      <c r="E916" s="3471" t="s">
        <v>4303</v>
      </c>
      <c r="F916" s="3472">
        <v>45.73</v>
      </c>
    </row>
    <row r="917" spans="1:6" ht="13.5" customHeight="1">
      <c r="A917" s="3466">
        <v>915</v>
      </c>
      <c r="B917" s="3467" t="s">
        <v>3389</v>
      </c>
      <c r="C917" s="3466" t="s">
        <v>3390</v>
      </c>
      <c r="D917" s="3466">
        <v>-2</v>
      </c>
      <c r="E917" s="3471" t="s">
        <v>4304</v>
      </c>
      <c r="F917" s="3472">
        <v>45.73</v>
      </c>
    </row>
    <row r="918" spans="1:6" ht="13.5" customHeight="1">
      <c r="A918" s="3466">
        <v>916</v>
      </c>
      <c r="B918" s="3467" t="s">
        <v>3389</v>
      </c>
      <c r="C918" s="3466" t="s">
        <v>3390</v>
      </c>
      <c r="D918" s="3466">
        <v>-2</v>
      </c>
      <c r="E918" s="3471" t="s">
        <v>4305</v>
      </c>
      <c r="F918" s="3472">
        <v>45.73</v>
      </c>
    </row>
    <row r="919" spans="1:6" ht="13.5" customHeight="1">
      <c r="A919" s="3466">
        <v>917</v>
      </c>
      <c r="B919" s="3467" t="s">
        <v>3389</v>
      </c>
      <c r="C919" s="3466" t="s">
        <v>3390</v>
      </c>
      <c r="D919" s="3466">
        <v>-2</v>
      </c>
      <c r="E919" s="3471" t="s">
        <v>4306</v>
      </c>
      <c r="F919" s="3472">
        <v>45.73</v>
      </c>
    </row>
    <row r="920" spans="1:6" ht="13.5" customHeight="1">
      <c r="A920" s="3466">
        <v>918</v>
      </c>
      <c r="B920" s="3467" t="s">
        <v>3389</v>
      </c>
      <c r="C920" s="3466" t="s">
        <v>3390</v>
      </c>
      <c r="D920" s="3466">
        <v>-2</v>
      </c>
      <c r="E920" s="3471" t="s">
        <v>4307</v>
      </c>
      <c r="F920" s="3472">
        <v>45.73</v>
      </c>
    </row>
    <row r="921" spans="1:6" ht="13.5" customHeight="1">
      <c r="A921" s="3466">
        <v>919</v>
      </c>
      <c r="B921" s="3467" t="s">
        <v>3389</v>
      </c>
      <c r="C921" s="3466" t="s">
        <v>3390</v>
      </c>
      <c r="D921" s="3466">
        <v>-2</v>
      </c>
      <c r="E921" s="3471" t="s">
        <v>4308</v>
      </c>
      <c r="F921" s="3472">
        <v>45.73</v>
      </c>
    </row>
    <row r="922" spans="1:6" ht="13.5" customHeight="1">
      <c r="A922" s="3466">
        <v>920</v>
      </c>
      <c r="B922" s="3467" t="s">
        <v>3389</v>
      </c>
      <c r="C922" s="3466" t="s">
        <v>3390</v>
      </c>
      <c r="D922" s="3466">
        <v>-2</v>
      </c>
      <c r="E922" s="3471" t="s">
        <v>4309</v>
      </c>
      <c r="F922" s="3472">
        <v>45.73</v>
      </c>
    </row>
    <row r="923" spans="1:6" ht="13.5" customHeight="1">
      <c r="A923" s="3466">
        <v>921</v>
      </c>
      <c r="B923" s="3467" t="s">
        <v>3389</v>
      </c>
      <c r="C923" s="3466" t="s">
        <v>3390</v>
      </c>
      <c r="D923" s="3466">
        <v>-2</v>
      </c>
      <c r="E923" s="3471" t="s">
        <v>4310</v>
      </c>
      <c r="F923" s="3472">
        <v>45.73</v>
      </c>
    </row>
    <row r="924" spans="1:6" ht="13.5" customHeight="1">
      <c r="A924" s="3466">
        <v>922</v>
      </c>
      <c r="B924" s="3467" t="s">
        <v>3389</v>
      </c>
      <c r="C924" s="3466" t="s">
        <v>3390</v>
      </c>
      <c r="D924" s="3466">
        <v>-2</v>
      </c>
      <c r="E924" s="3471" t="s">
        <v>4311</v>
      </c>
      <c r="F924" s="3472">
        <v>45.73</v>
      </c>
    </row>
    <row r="925" spans="1:6" ht="13.5" customHeight="1">
      <c r="A925" s="3466">
        <v>923</v>
      </c>
      <c r="B925" s="3467" t="s">
        <v>3389</v>
      </c>
      <c r="C925" s="3466" t="s">
        <v>3390</v>
      </c>
      <c r="D925" s="3466">
        <v>-2</v>
      </c>
      <c r="E925" s="3471" t="s">
        <v>4312</v>
      </c>
      <c r="F925" s="3472">
        <v>45.73</v>
      </c>
    </row>
    <row r="926" spans="1:6" ht="13.5" customHeight="1">
      <c r="A926" s="3466">
        <v>924</v>
      </c>
      <c r="B926" s="3467" t="s">
        <v>3389</v>
      </c>
      <c r="C926" s="3466" t="s">
        <v>3390</v>
      </c>
      <c r="D926" s="3466">
        <v>-2</v>
      </c>
      <c r="E926" s="3471" t="s">
        <v>4313</v>
      </c>
      <c r="F926" s="3472">
        <v>45.73</v>
      </c>
    </row>
    <row r="927" spans="1:6" ht="13.5" customHeight="1">
      <c r="A927" s="3466">
        <v>925</v>
      </c>
      <c r="B927" s="3467" t="s">
        <v>3389</v>
      </c>
      <c r="C927" s="3466" t="s">
        <v>3390</v>
      </c>
      <c r="D927" s="3466">
        <v>-2</v>
      </c>
      <c r="E927" s="3471" t="s">
        <v>4314</v>
      </c>
      <c r="F927" s="3472">
        <v>45.73</v>
      </c>
    </row>
    <row r="928" spans="1:6" ht="13.5" customHeight="1">
      <c r="A928" s="3466">
        <v>926</v>
      </c>
      <c r="B928" s="3467" t="s">
        <v>3389</v>
      </c>
      <c r="C928" s="3466" t="s">
        <v>3390</v>
      </c>
      <c r="D928" s="3466">
        <v>-2</v>
      </c>
      <c r="E928" s="3471" t="s">
        <v>4315</v>
      </c>
      <c r="F928" s="3472">
        <v>45.73</v>
      </c>
    </row>
    <row r="929" spans="1:6" ht="13.5" customHeight="1">
      <c r="A929" s="3466">
        <v>927</v>
      </c>
      <c r="B929" s="3467" t="s">
        <v>3389</v>
      </c>
      <c r="C929" s="3466" t="s">
        <v>3390</v>
      </c>
      <c r="D929" s="3466">
        <v>-2</v>
      </c>
      <c r="E929" s="3471" t="s">
        <v>4316</v>
      </c>
      <c r="F929" s="3472">
        <v>45.73</v>
      </c>
    </row>
    <row r="930" spans="1:6" ht="13.5" customHeight="1">
      <c r="A930" s="3466">
        <v>928</v>
      </c>
      <c r="B930" s="3467" t="s">
        <v>3389</v>
      </c>
      <c r="C930" s="3466" t="s">
        <v>3390</v>
      </c>
      <c r="D930" s="3466">
        <v>-2</v>
      </c>
      <c r="E930" s="3471" t="s">
        <v>4317</v>
      </c>
      <c r="F930" s="3472">
        <v>45.73</v>
      </c>
    </row>
    <row r="931" spans="1:6" ht="13.5" customHeight="1">
      <c r="A931" s="3466">
        <v>929</v>
      </c>
      <c r="B931" s="3467" t="s">
        <v>3389</v>
      </c>
      <c r="C931" s="3466" t="s">
        <v>3390</v>
      </c>
      <c r="D931" s="3466">
        <v>-2</v>
      </c>
      <c r="E931" s="3471" t="s">
        <v>4318</v>
      </c>
      <c r="F931" s="3472">
        <v>45.73</v>
      </c>
    </row>
    <row r="932" spans="1:6" ht="13.5" customHeight="1">
      <c r="A932" s="3466">
        <v>930</v>
      </c>
      <c r="B932" s="3467" t="s">
        <v>3389</v>
      </c>
      <c r="C932" s="3466" t="s">
        <v>3390</v>
      </c>
      <c r="D932" s="3466">
        <v>-2</v>
      </c>
      <c r="E932" s="3471" t="s">
        <v>4319</v>
      </c>
      <c r="F932" s="3472">
        <v>45.73</v>
      </c>
    </row>
    <row r="933" spans="1:6" ht="13.5" customHeight="1">
      <c r="A933" s="3466">
        <v>931</v>
      </c>
      <c r="B933" s="3467" t="s">
        <v>3389</v>
      </c>
      <c r="C933" s="3466" t="s">
        <v>3390</v>
      </c>
      <c r="D933" s="3466">
        <v>-2</v>
      </c>
      <c r="E933" s="3471" t="s">
        <v>4320</v>
      </c>
      <c r="F933" s="3472">
        <v>45.73</v>
      </c>
    </row>
    <row r="934" spans="1:6" ht="13.5" customHeight="1">
      <c r="A934" s="3466">
        <v>932</v>
      </c>
      <c r="B934" s="3467" t="s">
        <v>3389</v>
      </c>
      <c r="C934" s="3466" t="s">
        <v>3390</v>
      </c>
      <c r="D934" s="3466">
        <v>-2</v>
      </c>
      <c r="E934" s="3471" t="s">
        <v>4321</v>
      </c>
      <c r="F934" s="3472">
        <v>45.73</v>
      </c>
    </row>
    <row r="935" spans="1:6" ht="13.5" customHeight="1">
      <c r="A935" s="3466">
        <v>933</v>
      </c>
      <c r="B935" s="3467" t="s">
        <v>3389</v>
      </c>
      <c r="C935" s="3466" t="s">
        <v>3390</v>
      </c>
      <c r="D935" s="3466">
        <v>-2</v>
      </c>
      <c r="E935" s="3471" t="s">
        <v>4322</v>
      </c>
      <c r="F935" s="3472">
        <v>45.73</v>
      </c>
    </row>
    <row r="936" spans="1:6" ht="13.5" customHeight="1">
      <c r="A936" s="3466">
        <v>934</v>
      </c>
      <c r="B936" s="3467" t="s">
        <v>3389</v>
      </c>
      <c r="C936" s="3466" t="s">
        <v>3390</v>
      </c>
      <c r="D936" s="3466">
        <v>-2</v>
      </c>
      <c r="E936" s="3471" t="s">
        <v>4323</v>
      </c>
      <c r="F936" s="3472">
        <v>45.73</v>
      </c>
    </row>
    <row r="937" spans="1:6" ht="13.5" customHeight="1">
      <c r="A937" s="3466">
        <v>935</v>
      </c>
      <c r="B937" s="3467" t="s">
        <v>3389</v>
      </c>
      <c r="C937" s="3466" t="s">
        <v>3390</v>
      </c>
      <c r="D937" s="3466">
        <v>-2</v>
      </c>
      <c r="E937" s="3471" t="s">
        <v>4324</v>
      </c>
      <c r="F937" s="3472">
        <v>45.73</v>
      </c>
    </row>
    <row r="938" spans="1:6" ht="13.5" customHeight="1">
      <c r="A938" s="3466">
        <v>936</v>
      </c>
      <c r="B938" s="3467" t="s">
        <v>3389</v>
      </c>
      <c r="C938" s="3466" t="s">
        <v>3390</v>
      </c>
      <c r="D938" s="3466">
        <v>-2</v>
      </c>
      <c r="E938" s="3471" t="s">
        <v>4325</v>
      </c>
      <c r="F938" s="3472">
        <v>45.73</v>
      </c>
    </row>
    <row r="939" spans="1:6" ht="13.5" customHeight="1">
      <c r="A939" s="3466">
        <v>937</v>
      </c>
      <c r="B939" s="3467" t="s">
        <v>3389</v>
      </c>
      <c r="C939" s="3466" t="s">
        <v>3390</v>
      </c>
      <c r="D939" s="3466">
        <v>-2</v>
      </c>
      <c r="E939" s="3471" t="s">
        <v>4326</v>
      </c>
      <c r="F939" s="3472">
        <v>45.73</v>
      </c>
    </row>
    <row r="940" spans="1:6" ht="13.5" customHeight="1">
      <c r="A940" s="3466">
        <v>938</v>
      </c>
      <c r="B940" s="3467" t="s">
        <v>3389</v>
      </c>
      <c r="C940" s="3466" t="s">
        <v>3390</v>
      </c>
      <c r="D940" s="3466">
        <v>-2</v>
      </c>
      <c r="E940" s="3471" t="s">
        <v>4327</v>
      </c>
      <c r="F940" s="3472">
        <v>45.73</v>
      </c>
    </row>
    <row r="941" spans="1:6" ht="13.5" customHeight="1">
      <c r="A941" s="3466">
        <v>939</v>
      </c>
      <c r="B941" s="3467" t="s">
        <v>3389</v>
      </c>
      <c r="C941" s="3466" t="s">
        <v>3390</v>
      </c>
      <c r="D941" s="3466">
        <v>-2</v>
      </c>
      <c r="E941" s="3471" t="s">
        <v>4328</v>
      </c>
      <c r="F941" s="3472">
        <v>45.73</v>
      </c>
    </row>
    <row r="942" spans="1:6" ht="13.5" customHeight="1">
      <c r="A942" s="3466">
        <v>940</v>
      </c>
      <c r="B942" s="3467" t="s">
        <v>3389</v>
      </c>
      <c r="C942" s="3466" t="s">
        <v>3390</v>
      </c>
      <c r="D942" s="3466">
        <v>-2</v>
      </c>
      <c r="E942" s="3471" t="s">
        <v>4329</v>
      </c>
      <c r="F942" s="3472">
        <v>45.73</v>
      </c>
    </row>
    <row r="943" spans="1:6" ht="13.5" customHeight="1">
      <c r="A943" s="3466">
        <v>941</v>
      </c>
      <c r="B943" s="3467" t="s">
        <v>3389</v>
      </c>
      <c r="C943" s="3466" t="s">
        <v>3390</v>
      </c>
      <c r="D943" s="3466">
        <v>-2</v>
      </c>
      <c r="E943" s="3471" t="s">
        <v>4330</v>
      </c>
      <c r="F943" s="3472">
        <v>45.73</v>
      </c>
    </row>
    <row r="944" spans="1:6" ht="13.5" customHeight="1">
      <c r="A944" s="3466">
        <v>942</v>
      </c>
      <c r="B944" s="3467" t="s">
        <v>3389</v>
      </c>
      <c r="C944" s="3466" t="s">
        <v>3390</v>
      </c>
      <c r="D944" s="3466">
        <v>-2</v>
      </c>
      <c r="E944" s="3471" t="s">
        <v>4331</v>
      </c>
      <c r="F944" s="3472">
        <v>45.73</v>
      </c>
    </row>
    <row r="945" spans="1:6" ht="13.5" customHeight="1">
      <c r="A945" s="3466">
        <v>943</v>
      </c>
      <c r="B945" s="3467" t="s">
        <v>3389</v>
      </c>
      <c r="C945" s="3466" t="s">
        <v>3390</v>
      </c>
      <c r="D945" s="3466">
        <v>-2</v>
      </c>
      <c r="E945" s="3471" t="s">
        <v>4332</v>
      </c>
      <c r="F945" s="3472">
        <v>45.73</v>
      </c>
    </row>
    <row r="946" spans="1:6" ht="13.5" customHeight="1">
      <c r="A946" s="3466">
        <v>944</v>
      </c>
      <c r="B946" s="3467" t="s">
        <v>3389</v>
      </c>
      <c r="C946" s="3466" t="s">
        <v>3390</v>
      </c>
      <c r="D946" s="3466">
        <v>-2</v>
      </c>
      <c r="E946" s="3471" t="s">
        <v>4333</v>
      </c>
      <c r="F946" s="3472">
        <v>45.73</v>
      </c>
    </row>
    <row r="947" spans="1:6" ht="13.5" customHeight="1">
      <c r="A947" s="3466">
        <v>945</v>
      </c>
      <c r="B947" s="3467" t="s">
        <v>3389</v>
      </c>
      <c r="C947" s="3466" t="s">
        <v>3390</v>
      </c>
      <c r="D947" s="3466">
        <v>-2</v>
      </c>
      <c r="E947" s="3471" t="s">
        <v>4334</v>
      </c>
      <c r="F947" s="3472">
        <v>45.73</v>
      </c>
    </row>
    <row r="948" spans="1:6" ht="13.5" customHeight="1">
      <c r="A948" s="3466">
        <v>946</v>
      </c>
      <c r="B948" s="3467" t="s">
        <v>3389</v>
      </c>
      <c r="C948" s="3466" t="s">
        <v>3390</v>
      </c>
      <c r="D948" s="3466">
        <v>-2</v>
      </c>
      <c r="E948" s="3471" t="s">
        <v>4335</v>
      </c>
      <c r="F948" s="3472">
        <v>45.73</v>
      </c>
    </row>
    <row r="949" spans="1:6" ht="13.5" customHeight="1">
      <c r="A949" s="3466">
        <v>947</v>
      </c>
      <c r="B949" s="3467" t="s">
        <v>3389</v>
      </c>
      <c r="C949" s="3466" t="s">
        <v>3390</v>
      </c>
      <c r="D949" s="3466">
        <v>-2</v>
      </c>
      <c r="E949" s="3471" t="s">
        <v>4336</v>
      </c>
      <c r="F949" s="3472">
        <v>45.73</v>
      </c>
    </row>
    <row r="950" spans="1:6" ht="13.5" customHeight="1">
      <c r="A950" s="3466">
        <v>948</v>
      </c>
      <c r="B950" s="3467" t="s">
        <v>3389</v>
      </c>
      <c r="C950" s="3466" t="s">
        <v>3390</v>
      </c>
      <c r="D950" s="3466">
        <v>-2</v>
      </c>
      <c r="E950" s="3471" t="s">
        <v>4337</v>
      </c>
      <c r="F950" s="3472">
        <v>45.73</v>
      </c>
    </row>
    <row r="951" spans="1:6" ht="13.5" customHeight="1">
      <c r="A951" s="3466">
        <v>949</v>
      </c>
      <c r="B951" s="3467" t="s">
        <v>3389</v>
      </c>
      <c r="C951" s="3466" t="s">
        <v>3390</v>
      </c>
      <c r="D951" s="3466">
        <v>-2</v>
      </c>
      <c r="E951" s="3471" t="s">
        <v>4338</v>
      </c>
      <c r="F951" s="3472">
        <v>45.73</v>
      </c>
    </row>
    <row r="952" spans="1:6" ht="13.5" customHeight="1">
      <c r="A952" s="3466">
        <v>950</v>
      </c>
      <c r="B952" s="3467" t="s">
        <v>3389</v>
      </c>
      <c r="C952" s="3466" t="s">
        <v>3390</v>
      </c>
      <c r="D952" s="3466">
        <v>-2</v>
      </c>
      <c r="E952" s="3471" t="s">
        <v>4339</v>
      </c>
      <c r="F952" s="3472">
        <v>45.73</v>
      </c>
    </row>
    <row r="953" spans="1:6" ht="13.5" customHeight="1">
      <c r="A953" s="3466">
        <v>951</v>
      </c>
      <c r="B953" s="3467" t="s">
        <v>3389</v>
      </c>
      <c r="C953" s="3466" t="s">
        <v>3390</v>
      </c>
      <c r="D953" s="3466">
        <v>-2</v>
      </c>
      <c r="E953" s="3471" t="s">
        <v>4340</v>
      </c>
      <c r="F953" s="3472">
        <v>45.73</v>
      </c>
    </row>
    <row r="954" spans="1:6" ht="13.5" customHeight="1">
      <c r="A954" s="3466">
        <v>952</v>
      </c>
      <c r="B954" s="3467" t="s">
        <v>3389</v>
      </c>
      <c r="C954" s="3466" t="s">
        <v>3390</v>
      </c>
      <c r="D954" s="3466">
        <v>-2</v>
      </c>
      <c r="E954" s="3471" t="s">
        <v>4341</v>
      </c>
      <c r="F954" s="3472">
        <v>45.73</v>
      </c>
    </row>
    <row r="955" spans="1:6" ht="13.5" customHeight="1">
      <c r="A955" s="3466">
        <v>953</v>
      </c>
      <c r="B955" s="3467" t="s">
        <v>3389</v>
      </c>
      <c r="C955" s="3466" t="s">
        <v>3390</v>
      </c>
      <c r="D955" s="3466">
        <v>-2</v>
      </c>
      <c r="E955" s="3471" t="s">
        <v>4342</v>
      </c>
      <c r="F955" s="3472">
        <v>45.73</v>
      </c>
    </row>
    <row r="956" spans="1:6" ht="13.5" customHeight="1">
      <c r="A956" s="3466">
        <v>954</v>
      </c>
      <c r="B956" s="3467" t="s">
        <v>3389</v>
      </c>
      <c r="C956" s="3466" t="s">
        <v>3390</v>
      </c>
      <c r="D956" s="3466">
        <v>-2</v>
      </c>
      <c r="E956" s="3471" t="s">
        <v>4343</v>
      </c>
      <c r="F956" s="3472">
        <v>45.73</v>
      </c>
    </row>
    <row r="957" spans="1:6" ht="13.5" customHeight="1">
      <c r="A957" s="3466">
        <v>955</v>
      </c>
      <c r="B957" s="3467" t="s">
        <v>3389</v>
      </c>
      <c r="C957" s="3466" t="s">
        <v>3390</v>
      </c>
      <c r="D957" s="3466">
        <v>-2</v>
      </c>
      <c r="E957" s="3471" t="s">
        <v>4344</v>
      </c>
      <c r="F957" s="3472">
        <v>45.73</v>
      </c>
    </row>
    <row r="958" spans="1:6" ht="13.5" customHeight="1">
      <c r="A958" s="3466">
        <v>956</v>
      </c>
      <c r="B958" s="3467" t="s">
        <v>3389</v>
      </c>
      <c r="C958" s="3466" t="s">
        <v>3390</v>
      </c>
      <c r="D958" s="3466">
        <v>-2</v>
      </c>
      <c r="E958" s="3471" t="s">
        <v>4345</v>
      </c>
      <c r="F958" s="3472">
        <v>45.73</v>
      </c>
    </row>
    <row r="959" spans="1:6" ht="13.5" customHeight="1">
      <c r="A959" s="3466">
        <v>957</v>
      </c>
      <c r="B959" s="3467" t="s">
        <v>3389</v>
      </c>
      <c r="C959" s="3466" t="s">
        <v>3390</v>
      </c>
      <c r="D959" s="3466">
        <v>-2</v>
      </c>
      <c r="E959" s="3471" t="s">
        <v>4346</v>
      </c>
      <c r="F959" s="3472">
        <v>45.73</v>
      </c>
    </row>
    <row r="960" spans="1:6" ht="13.5" customHeight="1">
      <c r="A960" s="3466">
        <v>958</v>
      </c>
      <c r="B960" s="3467" t="s">
        <v>3389</v>
      </c>
      <c r="C960" s="3466" t="s">
        <v>3390</v>
      </c>
      <c r="D960" s="3466">
        <v>-2</v>
      </c>
      <c r="E960" s="3471" t="s">
        <v>4347</v>
      </c>
      <c r="F960" s="3472">
        <v>45.73</v>
      </c>
    </row>
    <row r="961" spans="1:6" ht="13.5" customHeight="1">
      <c r="A961" s="3466">
        <v>959</v>
      </c>
      <c r="B961" s="3467" t="s">
        <v>3389</v>
      </c>
      <c r="C961" s="3466" t="s">
        <v>3390</v>
      </c>
      <c r="D961" s="3466">
        <v>-2</v>
      </c>
      <c r="E961" s="3471" t="s">
        <v>4348</v>
      </c>
      <c r="F961" s="3472">
        <v>45.73</v>
      </c>
    </row>
    <row r="962" spans="1:6" ht="13.5" customHeight="1">
      <c r="A962" s="3466">
        <v>960</v>
      </c>
      <c r="B962" s="3467" t="s">
        <v>3389</v>
      </c>
      <c r="C962" s="3466" t="s">
        <v>3390</v>
      </c>
      <c r="D962" s="3466">
        <v>-2</v>
      </c>
      <c r="E962" s="3471" t="s">
        <v>4349</v>
      </c>
      <c r="F962" s="3472">
        <v>45.73</v>
      </c>
    </row>
    <row r="963" spans="1:6" ht="13.5" customHeight="1">
      <c r="A963" s="3466">
        <v>961</v>
      </c>
      <c r="B963" s="3467" t="s">
        <v>3389</v>
      </c>
      <c r="C963" s="3466" t="s">
        <v>3390</v>
      </c>
      <c r="D963" s="3466">
        <v>-2</v>
      </c>
      <c r="E963" s="3471" t="s">
        <v>4350</v>
      </c>
      <c r="F963" s="3472">
        <v>45.73</v>
      </c>
    </row>
    <row r="964" spans="1:6" ht="13.5" customHeight="1">
      <c r="A964" s="3466">
        <v>962</v>
      </c>
      <c r="B964" s="3467" t="s">
        <v>3389</v>
      </c>
      <c r="C964" s="3466" t="s">
        <v>3390</v>
      </c>
      <c r="D964" s="3466">
        <v>-2</v>
      </c>
      <c r="E964" s="3471" t="s">
        <v>4351</v>
      </c>
      <c r="F964" s="3472">
        <v>45.73</v>
      </c>
    </row>
    <row r="965" spans="1:6" ht="13.5" customHeight="1">
      <c r="A965" s="3466">
        <v>963</v>
      </c>
      <c r="B965" s="3467" t="s">
        <v>3389</v>
      </c>
      <c r="C965" s="3466" t="s">
        <v>3390</v>
      </c>
      <c r="D965" s="3466">
        <v>-2</v>
      </c>
      <c r="E965" s="3471" t="s">
        <v>4352</v>
      </c>
      <c r="F965" s="3472">
        <v>45.73</v>
      </c>
    </row>
    <row r="966" spans="1:6" ht="13.5" customHeight="1">
      <c r="A966" s="3466">
        <v>964</v>
      </c>
      <c r="B966" s="3467" t="s">
        <v>3389</v>
      </c>
      <c r="C966" s="3466" t="s">
        <v>3390</v>
      </c>
      <c r="D966" s="3466">
        <v>-2</v>
      </c>
      <c r="E966" s="3471" t="s">
        <v>4353</v>
      </c>
      <c r="F966" s="3472">
        <v>45.73</v>
      </c>
    </row>
    <row r="967" spans="1:6" ht="13.5" customHeight="1">
      <c r="A967" s="3466">
        <v>965</v>
      </c>
      <c r="B967" s="3467" t="s">
        <v>3389</v>
      </c>
      <c r="C967" s="3466" t="s">
        <v>3390</v>
      </c>
      <c r="D967" s="3466">
        <v>-2</v>
      </c>
      <c r="E967" s="3471" t="s">
        <v>4354</v>
      </c>
      <c r="F967" s="3472">
        <v>45.73</v>
      </c>
    </row>
    <row r="968" spans="1:6" ht="13.5" customHeight="1">
      <c r="A968" s="3466">
        <v>966</v>
      </c>
      <c r="B968" s="3467" t="s">
        <v>3389</v>
      </c>
      <c r="C968" s="3466" t="s">
        <v>3390</v>
      </c>
      <c r="D968" s="3466">
        <v>-2</v>
      </c>
      <c r="E968" s="3471" t="s">
        <v>4355</v>
      </c>
      <c r="F968" s="3472">
        <v>45.73</v>
      </c>
    </row>
    <row r="969" spans="1:6" ht="13.5" customHeight="1">
      <c r="A969" s="3466">
        <v>967</v>
      </c>
      <c r="B969" s="3467" t="s">
        <v>3389</v>
      </c>
      <c r="C969" s="3466" t="s">
        <v>3390</v>
      </c>
      <c r="D969" s="3466">
        <v>-2</v>
      </c>
      <c r="E969" s="3471" t="s">
        <v>4356</v>
      </c>
      <c r="F969" s="3472">
        <v>45.73</v>
      </c>
    </row>
    <row r="970" spans="1:6" ht="13.5" customHeight="1">
      <c r="A970" s="3466">
        <v>968</v>
      </c>
      <c r="B970" s="3467" t="s">
        <v>3389</v>
      </c>
      <c r="C970" s="3466" t="s">
        <v>3390</v>
      </c>
      <c r="D970" s="3466">
        <v>-2</v>
      </c>
      <c r="E970" s="3471" t="s">
        <v>4357</v>
      </c>
      <c r="F970" s="3472">
        <v>45.73</v>
      </c>
    </row>
    <row r="971" spans="1:6" ht="13.5" customHeight="1">
      <c r="A971" s="3466">
        <v>969</v>
      </c>
      <c r="B971" s="3467" t="s">
        <v>3389</v>
      </c>
      <c r="C971" s="3466" t="s">
        <v>3390</v>
      </c>
      <c r="D971" s="3466">
        <v>-2</v>
      </c>
      <c r="E971" s="3471" t="s">
        <v>4358</v>
      </c>
      <c r="F971" s="3472">
        <v>45.73</v>
      </c>
    </row>
    <row r="972" spans="1:6" ht="13.5" customHeight="1">
      <c r="A972" s="3466">
        <v>970</v>
      </c>
      <c r="B972" s="3467" t="s">
        <v>3389</v>
      </c>
      <c r="C972" s="3466" t="s">
        <v>3390</v>
      </c>
      <c r="D972" s="3466">
        <v>-2</v>
      </c>
      <c r="E972" s="3471" t="s">
        <v>4359</v>
      </c>
      <c r="F972" s="3472">
        <v>45.73</v>
      </c>
    </row>
    <row r="973" spans="1:6" ht="13.5" customHeight="1">
      <c r="A973" s="3466">
        <v>971</v>
      </c>
      <c r="B973" s="3467" t="s">
        <v>3389</v>
      </c>
      <c r="C973" s="3466" t="s">
        <v>3390</v>
      </c>
      <c r="D973" s="3466">
        <v>-2</v>
      </c>
      <c r="E973" s="3471" t="s">
        <v>4360</v>
      </c>
      <c r="F973" s="3472">
        <v>45.73</v>
      </c>
    </row>
    <row r="974" spans="1:6" ht="13.5" customHeight="1">
      <c r="A974" s="3466">
        <v>972</v>
      </c>
      <c r="B974" s="3467" t="s">
        <v>3389</v>
      </c>
      <c r="C974" s="3466" t="s">
        <v>3390</v>
      </c>
      <c r="D974" s="3466">
        <v>-2</v>
      </c>
      <c r="E974" s="3471" t="s">
        <v>4361</v>
      </c>
      <c r="F974" s="3472">
        <v>45.73</v>
      </c>
    </row>
    <row r="975" spans="1:6" ht="13.5" customHeight="1">
      <c r="A975" s="3466">
        <v>973</v>
      </c>
      <c r="B975" s="3467" t="s">
        <v>3389</v>
      </c>
      <c r="C975" s="3466" t="s">
        <v>3390</v>
      </c>
      <c r="D975" s="3466">
        <v>-2</v>
      </c>
      <c r="E975" s="3471" t="s">
        <v>4362</v>
      </c>
      <c r="F975" s="3472">
        <v>45.73</v>
      </c>
    </row>
    <row r="976" spans="1:6" ht="13.5" customHeight="1">
      <c r="A976" s="3466">
        <v>974</v>
      </c>
      <c r="B976" s="3467" t="s">
        <v>3389</v>
      </c>
      <c r="C976" s="3466" t="s">
        <v>3390</v>
      </c>
      <c r="D976" s="3466">
        <v>-2</v>
      </c>
      <c r="E976" s="3471" t="s">
        <v>4363</v>
      </c>
      <c r="F976" s="3472">
        <v>45.73</v>
      </c>
    </row>
    <row r="977" spans="1:6" ht="13.5" customHeight="1">
      <c r="A977" s="3466">
        <v>975</v>
      </c>
      <c r="B977" s="3467" t="s">
        <v>3389</v>
      </c>
      <c r="C977" s="3466" t="s">
        <v>3390</v>
      </c>
      <c r="D977" s="3466">
        <v>-2</v>
      </c>
      <c r="E977" s="3471" t="s">
        <v>4364</v>
      </c>
      <c r="F977" s="3472">
        <v>45.73</v>
      </c>
    </row>
    <row r="978" spans="1:6" ht="13.5" customHeight="1">
      <c r="A978" s="3466">
        <v>976</v>
      </c>
      <c r="B978" s="3467" t="s">
        <v>3389</v>
      </c>
      <c r="C978" s="3466" t="s">
        <v>3390</v>
      </c>
      <c r="D978" s="3466">
        <v>-2</v>
      </c>
      <c r="E978" s="3471" t="s">
        <v>4365</v>
      </c>
      <c r="F978" s="3472">
        <v>45.73</v>
      </c>
    </row>
    <row r="979" spans="1:6" ht="13.5" customHeight="1">
      <c r="A979" s="3466">
        <v>977</v>
      </c>
      <c r="B979" s="3467" t="s">
        <v>3389</v>
      </c>
      <c r="C979" s="3466" t="s">
        <v>3390</v>
      </c>
      <c r="D979" s="3466">
        <v>-2</v>
      </c>
      <c r="E979" s="3471" t="s">
        <v>4366</v>
      </c>
      <c r="F979" s="3472">
        <v>45.73</v>
      </c>
    </row>
    <row r="980" spans="1:6" ht="13.5" customHeight="1">
      <c r="A980" s="3466">
        <v>978</v>
      </c>
      <c r="B980" s="3467" t="s">
        <v>3389</v>
      </c>
      <c r="C980" s="3466" t="s">
        <v>3390</v>
      </c>
      <c r="D980" s="3466">
        <v>-2</v>
      </c>
      <c r="E980" s="3471" t="s">
        <v>4367</v>
      </c>
      <c r="F980" s="3472">
        <v>45.73</v>
      </c>
    </row>
    <row r="981" spans="1:6" ht="13.5" customHeight="1">
      <c r="A981" s="3466">
        <v>979</v>
      </c>
      <c r="B981" s="3467" t="s">
        <v>3389</v>
      </c>
      <c r="C981" s="3466" t="s">
        <v>3390</v>
      </c>
      <c r="D981" s="3466">
        <v>-2</v>
      </c>
      <c r="E981" s="3471" t="s">
        <v>4368</v>
      </c>
      <c r="F981" s="3472">
        <v>45.73</v>
      </c>
    </row>
    <row r="982" spans="1:6" ht="13.5" customHeight="1">
      <c r="A982" s="3466">
        <v>980</v>
      </c>
      <c r="B982" s="3467" t="s">
        <v>3389</v>
      </c>
      <c r="C982" s="3466" t="s">
        <v>3390</v>
      </c>
      <c r="D982" s="3466">
        <v>-2</v>
      </c>
      <c r="E982" s="3471" t="s">
        <v>4369</v>
      </c>
      <c r="F982" s="3472">
        <v>45.73</v>
      </c>
    </row>
    <row r="983" spans="1:6" ht="13.5" customHeight="1">
      <c r="A983" s="3466">
        <v>981</v>
      </c>
      <c r="B983" s="3467" t="s">
        <v>3389</v>
      </c>
      <c r="C983" s="3466" t="s">
        <v>3390</v>
      </c>
      <c r="D983" s="3466">
        <v>-2</v>
      </c>
      <c r="E983" s="3471" t="s">
        <v>4370</v>
      </c>
      <c r="F983" s="3472">
        <v>45.73</v>
      </c>
    </row>
    <row r="984" spans="1:6" ht="13.5" customHeight="1">
      <c r="A984" s="3466">
        <v>982</v>
      </c>
      <c r="B984" s="3467" t="s">
        <v>3389</v>
      </c>
      <c r="C984" s="3466" t="s">
        <v>3390</v>
      </c>
      <c r="D984" s="3466">
        <v>-2</v>
      </c>
      <c r="E984" s="3471" t="s">
        <v>4371</v>
      </c>
      <c r="F984" s="3472">
        <v>45.73</v>
      </c>
    </row>
    <row r="985" spans="1:6" ht="13.5" customHeight="1">
      <c r="A985" s="3466">
        <v>983</v>
      </c>
      <c r="B985" s="3467" t="s">
        <v>3389</v>
      </c>
      <c r="C985" s="3466" t="s">
        <v>3390</v>
      </c>
      <c r="D985" s="3466">
        <v>-2</v>
      </c>
      <c r="E985" s="3471" t="s">
        <v>4372</v>
      </c>
      <c r="F985" s="3472">
        <v>45.73</v>
      </c>
    </row>
    <row r="986" spans="1:6" ht="13.5" customHeight="1">
      <c r="A986" s="3466">
        <v>984</v>
      </c>
      <c r="B986" s="3467" t="s">
        <v>3389</v>
      </c>
      <c r="C986" s="3466" t="s">
        <v>3390</v>
      </c>
      <c r="D986" s="3466">
        <v>-2</v>
      </c>
      <c r="E986" s="3471" t="s">
        <v>4373</v>
      </c>
      <c r="F986" s="3472">
        <v>45.73</v>
      </c>
    </row>
    <row r="987" spans="1:6" ht="13.5" customHeight="1">
      <c r="A987" s="3466">
        <v>985</v>
      </c>
      <c r="B987" s="3467" t="s">
        <v>3389</v>
      </c>
      <c r="C987" s="3466" t="s">
        <v>3390</v>
      </c>
      <c r="D987" s="3466">
        <v>-2</v>
      </c>
      <c r="E987" s="3471" t="s">
        <v>4374</v>
      </c>
      <c r="F987" s="3472">
        <v>45.73</v>
      </c>
    </row>
    <row r="988" spans="1:6" ht="13.5" customHeight="1">
      <c r="A988" s="3466">
        <v>986</v>
      </c>
      <c r="B988" s="3467" t="s">
        <v>3389</v>
      </c>
      <c r="C988" s="3466" t="s">
        <v>3390</v>
      </c>
      <c r="D988" s="3466">
        <v>-2</v>
      </c>
      <c r="E988" s="3471" t="s">
        <v>4375</v>
      </c>
      <c r="F988" s="3472">
        <v>45.73</v>
      </c>
    </row>
    <row r="989" spans="1:6" ht="13.5" customHeight="1">
      <c r="A989" s="3466">
        <v>987</v>
      </c>
      <c r="B989" s="3467" t="s">
        <v>3389</v>
      </c>
      <c r="C989" s="3466" t="s">
        <v>3390</v>
      </c>
      <c r="D989" s="3466">
        <v>-2</v>
      </c>
      <c r="E989" s="3471" t="s">
        <v>4376</v>
      </c>
      <c r="F989" s="3472">
        <v>45.73</v>
      </c>
    </row>
    <row r="990" spans="1:6" ht="13.5" customHeight="1">
      <c r="A990" s="3466">
        <v>988</v>
      </c>
      <c r="B990" s="3467" t="s">
        <v>3389</v>
      </c>
      <c r="C990" s="3466" t="s">
        <v>3390</v>
      </c>
      <c r="D990" s="3466">
        <v>-2</v>
      </c>
      <c r="E990" s="3471" t="s">
        <v>4377</v>
      </c>
      <c r="F990" s="3472">
        <v>45.73</v>
      </c>
    </row>
    <row r="991" spans="1:6" ht="13.5" customHeight="1">
      <c r="A991" s="3466">
        <v>989</v>
      </c>
      <c r="B991" s="3467" t="s">
        <v>3389</v>
      </c>
      <c r="C991" s="3466" t="s">
        <v>3390</v>
      </c>
      <c r="D991" s="3466">
        <v>-2</v>
      </c>
      <c r="E991" s="3471" t="s">
        <v>4378</v>
      </c>
      <c r="F991" s="3472">
        <v>45.73</v>
      </c>
    </row>
    <row r="992" spans="1:6" ht="13.5" customHeight="1">
      <c r="A992" s="3466">
        <v>990</v>
      </c>
      <c r="B992" s="3467" t="s">
        <v>3389</v>
      </c>
      <c r="C992" s="3466" t="s">
        <v>3390</v>
      </c>
      <c r="D992" s="3466">
        <v>-2</v>
      </c>
      <c r="E992" s="3471" t="s">
        <v>4379</v>
      </c>
      <c r="F992" s="3472">
        <v>45.73</v>
      </c>
    </row>
    <row r="993" spans="1:6" ht="13.5" customHeight="1">
      <c r="A993" s="3466">
        <v>991</v>
      </c>
      <c r="B993" s="3467" t="s">
        <v>3389</v>
      </c>
      <c r="C993" s="3466" t="s">
        <v>3390</v>
      </c>
      <c r="D993" s="3466">
        <v>-2</v>
      </c>
      <c r="E993" s="3471" t="s">
        <v>4380</v>
      </c>
      <c r="F993" s="3472">
        <v>45.73</v>
      </c>
    </row>
    <row r="994" spans="1:6" ht="13.5" customHeight="1">
      <c r="A994" s="3466">
        <v>992</v>
      </c>
      <c r="B994" s="3467" t="s">
        <v>3389</v>
      </c>
      <c r="C994" s="3466" t="s">
        <v>3390</v>
      </c>
      <c r="D994" s="3466">
        <v>-2</v>
      </c>
      <c r="E994" s="3471" t="s">
        <v>4381</v>
      </c>
      <c r="F994" s="3472">
        <v>45.73</v>
      </c>
    </row>
    <row r="995" spans="1:6" ht="13.5" customHeight="1">
      <c r="A995" s="3466">
        <v>993</v>
      </c>
      <c r="B995" s="3467" t="s">
        <v>3389</v>
      </c>
      <c r="C995" s="3466" t="s">
        <v>3390</v>
      </c>
      <c r="D995" s="3466">
        <v>-2</v>
      </c>
      <c r="E995" s="3471" t="s">
        <v>4382</v>
      </c>
      <c r="F995" s="3472">
        <v>45.73</v>
      </c>
    </row>
    <row r="996" spans="1:6" ht="13.5" customHeight="1">
      <c r="A996" s="3466">
        <v>994</v>
      </c>
      <c r="B996" s="3467" t="s">
        <v>3389</v>
      </c>
      <c r="C996" s="3466" t="s">
        <v>3390</v>
      </c>
      <c r="D996" s="3466">
        <v>-2</v>
      </c>
      <c r="E996" s="3471" t="s">
        <v>4383</v>
      </c>
      <c r="F996" s="3472">
        <v>38.43</v>
      </c>
    </row>
    <row r="997" spans="1:6" ht="13.5" customHeight="1">
      <c r="A997" s="3466">
        <v>995</v>
      </c>
      <c r="B997" s="3467" t="s">
        <v>3389</v>
      </c>
      <c r="C997" s="3466" t="s">
        <v>3390</v>
      </c>
      <c r="D997" s="3466">
        <v>-2</v>
      </c>
      <c r="E997" s="3471" t="s">
        <v>4384</v>
      </c>
      <c r="F997" s="3472">
        <v>38.43</v>
      </c>
    </row>
    <row r="998" spans="1:6" ht="13.5" customHeight="1">
      <c r="A998" s="3466">
        <v>996</v>
      </c>
      <c r="B998" s="3467" t="s">
        <v>3389</v>
      </c>
      <c r="C998" s="3466" t="s">
        <v>3390</v>
      </c>
      <c r="D998" s="3466">
        <v>-2</v>
      </c>
      <c r="E998" s="3471" t="s">
        <v>4385</v>
      </c>
      <c r="F998" s="3472">
        <v>38.43</v>
      </c>
    </row>
    <row r="999" spans="1:6" ht="13.5" customHeight="1">
      <c r="A999" s="3466">
        <v>997</v>
      </c>
      <c r="B999" s="3467" t="s">
        <v>3389</v>
      </c>
      <c r="C999" s="3466" t="s">
        <v>3390</v>
      </c>
      <c r="D999" s="3466">
        <v>-2</v>
      </c>
      <c r="E999" s="3471" t="s">
        <v>4386</v>
      </c>
      <c r="F999" s="3472">
        <v>45.73</v>
      </c>
    </row>
    <row r="1000" spans="1:6" ht="13.5" customHeight="1">
      <c r="A1000" s="3466">
        <v>998</v>
      </c>
      <c r="B1000" s="3467" t="s">
        <v>3389</v>
      </c>
      <c r="C1000" s="3466" t="s">
        <v>3390</v>
      </c>
      <c r="D1000" s="3466">
        <v>-2</v>
      </c>
      <c r="E1000" s="3471" t="s">
        <v>4387</v>
      </c>
      <c r="F1000" s="3472">
        <v>45.73</v>
      </c>
    </row>
    <row r="1001" spans="1:6" ht="13.5" customHeight="1">
      <c r="A1001" s="3466">
        <v>999</v>
      </c>
      <c r="B1001" s="3467" t="s">
        <v>3389</v>
      </c>
      <c r="C1001" s="3466" t="s">
        <v>3390</v>
      </c>
      <c r="D1001" s="3466">
        <v>-2</v>
      </c>
      <c r="E1001" s="3471" t="s">
        <v>4388</v>
      </c>
      <c r="F1001" s="3472">
        <v>45.73</v>
      </c>
    </row>
    <row r="1002" spans="1:6" ht="13.5" customHeight="1">
      <c r="A1002" s="3466">
        <v>1000</v>
      </c>
      <c r="B1002" s="3467" t="s">
        <v>3389</v>
      </c>
      <c r="C1002" s="3466" t="s">
        <v>3390</v>
      </c>
      <c r="D1002" s="3466">
        <v>-2</v>
      </c>
      <c r="E1002" s="3471" t="s">
        <v>4389</v>
      </c>
      <c r="F1002" s="3472">
        <v>45.73</v>
      </c>
    </row>
    <row r="1003" spans="1:6" ht="13.5" customHeight="1">
      <c r="A1003" s="3466">
        <v>1001</v>
      </c>
      <c r="B1003" s="3467" t="s">
        <v>3389</v>
      </c>
      <c r="C1003" s="3466" t="s">
        <v>3390</v>
      </c>
      <c r="D1003" s="3466">
        <v>-2</v>
      </c>
      <c r="E1003" s="3471" t="s">
        <v>4390</v>
      </c>
      <c r="F1003" s="3472">
        <v>45.73</v>
      </c>
    </row>
    <row r="1004" spans="1:6" ht="13.5" customHeight="1">
      <c r="A1004" s="3466">
        <v>1002</v>
      </c>
      <c r="B1004" s="3467" t="s">
        <v>3389</v>
      </c>
      <c r="C1004" s="3466" t="s">
        <v>3390</v>
      </c>
      <c r="D1004" s="3466">
        <v>-2</v>
      </c>
      <c r="E1004" s="3471" t="s">
        <v>4391</v>
      </c>
      <c r="F1004" s="3472">
        <v>45.73</v>
      </c>
    </row>
    <row r="1005" spans="1:6" ht="13.5" customHeight="1">
      <c r="A1005" s="3466">
        <v>1003</v>
      </c>
      <c r="B1005" s="3467" t="s">
        <v>3389</v>
      </c>
      <c r="C1005" s="3466" t="s">
        <v>3390</v>
      </c>
      <c r="D1005" s="3466">
        <v>-2</v>
      </c>
      <c r="E1005" s="3471" t="s">
        <v>4392</v>
      </c>
      <c r="F1005" s="3472">
        <v>45.3</v>
      </c>
    </row>
    <row r="1006" spans="1:6" ht="13.5" customHeight="1">
      <c r="A1006" s="3466">
        <v>1004</v>
      </c>
      <c r="B1006" s="3467" t="s">
        <v>3389</v>
      </c>
      <c r="C1006" s="3466" t="s">
        <v>3390</v>
      </c>
      <c r="D1006" s="3466">
        <v>-2</v>
      </c>
      <c r="E1006" s="3471" t="s">
        <v>4393</v>
      </c>
      <c r="F1006" s="3472">
        <v>45.3</v>
      </c>
    </row>
    <row r="1007" spans="1:6" ht="13.5" customHeight="1">
      <c r="A1007" s="3466">
        <v>1005</v>
      </c>
      <c r="B1007" s="3467" t="s">
        <v>3389</v>
      </c>
      <c r="C1007" s="3466" t="s">
        <v>3390</v>
      </c>
      <c r="D1007" s="3466">
        <v>-2</v>
      </c>
      <c r="E1007" s="3471" t="s">
        <v>4394</v>
      </c>
      <c r="F1007" s="3472">
        <v>45.3</v>
      </c>
    </row>
    <row r="1008" spans="1:6" ht="13.5" customHeight="1">
      <c r="A1008" s="3466">
        <v>1006</v>
      </c>
      <c r="B1008" s="3467" t="s">
        <v>3389</v>
      </c>
      <c r="C1008" s="3466" t="s">
        <v>3390</v>
      </c>
      <c r="D1008" s="3466">
        <v>-2</v>
      </c>
      <c r="E1008" s="3471" t="s">
        <v>4395</v>
      </c>
      <c r="F1008" s="3472">
        <v>45.3</v>
      </c>
    </row>
    <row r="1009" spans="1:6" ht="13.5" customHeight="1">
      <c r="A1009" s="3466">
        <v>1007</v>
      </c>
      <c r="B1009" s="3467" t="s">
        <v>3389</v>
      </c>
      <c r="C1009" s="3466" t="s">
        <v>3390</v>
      </c>
      <c r="D1009" s="3466">
        <v>-2</v>
      </c>
      <c r="E1009" s="3471" t="s">
        <v>4396</v>
      </c>
      <c r="F1009" s="3472">
        <v>45.3</v>
      </c>
    </row>
    <row r="1010" spans="1:6" ht="13.5" customHeight="1">
      <c r="A1010" s="3466">
        <v>1008</v>
      </c>
      <c r="B1010" s="3467" t="s">
        <v>3389</v>
      </c>
      <c r="C1010" s="3466" t="s">
        <v>3390</v>
      </c>
      <c r="D1010" s="3466">
        <v>-2</v>
      </c>
      <c r="E1010" s="3471" t="s">
        <v>4397</v>
      </c>
      <c r="F1010" s="3472">
        <v>45.3</v>
      </c>
    </row>
    <row r="1011" spans="1:6" ht="13.5" customHeight="1">
      <c r="A1011" s="3466">
        <v>1009</v>
      </c>
      <c r="B1011" s="3467" t="s">
        <v>3389</v>
      </c>
      <c r="C1011" s="3466" t="s">
        <v>3390</v>
      </c>
      <c r="D1011" s="3466">
        <v>-2</v>
      </c>
      <c r="E1011" s="3471" t="s">
        <v>4398</v>
      </c>
      <c r="F1011" s="3472">
        <v>45.3</v>
      </c>
    </row>
    <row r="1012" spans="1:6" ht="13.5" customHeight="1">
      <c r="A1012" s="3466">
        <v>1010</v>
      </c>
      <c r="B1012" s="3467" t="s">
        <v>3389</v>
      </c>
      <c r="C1012" s="3466"/>
      <c r="D1012" s="3466">
        <v>-2</v>
      </c>
      <c r="E1012" s="3471" t="s">
        <v>4399</v>
      </c>
      <c r="F1012" s="3472">
        <v>10.4</v>
      </c>
    </row>
    <row r="1013" spans="1:6" ht="13.5" customHeight="1">
      <c r="A1013" s="3466">
        <v>1011</v>
      </c>
      <c r="B1013" s="3467" t="s">
        <v>3389</v>
      </c>
      <c r="C1013" s="3466"/>
      <c r="D1013" s="3466">
        <v>-2</v>
      </c>
      <c r="E1013" s="3471" t="s">
        <v>4400</v>
      </c>
      <c r="F1013" s="3472">
        <v>109.27</v>
      </c>
    </row>
    <row r="1014" spans="1:6" ht="13.5" customHeight="1">
      <c r="A1014" s="3466">
        <v>1012</v>
      </c>
      <c r="B1014" s="3467" t="s">
        <v>3389</v>
      </c>
      <c r="C1014" s="3466"/>
      <c r="D1014" s="3466">
        <v>-2</v>
      </c>
      <c r="E1014" s="3471" t="s">
        <v>4401</v>
      </c>
      <c r="F1014" s="3472">
        <v>55.9</v>
      </c>
    </row>
    <row r="1015" spans="1:6" ht="13.5" customHeight="1">
      <c r="A1015" s="3466">
        <v>1013</v>
      </c>
      <c r="B1015" s="3467" t="s">
        <v>3389</v>
      </c>
      <c r="C1015" s="3466"/>
      <c r="D1015" s="3466">
        <v>-2</v>
      </c>
      <c r="E1015" s="3471" t="s">
        <v>4402</v>
      </c>
      <c r="F1015" s="3472">
        <v>40.96</v>
      </c>
    </row>
    <row r="1016" spans="1:6" ht="13.5" customHeight="1">
      <c r="A1016" s="3466">
        <v>1014</v>
      </c>
      <c r="B1016" s="3467" t="s">
        <v>3389</v>
      </c>
      <c r="C1016" s="3466"/>
      <c r="D1016" s="3466">
        <v>-2</v>
      </c>
      <c r="E1016" s="3471" t="s">
        <v>4403</v>
      </c>
      <c r="F1016" s="3472">
        <v>5.72</v>
      </c>
    </row>
    <row r="1017" spans="1:6" ht="13.5" customHeight="1">
      <c r="A1017" s="3466">
        <v>1015</v>
      </c>
      <c r="B1017" s="3467" t="s">
        <v>3389</v>
      </c>
      <c r="C1017" s="3466"/>
      <c r="D1017" s="3466">
        <v>-2</v>
      </c>
      <c r="E1017" s="3471" t="s">
        <v>4404</v>
      </c>
      <c r="F1017" s="3472">
        <v>17.73</v>
      </c>
    </row>
    <row r="1018" spans="1:6" ht="13.5" customHeight="1">
      <c r="A1018" s="3466">
        <v>1016</v>
      </c>
      <c r="B1018" s="3467" t="s">
        <v>3389</v>
      </c>
      <c r="C1018" s="3466"/>
      <c r="D1018" s="3466">
        <v>-2</v>
      </c>
      <c r="E1018" s="3471" t="s">
        <v>4405</v>
      </c>
      <c r="F1018" s="3472">
        <v>33.72</v>
      </c>
    </row>
    <row r="1019" spans="1:6" ht="13.5" customHeight="1">
      <c r="A1019" s="3466">
        <v>1017</v>
      </c>
      <c r="B1019" s="3467" t="s">
        <v>3389</v>
      </c>
      <c r="C1019" s="3466"/>
      <c r="D1019" s="3466">
        <v>-2</v>
      </c>
      <c r="E1019" s="3471" t="s">
        <v>4406</v>
      </c>
      <c r="F1019" s="3472">
        <v>38.950000000000003</v>
      </c>
    </row>
    <row r="1020" spans="1:6" ht="13.5" customHeight="1">
      <c r="A1020" s="3466">
        <v>1018</v>
      </c>
      <c r="B1020" s="3467" t="s">
        <v>3389</v>
      </c>
      <c r="C1020" s="3466"/>
      <c r="D1020" s="3466">
        <v>-2</v>
      </c>
      <c r="E1020" s="3471" t="s">
        <v>4407</v>
      </c>
      <c r="F1020" s="3472">
        <v>54.38</v>
      </c>
    </row>
    <row r="1021" spans="1:6" ht="13.5" customHeight="1">
      <c r="A1021" s="3466">
        <v>1019</v>
      </c>
      <c r="B1021" s="3467" t="s">
        <v>3389</v>
      </c>
      <c r="C1021" s="3466"/>
      <c r="D1021" s="3466">
        <v>-2</v>
      </c>
      <c r="E1021" s="3471" t="s">
        <v>4408</v>
      </c>
      <c r="F1021" s="3472">
        <v>14.99</v>
      </c>
    </row>
    <row r="1022" spans="1:6" ht="13.5" customHeight="1">
      <c r="A1022" s="3466">
        <v>1020</v>
      </c>
      <c r="B1022" s="3467" t="s">
        <v>3389</v>
      </c>
      <c r="C1022" s="3466"/>
      <c r="D1022" s="3466">
        <v>-2</v>
      </c>
      <c r="E1022" s="3471" t="s">
        <v>4409</v>
      </c>
      <c r="F1022" s="3472">
        <v>19.39</v>
      </c>
    </row>
    <row r="1023" spans="1:6" ht="13.5" customHeight="1">
      <c r="A1023" s="3466">
        <v>1021</v>
      </c>
      <c r="B1023" s="3467" t="s">
        <v>3389</v>
      </c>
      <c r="C1023" s="3466" t="s">
        <v>3390</v>
      </c>
      <c r="D1023" s="3466">
        <v>-2</v>
      </c>
      <c r="E1023" s="3471" t="s">
        <v>4410</v>
      </c>
      <c r="F1023" s="3472">
        <v>31.64</v>
      </c>
    </row>
    <row r="1024" spans="1:6" ht="13.5" customHeight="1">
      <c r="A1024" s="3466">
        <v>1022</v>
      </c>
      <c r="B1024" s="3467" t="s">
        <v>3389</v>
      </c>
      <c r="C1024" s="3466" t="s">
        <v>3390</v>
      </c>
      <c r="D1024" s="3466">
        <v>-2</v>
      </c>
      <c r="E1024" s="3471" t="s">
        <v>4411</v>
      </c>
      <c r="F1024" s="3472">
        <v>31.64</v>
      </c>
    </row>
    <row r="1025" spans="1:6" ht="13.5" customHeight="1">
      <c r="A1025" s="3466">
        <v>1023</v>
      </c>
      <c r="B1025" s="3467" t="s">
        <v>3389</v>
      </c>
      <c r="C1025" s="3466" t="s">
        <v>3390</v>
      </c>
      <c r="D1025" s="3466">
        <v>-2</v>
      </c>
      <c r="E1025" s="3471" t="s">
        <v>4412</v>
      </c>
      <c r="F1025" s="3472">
        <v>31.64</v>
      </c>
    </row>
    <row r="1026" spans="1:6" ht="13.5" customHeight="1">
      <c r="A1026" s="3466">
        <v>1024</v>
      </c>
      <c r="B1026" s="3467" t="s">
        <v>3389</v>
      </c>
      <c r="C1026" s="3466" t="s">
        <v>3390</v>
      </c>
      <c r="D1026" s="3466">
        <v>-2</v>
      </c>
      <c r="E1026" s="3471" t="s">
        <v>4413</v>
      </c>
      <c r="F1026" s="3472">
        <v>31.64</v>
      </c>
    </row>
    <row r="1027" spans="1:6" ht="13.5" customHeight="1">
      <c r="A1027" s="3466">
        <v>1025</v>
      </c>
      <c r="B1027" s="3467" t="s">
        <v>3389</v>
      </c>
      <c r="C1027" s="3466" t="s">
        <v>3390</v>
      </c>
      <c r="D1027" s="3466">
        <v>-2</v>
      </c>
      <c r="E1027" s="3471" t="s">
        <v>4414</v>
      </c>
      <c r="F1027" s="3472">
        <v>31.64</v>
      </c>
    </row>
    <row r="1028" spans="1:6" ht="13.5" customHeight="1">
      <c r="A1028" s="3466">
        <v>1026</v>
      </c>
      <c r="B1028" s="3467" t="s">
        <v>3389</v>
      </c>
      <c r="C1028" s="3466" t="s">
        <v>3390</v>
      </c>
      <c r="D1028" s="3466">
        <v>-2</v>
      </c>
      <c r="E1028" s="3471" t="s">
        <v>4415</v>
      </c>
      <c r="F1028" s="3472">
        <v>31.64</v>
      </c>
    </row>
    <row r="1029" spans="1:6" ht="13.5" customHeight="1">
      <c r="A1029" s="3466">
        <v>1027</v>
      </c>
      <c r="B1029" s="3467" t="s">
        <v>3389</v>
      </c>
      <c r="C1029" s="3466" t="s">
        <v>3390</v>
      </c>
      <c r="D1029" s="3466">
        <v>-2</v>
      </c>
      <c r="E1029" s="3471" t="s">
        <v>4416</v>
      </c>
      <c r="F1029" s="3472">
        <v>31.64</v>
      </c>
    </row>
    <row r="1030" spans="1:6" ht="13.5" customHeight="1">
      <c r="A1030" s="3466">
        <v>1028</v>
      </c>
      <c r="B1030" s="3467" t="s">
        <v>3389</v>
      </c>
      <c r="C1030" s="3466" t="s">
        <v>3390</v>
      </c>
      <c r="D1030" s="3466">
        <v>-2</v>
      </c>
      <c r="E1030" s="3471" t="s">
        <v>4417</v>
      </c>
      <c r="F1030" s="3472">
        <v>31.64</v>
      </c>
    </row>
    <row r="1031" spans="1:6" ht="13.5" customHeight="1">
      <c r="A1031" s="3466">
        <v>1029</v>
      </c>
      <c r="B1031" s="3467" t="s">
        <v>3389</v>
      </c>
      <c r="C1031" s="3466" t="s">
        <v>3390</v>
      </c>
      <c r="D1031" s="3466">
        <v>-2</v>
      </c>
      <c r="E1031" s="3471" t="s">
        <v>4418</v>
      </c>
      <c r="F1031" s="3472">
        <v>31.64</v>
      </c>
    </row>
    <row r="1032" spans="1:6" ht="13.5" customHeight="1">
      <c r="A1032" s="3466">
        <v>1030</v>
      </c>
      <c r="B1032" s="3467" t="s">
        <v>3389</v>
      </c>
      <c r="C1032" s="3466" t="s">
        <v>3390</v>
      </c>
      <c r="D1032" s="3466">
        <v>-2</v>
      </c>
      <c r="E1032" s="3471" t="s">
        <v>4419</v>
      </c>
      <c r="F1032" s="3472">
        <v>31.64</v>
      </c>
    </row>
    <row r="1033" spans="1:6" ht="13.5" customHeight="1">
      <c r="A1033" s="3466">
        <v>1031</v>
      </c>
      <c r="B1033" s="3467" t="s">
        <v>3389</v>
      </c>
      <c r="C1033" s="3466" t="s">
        <v>3390</v>
      </c>
      <c r="D1033" s="3466">
        <v>-2</v>
      </c>
      <c r="E1033" s="3471" t="s">
        <v>4420</v>
      </c>
      <c r="F1033" s="3472">
        <v>31.64</v>
      </c>
    </row>
    <row r="1034" spans="1:6" ht="13.5" customHeight="1">
      <c r="A1034" s="3466">
        <v>1032</v>
      </c>
      <c r="B1034" s="3467" t="s">
        <v>3389</v>
      </c>
      <c r="C1034" s="3466" t="s">
        <v>3390</v>
      </c>
      <c r="D1034" s="3466">
        <v>-2</v>
      </c>
      <c r="E1034" s="3471" t="s">
        <v>4421</v>
      </c>
      <c r="F1034" s="3472">
        <v>31.64</v>
      </c>
    </row>
    <row r="1035" spans="1:6" ht="13.5" customHeight="1">
      <c r="A1035" s="3466">
        <v>1033</v>
      </c>
      <c r="B1035" s="3467" t="s">
        <v>3389</v>
      </c>
      <c r="C1035" s="3466" t="s">
        <v>3390</v>
      </c>
      <c r="D1035" s="3466">
        <v>-2</v>
      </c>
      <c r="E1035" s="3471" t="s">
        <v>4422</v>
      </c>
      <c r="F1035" s="3472">
        <v>31.64</v>
      </c>
    </row>
    <row r="1036" spans="1:6" ht="13.5" customHeight="1">
      <c r="A1036" s="3466">
        <v>1034</v>
      </c>
      <c r="B1036" s="3467" t="s">
        <v>3389</v>
      </c>
      <c r="C1036" s="3466" t="s">
        <v>3390</v>
      </c>
      <c r="D1036" s="3466">
        <v>-2</v>
      </c>
      <c r="E1036" s="3471" t="s">
        <v>4423</v>
      </c>
      <c r="F1036" s="3472">
        <v>31.64</v>
      </c>
    </row>
    <row r="1037" spans="1:6" ht="13.5" customHeight="1">
      <c r="A1037" s="3466">
        <v>1035</v>
      </c>
      <c r="B1037" s="3467" t="s">
        <v>3389</v>
      </c>
      <c r="C1037" s="3466" t="s">
        <v>3390</v>
      </c>
      <c r="D1037" s="3466">
        <v>-2</v>
      </c>
      <c r="E1037" s="3471" t="s">
        <v>4424</v>
      </c>
      <c r="F1037" s="3472">
        <v>31.64</v>
      </c>
    </row>
    <row r="1038" spans="1:6" ht="13.5" customHeight="1">
      <c r="A1038" s="3466">
        <v>1036</v>
      </c>
      <c r="B1038" s="3467" t="s">
        <v>3389</v>
      </c>
      <c r="C1038" s="3466" t="s">
        <v>3390</v>
      </c>
      <c r="D1038" s="3466">
        <v>-2</v>
      </c>
      <c r="E1038" s="3471" t="s">
        <v>4425</v>
      </c>
      <c r="F1038" s="3472">
        <v>31.64</v>
      </c>
    </row>
    <row r="1039" spans="1:6" ht="13.5" customHeight="1">
      <c r="A1039" s="3466">
        <v>1037</v>
      </c>
      <c r="B1039" s="3467" t="s">
        <v>3389</v>
      </c>
      <c r="C1039" s="3466" t="s">
        <v>3390</v>
      </c>
      <c r="D1039" s="3466">
        <v>-2</v>
      </c>
      <c r="E1039" s="3471" t="s">
        <v>4426</v>
      </c>
      <c r="F1039" s="3472">
        <v>31.64</v>
      </c>
    </row>
    <row r="1040" spans="1:6" ht="13.5" customHeight="1">
      <c r="A1040" s="3466">
        <v>1038</v>
      </c>
      <c r="B1040" s="3467" t="s">
        <v>3389</v>
      </c>
      <c r="C1040" s="3466" t="s">
        <v>3390</v>
      </c>
      <c r="D1040" s="3466">
        <v>-2</v>
      </c>
      <c r="E1040" s="3471" t="s">
        <v>4427</v>
      </c>
      <c r="F1040" s="3472">
        <v>31.64</v>
      </c>
    </row>
    <row r="1041" spans="1:6" ht="13.5" customHeight="1">
      <c r="A1041" s="3466">
        <v>1039</v>
      </c>
      <c r="B1041" s="3467" t="s">
        <v>3389</v>
      </c>
      <c r="C1041" s="3466" t="s">
        <v>3390</v>
      </c>
      <c r="D1041" s="3466">
        <v>-2</v>
      </c>
      <c r="E1041" s="3471" t="s">
        <v>4428</v>
      </c>
      <c r="F1041" s="3472">
        <v>31.64</v>
      </c>
    </row>
    <row r="1042" spans="1:6" ht="13.5" customHeight="1">
      <c r="A1042" s="3466">
        <v>1040</v>
      </c>
      <c r="B1042" s="3467" t="s">
        <v>3389</v>
      </c>
      <c r="C1042" s="3466" t="s">
        <v>3390</v>
      </c>
      <c r="D1042" s="3466">
        <v>-2</v>
      </c>
      <c r="E1042" s="3471" t="s">
        <v>4429</v>
      </c>
      <c r="F1042" s="3472">
        <v>31.64</v>
      </c>
    </row>
    <row r="1043" spans="1:6" ht="13.5" customHeight="1">
      <c r="A1043" s="3466">
        <v>1041</v>
      </c>
      <c r="B1043" s="3467" t="s">
        <v>3389</v>
      </c>
      <c r="C1043" s="3466" t="s">
        <v>3390</v>
      </c>
      <c r="D1043" s="3466">
        <v>-2</v>
      </c>
      <c r="E1043" s="3471" t="s">
        <v>4430</v>
      </c>
      <c r="F1043" s="3472">
        <v>31.64</v>
      </c>
    </row>
    <row r="1044" spans="1:6" ht="13.5" customHeight="1">
      <c r="A1044" s="3466">
        <v>1042</v>
      </c>
      <c r="B1044" s="3467" t="s">
        <v>3389</v>
      </c>
      <c r="C1044" s="3466" t="s">
        <v>3390</v>
      </c>
      <c r="D1044" s="3466">
        <v>-2</v>
      </c>
      <c r="E1044" s="3471" t="s">
        <v>4431</v>
      </c>
      <c r="F1044" s="3472">
        <v>86.28</v>
      </c>
    </row>
    <row r="1045" spans="1:6" ht="13.5" customHeight="1">
      <c r="A1045" s="3466">
        <v>1043</v>
      </c>
      <c r="B1045" s="3467" t="s">
        <v>3389</v>
      </c>
      <c r="C1045" s="3466" t="s">
        <v>3390</v>
      </c>
      <c r="D1045" s="3466">
        <v>-2</v>
      </c>
      <c r="E1045" s="3471" t="s">
        <v>4432</v>
      </c>
      <c r="F1045" s="3472">
        <v>86.28</v>
      </c>
    </row>
    <row r="1046" spans="1:6" ht="13.5" customHeight="1">
      <c r="A1046" s="3466">
        <v>1044</v>
      </c>
      <c r="B1046" s="3467" t="s">
        <v>3389</v>
      </c>
      <c r="C1046" s="3466" t="s">
        <v>3390</v>
      </c>
      <c r="D1046" s="3466">
        <v>-2</v>
      </c>
      <c r="E1046" s="3471" t="s">
        <v>4433</v>
      </c>
      <c r="F1046" s="3472">
        <v>86.28</v>
      </c>
    </row>
    <row r="1047" spans="1:6" ht="13.5" customHeight="1">
      <c r="A1047" s="3466">
        <v>1045</v>
      </c>
      <c r="B1047" s="3467" t="s">
        <v>3389</v>
      </c>
      <c r="C1047" s="3466" t="s">
        <v>3390</v>
      </c>
      <c r="D1047" s="3466">
        <v>-2</v>
      </c>
      <c r="E1047" s="3471" t="s">
        <v>4434</v>
      </c>
      <c r="F1047" s="3472">
        <v>86.28</v>
      </c>
    </row>
    <row r="1048" spans="1:6" ht="13.5" customHeight="1">
      <c r="A1048" s="3466">
        <v>1046</v>
      </c>
      <c r="B1048" s="3467" t="s">
        <v>3389</v>
      </c>
      <c r="C1048" s="3466" t="s">
        <v>3390</v>
      </c>
      <c r="D1048" s="3466">
        <v>-2</v>
      </c>
      <c r="E1048" s="3471" t="s">
        <v>4435</v>
      </c>
      <c r="F1048" s="3472">
        <v>86.28</v>
      </c>
    </row>
    <row r="1049" spans="1:6" ht="13.5" customHeight="1">
      <c r="A1049" s="3466">
        <v>1047</v>
      </c>
      <c r="B1049" s="3467" t="s">
        <v>3389</v>
      </c>
      <c r="C1049" s="3466" t="s">
        <v>3390</v>
      </c>
      <c r="D1049" s="3466">
        <v>-2</v>
      </c>
      <c r="E1049" s="3471" t="s">
        <v>4436</v>
      </c>
      <c r="F1049" s="3472">
        <v>86.28</v>
      </c>
    </row>
    <row r="1050" spans="1:6" ht="13.5" customHeight="1">
      <c r="A1050" s="3466">
        <v>1048</v>
      </c>
      <c r="B1050" s="3467" t="s">
        <v>3389</v>
      </c>
      <c r="C1050" s="3466" t="s">
        <v>3390</v>
      </c>
      <c r="D1050" s="3466">
        <v>-2</v>
      </c>
      <c r="E1050" s="3471" t="s">
        <v>4437</v>
      </c>
      <c r="F1050" s="3472">
        <v>86.28</v>
      </c>
    </row>
    <row r="1051" spans="1:6" ht="13.5" customHeight="1">
      <c r="A1051" s="3466">
        <v>1049</v>
      </c>
      <c r="B1051" s="3467" t="s">
        <v>3389</v>
      </c>
      <c r="C1051" s="3466" t="s">
        <v>3390</v>
      </c>
      <c r="D1051" s="3466">
        <v>-2</v>
      </c>
      <c r="E1051" s="3471" t="s">
        <v>4438</v>
      </c>
      <c r="F1051" s="3472">
        <v>86.28</v>
      </c>
    </row>
    <row r="1052" spans="1:6" ht="13.5" customHeight="1">
      <c r="A1052" s="3466">
        <v>1050</v>
      </c>
      <c r="B1052" s="3467" t="s">
        <v>3389</v>
      </c>
      <c r="C1052" s="3466" t="s">
        <v>3390</v>
      </c>
      <c r="D1052" s="3466">
        <v>-2</v>
      </c>
      <c r="E1052" s="3471" t="s">
        <v>4439</v>
      </c>
      <c r="F1052" s="3472">
        <v>45.73</v>
      </c>
    </row>
    <row r="1053" spans="1:6" ht="13.5" customHeight="1">
      <c r="A1053" s="3466">
        <v>1051</v>
      </c>
      <c r="B1053" s="3467" t="s">
        <v>3389</v>
      </c>
      <c r="C1053" s="3466" t="s">
        <v>3390</v>
      </c>
      <c r="D1053" s="3466">
        <v>-2</v>
      </c>
      <c r="E1053" s="3471" t="s">
        <v>4440</v>
      </c>
      <c r="F1053" s="3472">
        <v>45.73</v>
      </c>
    </row>
    <row r="1054" spans="1:6" ht="13.5" customHeight="1">
      <c r="A1054" s="3466">
        <v>1052</v>
      </c>
      <c r="B1054" s="3467" t="s">
        <v>3389</v>
      </c>
      <c r="C1054" s="3466" t="s">
        <v>3390</v>
      </c>
      <c r="D1054" s="3466">
        <v>-2</v>
      </c>
      <c r="E1054" s="3471" t="s">
        <v>4441</v>
      </c>
      <c r="F1054" s="3472">
        <v>45.73</v>
      </c>
    </row>
    <row r="1055" spans="1:6" ht="13.5" customHeight="1">
      <c r="A1055" s="3466">
        <v>1053</v>
      </c>
      <c r="B1055" s="3467" t="s">
        <v>3389</v>
      </c>
      <c r="C1055" s="3466" t="s">
        <v>3390</v>
      </c>
      <c r="D1055" s="3466">
        <v>-2</v>
      </c>
      <c r="E1055" s="3471" t="s">
        <v>4442</v>
      </c>
      <c r="F1055" s="3472">
        <v>45.73</v>
      </c>
    </row>
    <row r="1056" spans="1:6" ht="13.5" customHeight="1">
      <c r="A1056" s="3466">
        <v>1054</v>
      </c>
      <c r="B1056" s="3467" t="s">
        <v>3389</v>
      </c>
      <c r="C1056" s="3466" t="s">
        <v>3390</v>
      </c>
      <c r="D1056" s="3466">
        <v>-2</v>
      </c>
      <c r="E1056" s="3471" t="s">
        <v>4443</v>
      </c>
      <c r="F1056" s="3472">
        <v>45.73</v>
      </c>
    </row>
    <row r="1057" spans="1:6" ht="13.5" customHeight="1">
      <c r="A1057" s="3466">
        <v>1055</v>
      </c>
      <c r="B1057" s="3467" t="s">
        <v>3389</v>
      </c>
      <c r="C1057" s="3466" t="s">
        <v>3390</v>
      </c>
      <c r="D1057" s="3466">
        <v>-2</v>
      </c>
      <c r="E1057" s="3471" t="s">
        <v>4444</v>
      </c>
      <c r="F1057" s="3472">
        <v>45.73</v>
      </c>
    </row>
    <row r="1058" spans="1:6" ht="13.5" customHeight="1">
      <c r="A1058" s="3466">
        <v>1056</v>
      </c>
      <c r="B1058" s="3467" t="s">
        <v>3389</v>
      </c>
      <c r="C1058" s="3466" t="s">
        <v>3390</v>
      </c>
      <c r="D1058" s="3466">
        <v>-2</v>
      </c>
      <c r="E1058" s="3471" t="s">
        <v>4445</v>
      </c>
      <c r="F1058" s="3472">
        <v>45.73</v>
      </c>
    </row>
    <row r="1059" spans="1:6" ht="13.5" customHeight="1">
      <c r="A1059" s="3466">
        <v>1057</v>
      </c>
      <c r="B1059" s="3467" t="s">
        <v>3389</v>
      </c>
      <c r="C1059" s="3466" t="s">
        <v>3390</v>
      </c>
      <c r="D1059" s="3466">
        <v>-2</v>
      </c>
      <c r="E1059" s="3471" t="s">
        <v>4446</v>
      </c>
      <c r="F1059" s="3472">
        <v>45.73</v>
      </c>
    </row>
    <row r="1060" spans="1:6" ht="13.5" customHeight="1">
      <c r="A1060" s="3466">
        <v>1058</v>
      </c>
      <c r="B1060" s="3467" t="s">
        <v>3389</v>
      </c>
      <c r="C1060" s="3466" t="s">
        <v>3390</v>
      </c>
      <c r="D1060" s="3466">
        <v>-2</v>
      </c>
      <c r="E1060" s="3471" t="s">
        <v>4447</v>
      </c>
      <c r="F1060" s="3472">
        <v>45.73</v>
      </c>
    </row>
    <row r="1061" spans="1:6" ht="13.5" customHeight="1">
      <c r="A1061" s="3466">
        <v>1059</v>
      </c>
      <c r="B1061" s="3467" t="s">
        <v>3389</v>
      </c>
      <c r="C1061" s="3466" t="s">
        <v>3390</v>
      </c>
      <c r="D1061" s="3466">
        <v>-2</v>
      </c>
      <c r="E1061" s="3471" t="s">
        <v>4448</v>
      </c>
      <c r="F1061" s="3472">
        <v>45.73</v>
      </c>
    </row>
    <row r="1062" spans="1:6" ht="13.5" customHeight="1">
      <c r="A1062" s="3466">
        <v>1060</v>
      </c>
      <c r="B1062" s="3467" t="s">
        <v>3389</v>
      </c>
      <c r="C1062" s="3466" t="s">
        <v>3390</v>
      </c>
      <c r="D1062" s="3466">
        <v>-2</v>
      </c>
      <c r="E1062" s="3471" t="s">
        <v>4449</v>
      </c>
      <c r="F1062" s="3472">
        <v>45.73</v>
      </c>
    </row>
    <row r="1063" spans="1:6" ht="13.5" customHeight="1">
      <c r="A1063" s="3466">
        <v>1061</v>
      </c>
      <c r="B1063" s="3467" t="s">
        <v>3389</v>
      </c>
      <c r="C1063" s="3466" t="s">
        <v>3390</v>
      </c>
      <c r="D1063" s="3466">
        <v>-2</v>
      </c>
      <c r="E1063" s="3471" t="s">
        <v>4450</v>
      </c>
      <c r="F1063" s="3472">
        <v>45.73</v>
      </c>
    </row>
    <row r="1064" spans="1:6" ht="13.5" customHeight="1">
      <c r="A1064" s="3466">
        <v>1062</v>
      </c>
      <c r="B1064" s="3467" t="s">
        <v>3389</v>
      </c>
      <c r="C1064" s="3466" t="s">
        <v>3390</v>
      </c>
      <c r="D1064" s="3466">
        <v>-2</v>
      </c>
      <c r="E1064" s="3471" t="s">
        <v>4451</v>
      </c>
      <c r="F1064" s="3472">
        <v>45.73</v>
      </c>
    </row>
    <row r="1065" spans="1:6" ht="13.5" customHeight="1">
      <c r="A1065" s="3466">
        <v>1063</v>
      </c>
      <c r="B1065" s="3467" t="s">
        <v>3389</v>
      </c>
      <c r="C1065" s="3466" t="s">
        <v>3390</v>
      </c>
      <c r="D1065" s="3466">
        <v>-2</v>
      </c>
      <c r="E1065" s="3471" t="s">
        <v>4452</v>
      </c>
      <c r="F1065" s="3472">
        <v>45.73</v>
      </c>
    </row>
    <row r="1066" spans="1:6" ht="13.5" customHeight="1">
      <c r="A1066" s="3466">
        <v>1064</v>
      </c>
      <c r="B1066" s="3467" t="s">
        <v>3389</v>
      </c>
      <c r="C1066" s="3466" t="s">
        <v>3390</v>
      </c>
      <c r="D1066" s="3466">
        <v>-2</v>
      </c>
      <c r="E1066" s="3471" t="s">
        <v>4453</v>
      </c>
      <c r="F1066" s="3472">
        <v>45.73</v>
      </c>
    </row>
    <row r="1067" spans="1:6" ht="13.5" customHeight="1">
      <c r="A1067" s="3466">
        <v>1065</v>
      </c>
      <c r="B1067" s="3467" t="s">
        <v>3389</v>
      </c>
      <c r="C1067" s="3466" t="s">
        <v>3390</v>
      </c>
      <c r="D1067" s="3466">
        <v>-2</v>
      </c>
      <c r="E1067" s="3471" t="s">
        <v>4454</v>
      </c>
      <c r="F1067" s="3472">
        <v>45.73</v>
      </c>
    </row>
    <row r="1068" spans="1:6" ht="13.5" customHeight="1">
      <c r="A1068" s="3466">
        <v>1066</v>
      </c>
      <c r="B1068" s="3467" t="s">
        <v>3389</v>
      </c>
      <c r="C1068" s="3466" t="s">
        <v>3390</v>
      </c>
      <c r="D1068" s="3466">
        <v>-2</v>
      </c>
      <c r="E1068" s="3471" t="s">
        <v>4455</v>
      </c>
      <c r="F1068" s="3472">
        <v>45.73</v>
      </c>
    </row>
    <row r="1069" spans="1:6" ht="13.5" customHeight="1">
      <c r="A1069" s="3466">
        <v>1067</v>
      </c>
      <c r="B1069" s="3467" t="s">
        <v>3389</v>
      </c>
      <c r="C1069" s="3466" t="s">
        <v>3390</v>
      </c>
      <c r="D1069" s="3466">
        <v>-2</v>
      </c>
      <c r="E1069" s="3471" t="s">
        <v>4456</v>
      </c>
      <c r="F1069" s="3472">
        <v>45.73</v>
      </c>
    </row>
    <row r="1070" spans="1:6" ht="13.5" customHeight="1">
      <c r="A1070" s="3466">
        <v>1068</v>
      </c>
      <c r="B1070" s="3467" t="s">
        <v>3389</v>
      </c>
      <c r="C1070" s="3466" t="s">
        <v>3390</v>
      </c>
      <c r="D1070" s="3466">
        <v>-2</v>
      </c>
      <c r="E1070" s="3471" t="s">
        <v>4457</v>
      </c>
      <c r="F1070" s="3472">
        <v>45.73</v>
      </c>
    </row>
    <row r="1071" spans="1:6" ht="13.5" customHeight="1">
      <c r="A1071" s="3466">
        <v>1069</v>
      </c>
      <c r="B1071" s="3467" t="s">
        <v>3389</v>
      </c>
      <c r="C1071" s="3466" t="s">
        <v>3390</v>
      </c>
      <c r="D1071" s="3466">
        <v>-2</v>
      </c>
      <c r="E1071" s="3471" t="s">
        <v>4458</v>
      </c>
      <c r="F1071" s="3472">
        <v>45.73</v>
      </c>
    </row>
    <row r="1072" spans="1:6" ht="13.5" customHeight="1">
      <c r="A1072" s="3466">
        <v>1070</v>
      </c>
      <c r="B1072" s="3467" t="s">
        <v>3389</v>
      </c>
      <c r="C1072" s="3466" t="s">
        <v>3390</v>
      </c>
      <c r="D1072" s="3466">
        <v>-2</v>
      </c>
      <c r="E1072" s="3471" t="s">
        <v>4459</v>
      </c>
      <c r="F1072" s="3472">
        <v>45.73</v>
      </c>
    </row>
    <row r="1073" spans="1:6" ht="13.5" customHeight="1">
      <c r="A1073" s="3466">
        <v>1071</v>
      </c>
      <c r="B1073" s="3467" t="s">
        <v>3389</v>
      </c>
      <c r="C1073" s="3466" t="s">
        <v>3390</v>
      </c>
      <c r="D1073" s="3466">
        <v>-2</v>
      </c>
      <c r="E1073" s="3471" t="s">
        <v>4460</v>
      </c>
      <c r="F1073" s="3472">
        <v>45.73</v>
      </c>
    </row>
    <row r="1074" spans="1:6" ht="13.5" customHeight="1">
      <c r="A1074" s="3466">
        <v>1072</v>
      </c>
      <c r="B1074" s="3467" t="s">
        <v>3389</v>
      </c>
      <c r="C1074" s="3466" t="s">
        <v>3390</v>
      </c>
      <c r="D1074" s="3466">
        <v>-2</v>
      </c>
      <c r="E1074" s="3471" t="s">
        <v>4461</v>
      </c>
      <c r="F1074" s="3472">
        <v>45.73</v>
      </c>
    </row>
    <row r="1075" spans="1:6" ht="13.5" customHeight="1">
      <c r="A1075" s="3466">
        <v>1073</v>
      </c>
      <c r="B1075" s="3467" t="s">
        <v>3389</v>
      </c>
      <c r="C1075" s="3466" t="s">
        <v>3390</v>
      </c>
      <c r="D1075" s="3466">
        <v>-2</v>
      </c>
      <c r="E1075" s="3471" t="s">
        <v>4462</v>
      </c>
      <c r="F1075" s="3472">
        <v>45.73</v>
      </c>
    </row>
    <row r="1076" spans="1:6" ht="13.5" customHeight="1">
      <c r="A1076" s="3466">
        <v>1074</v>
      </c>
      <c r="B1076" s="3467" t="s">
        <v>3389</v>
      </c>
      <c r="C1076" s="3466" t="s">
        <v>3390</v>
      </c>
      <c r="D1076" s="3466">
        <v>-2</v>
      </c>
      <c r="E1076" s="3471" t="s">
        <v>4463</v>
      </c>
      <c r="F1076" s="3472">
        <v>45.73</v>
      </c>
    </row>
    <row r="1077" spans="1:6" ht="13.5" customHeight="1">
      <c r="A1077" s="3466">
        <v>1075</v>
      </c>
      <c r="B1077" s="3467" t="s">
        <v>3389</v>
      </c>
      <c r="C1077" s="3466" t="s">
        <v>3390</v>
      </c>
      <c r="D1077" s="3466">
        <v>-2</v>
      </c>
      <c r="E1077" s="3471" t="s">
        <v>4464</v>
      </c>
      <c r="F1077" s="3472">
        <v>45.73</v>
      </c>
    </row>
    <row r="1078" spans="1:6" ht="13.5" customHeight="1">
      <c r="A1078" s="3466">
        <v>1076</v>
      </c>
      <c r="B1078" s="3467" t="s">
        <v>3389</v>
      </c>
      <c r="C1078" s="3466" t="s">
        <v>3390</v>
      </c>
      <c r="D1078" s="3466">
        <v>-2</v>
      </c>
      <c r="E1078" s="3471" t="s">
        <v>4465</v>
      </c>
      <c r="F1078" s="3472">
        <v>45.73</v>
      </c>
    </row>
    <row r="1079" spans="1:6" ht="13.5" customHeight="1">
      <c r="A1079" s="3466">
        <v>1077</v>
      </c>
      <c r="B1079" s="3467" t="s">
        <v>3389</v>
      </c>
      <c r="C1079" s="3466" t="s">
        <v>3390</v>
      </c>
      <c r="D1079" s="3466">
        <v>-2</v>
      </c>
      <c r="E1079" s="3471" t="s">
        <v>4466</v>
      </c>
      <c r="F1079" s="3472">
        <v>45.73</v>
      </c>
    </row>
    <row r="1080" spans="1:6" ht="13.5" customHeight="1">
      <c r="A1080" s="3466">
        <v>1078</v>
      </c>
      <c r="B1080" s="3467" t="s">
        <v>3389</v>
      </c>
      <c r="C1080" s="3466" t="s">
        <v>3390</v>
      </c>
      <c r="D1080" s="3466">
        <v>-2</v>
      </c>
      <c r="E1080" s="3471" t="s">
        <v>4467</v>
      </c>
      <c r="F1080" s="3472">
        <v>45.73</v>
      </c>
    </row>
    <row r="1081" spans="1:6" ht="13.5" customHeight="1">
      <c r="A1081" s="3466">
        <v>1079</v>
      </c>
      <c r="B1081" s="3467" t="s">
        <v>3389</v>
      </c>
      <c r="C1081" s="3466" t="s">
        <v>3390</v>
      </c>
      <c r="D1081" s="3466">
        <v>-2</v>
      </c>
      <c r="E1081" s="3471" t="s">
        <v>4468</v>
      </c>
      <c r="F1081" s="3472">
        <v>45.73</v>
      </c>
    </row>
    <row r="1082" spans="1:6" ht="13.5" customHeight="1">
      <c r="A1082" s="3466">
        <v>1080</v>
      </c>
      <c r="B1082" s="3467" t="s">
        <v>3389</v>
      </c>
      <c r="C1082" s="3466" t="s">
        <v>3390</v>
      </c>
      <c r="D1082" s="3466">
        <v>-2</v>
      </c>
      <c r="E1082" s="3471" t="s">
        <v>4469</v>
      </c>
      <c r="F1082" s="3472">
        <v>45.73</v>
      </c>
    </row>
    <row r="1083" spans="1:6" ht="13.5" customHeight="1">
      <c r="A1083" s="3466">
        <v>1081</v>
      </c>
      <c r="B1083" s="3467" t="s">
        <v>3389</v>
      </c>
      <c r="C1083" s="3466" t="s">
        <v>3390</v>
      </c>
      <c r="D1083" s="3466">
        <v>-2</v>
      </c>
      <c r="E1083" s="3471" t="s">
        <v>4470</v>
      </c>
      <c r="F1083" s="3472">
        <v>45.73</v>
      </c>
    </row>
    <row r="1084" spans="1:6" ht="13.5" customHeight="1">
      <c r="A1084" s="3466">
        <v>1082</v>
      </c>
      <c r="B1084" s="3467" t="s">
        <v>3389</v>
      </c>
      <c r="C1084" s="3466" t="s">
        <v>3390</v>
      </c>
      <c r="D1084" s="3466">
        <v>-2</v>
      </c>
      <c r="E1084" s="3471" t="s">
        <v>4471</v>
      </c>
      <c r="F1084" s="3472">
        <v>45.73</v>
      </c>
    </row>
    <row r="1085" spans="1:6" ht="13.5" customHeight="1">
      <c r="A1085" s="3466">
        <v>1083</v>
      </c>
      <c r="B1085" s="3467" t="s">
        <v>3389</v>
      </c>
      <c r="C1085" s="3466" t="s">
        <v>3390</v>
      </c>
      <c r="D1085" s="3466">
        <v>-2</v>
      </c>
      <c r="E1085" s="3471" t="s">
        <v>4472</v>
      </c>
      <c r="F1085" s="3472">
        <v>45.73</v>
      </c>
    </row>
    <row r="1086" spans="1:6" ht="13.5" customHeight="1">
      <c r="A1086" s="3466">
        <v>1084</v>
      </c>
      <c r="B1086" s="3467" t="s">
        <v>3389</v>
      </c>
      <c r="C1086" s="3466" t="s">
        <v>3390</v>
      </c>
      <c r="D1086" s="3466">
        <v>-2</v>
      </c>
      <c r="E1086" s="3471" t="s">
        <v>4473</v>
      </c>
      <c r="F1086" s="3472">
        <v>45.73</v>
      </c>
    </row>
    <row r="1087" spans="1:6" ht="13.5" customHeight="1">
      <c r="A1087" s="3466">
        <v>1085</v>
      </c>
      <c r="B1087" s="3467" t="s">
        <v>3389</v>
      </c>
      <c r="C1087" s="3466" t="s">
        <v>3390</v>
      </c>
      <c r="D1087" s="3466">
        <v>-2</v>
      </c>
      <c r="E1087" s="3471" t="s">
        <v>4474</v>
      </c>
      <c r="F1087" s="3472">
        <v>45.73</v>
      </c>
    </row>
    <row r="1088" spans="1:6" ht="13.5" customHeight="1">
      <c r="A1088" s="3466">
        <v>1086</v>
      </c>
      <c r="B1088" s="3467" t="s">
        <v>3389</v>
      </c>
      <c r="C1088" s="3466" t="s">
        <v>3390</v>
      </c>
      <c r="D1088" s="3466">
        <v>-2</v>
      </c>
      <c r="E1088" s="3471" t="s">
        <v>4475</v>
      </c>
      <c r="F1088" s="3472">
        <v>45.73</v>
      </c>
    </row>
    <row r="1089" spans="1:6" ht="13.5" customHeight="1">
      <c r="A1089" s="3466">
        <v>1087</v>
      </c>
      <c r="B1089" s="3467" t="s">
        <v>3389</v>
      </c>
      <c r="C1089" s="3466" t="s">
        <v>3390</v>
      </c>
      <c r="D1089" s="3466">
        <v>-2</v>
      </c>
      <c r="E1089" s="3471" t="s">
        <v>4476</v>
      </c>
      <c r="F1089" s="3472">
        <v>45.73</v>
      </c>
    </row>
    <row r="1090" spans="1:6" ht="13.5" customHeight="1">
      <c r="A1090" s="3466">
        <v>1088</v>
      </c>
      <c r="B1090" s="3467" t="s">
        <v>3389</v>
      </c>
      <c r="C1090" s="3466" t="s">
        <v>3390</v>
      </c>
      <c r="D1090" s="3466">
        <v>-2</v>
      </c>
      <c r="E1090" s="3471" t="s">
        <v>4477</v>
      </c>
      <c r="F1090" s="3472">
        <v>45.73</v>
      </c>
    </row>
    <row r="1091" spans="1:6" ht="13.5" customHeight="1">
      <c r="A1091" s="3466">
        <v>1089</v>
      </c>
      <c r="B1091" s="3467" t="s">
        <v>3389</v>
      </c>
      <c r="C1091" s="3466" t="s">
        <v>3390</v>
      </c>
      <c r="D1091" s="3466">
        <v>-2</v>
      </c>
      <c r="E1091" s="3471" t="s">
        <v>4478</v>
      </c>
      <c r="F1091" s="3472">
        <v>45.73</v>
      </c>
    </row>
    <row r="1092" spans="1:6" ht="13.5" customHeight="1">
      <c r="A1092" s="3466">
        <v>1090</v>
      </c>
      <c r="B1092" s="3467" t="s">
        <v>3389</v>
      </c>
      <c r="C1092" s="3466" t="s">
        <v>3390</v>
      </c>
      <c r="D1092" s="3466">
        <v>-2</v>
      </c>
      <c r="E1092" s="3471" t="s">
        <v>4479</v>
      </c>
      <c r="F1092" s="3472">
        <v>45.73</v>
      </c>
    </row>
    <row r="1093" spans="1:6" ht="13.5" customHeight="1">
      <c r="A1093" s="3466">
        <v>1091</v>
      </c>
      <c r="B1093" s="3467" t="s">
        <v>3389</v>
      </c>
      <c r="C1093" s="3466" t="s">
        <v>3390</v>
      </c>
      <c r="D1093" s="3466">
        <v>-2</v>
      </c>
      <c r="E1093" s="3471" t="s">
        <v>4480</v>
      </c>
      <c r="F1093" s="3472">
        <v>45.73</v>
      </c>
    </row>
    <row r="1094" spans="1:6" ht="13.5" customHeight="1">
      <c r="A1094" s="3466">
        <v>1092</v>
      </c>
      <c r="B1094" s="3467" t="s">
        <v>3389</v>
      </c>
      <c r="C1094" s="3466" t="s">
        <v>3390</v>
      </c>
      <c r="D1094" s="3466">
        <v>-2</v>
      </c>
      <c r="E1094" s="3471" t="s">
        <v>4481</v>
      </c>
      <c r="F1094" s="3472">
        <v>45.73</v>
      </c>
    </row>
    <row r="1095" spans="1:6" ht="13.5" customHeight="1">
      <c r="A1095" s="3466">
        <v>1093</v>
      </c>
      <c r="B1095" s="3467" t="s">
        <v>3389</v>
      </c>
      <c r="C1095" s="3466" t="s">
        <v>3390</v>
      </c>
      <c r="D1095" s="3466">
        <v>-2</v>
      </c>
      <c r="E1095" s="3471" t="s">
        <v>4482</v>
      </c>
      <c r="F1095" s="3472">
        <v>45.73</v>
      </c>
    </row>
    <row r="1096" spans="1:6" ht="13.5" customHeight="1">
      <c r="A1096" s="3466">
        <v>1094</v>
      </c>
      <c r="B1096" s="3467" t="s">
        <v>3389</v>
      </c>
      <c r="C1096" s="3466" t="s">
        <v>3390</v>
      </c>
      <c r="D1096" s="3466">
        <v>-2</v>
      </c>
      <c r="E1096" s="3471" t="s">
        <v>4483</v>
      </c>
      <c r="F1096" s="3472">
        <v>45.73</v>
      </c>
    </row>
    <row r="1097" spans="1:6" ht="13.5" customHeight="1">
      <c r="A1097" s="3466">
        <v>1095</v>
      </c>
      <c r="B1097" s="3467" t="s">
        <v>3389</v>
      </c>
      <c r="C1097" s="3466" t="s">
        <v>3390</v>
      </c>
      <c r="D1097" s="3466">
        <v>-2</v>
      </c>
      <c r="E1097" s="3471" t="s">
        <v>4484</v>
      </c>
      <c r="F1097" s="3472">
        <v>45.73</v>
      </c>
    </row>
    <row r="1098" spans="1:6" ht="13.5" customHeight="1">
      <c r="A1098" s="3466">
        <v>1096</v>
      </c>
      <c r="B1098" s="3467" t="s">
        <v>3389</v>
      </c>
      <c r="C1098" s="3466" t="s">
        <v>3390</v>
      </c>
      <c r="D1098" s="3466">
        <v>-2</v>
      </c>
      <c r="E1098" s="3471" t="s">
        <v>4485</v>
      </c>
      <c r="F1098" s="3472">
        <v>45.73</v>
      </c>
    </row>
    <row r="1099" spans="1:6" ht="13.5" customHeight="1">
      <c r="A1099" s="3466">
        <v>1097</v>
      </c>
      <c r="B1099" s="3467" t="s">
        <v>3389</v>
      </c>
      <c r="C1099" s="3466" t="s">
        <v>3390</v>
      </c>
      <c r="D1099" s="3466">
        <v>-2</v>
      </c>
      <c r="E1099" s="3471" t="s">
        <v>4486</v>
      </c>
      <c r="F1099" s="3472">
        <v>45.73</v>
      </c>
    </row>
    <row r="1100" spans="1:6" ht="13.5" customHeight="1">
      <c r="A1100" s="3466">
        <v>1098</v>
      </c>
      <c r="B1100" s="3467" t="s">
        <v>3389</v>
      </c>
      <c r="C1100" s="3466" t="s">
        <v>3390</v>
      </c>
      <c r="D1100" s="3466">
        <v>-2</v>
      </c>
      <c r="E1100" s="3471" t="s">
        <v>4487</v>
      </c>
      <c r="F1100" s="3472">
        <v>45.73</v>
      </c>
    </row>
    <row r="1101" spans="1:6" ht="13.5" customHeight="1">
      <c r="A1101" s="3466">
        <v>1099</v>
      </c>
      <c r="B1101" s="3467" t="s">
        <v>3389</v>
      </c>
      <c r="C1101" s="3466" t="s">
        <v>3390</v>
      </c>
      <c r="D1101" s="3466">
        <v>-2</v>
      </c>
      <c r="E1101" s="3471" t="s">
        <v>4488</v>
      </c>
      <c r="F1101" s="3472">
        <v>45.73</v>
      </c>
    </row>
    <row r="1102" spans="1:6" ht="13.5" customHeight="1">
      <c r="A1102" s="3466">
        <v>1100</v>
      </c>
      <c r="B1102" s="3467" t="s">
        <v>3389</v>
      </c>
      <c r="C1102" s="3466" t="s">
        <v>3390</v>
      </c>
      <c r="D1102" s="3466">
        <v>-2</v>
      </c>
      <c r="E1102" s="3471" t="s">
        <v>4489</v>
      </c>
      <c r="F1102" s="3472">
        <v>45.73</v>
      </c>
    </row>
    <row r="1103" spans="1:6" ht="13.5" customHeight="1">
      <c r="A1103" s="3466">
        <v>1101</v>
      </c>
      <c r="B1103" s="3467" t="s">
        <v>3389</v>
      </c>
      <c r="C1103" s="3466" t="s">
        <v>3390</v>
      </c>
      <c r="D1103" s="3466">
        <v>-2</v>
      </c>
      <c r="E1103" s="3471" t="s">
        <v>4490</v>
      </c>
      <c r="F1103" s="3472">
        <v>45.73</v>
      </c>
    </row>
    <row r="1104" spans="1:6" ht="13.5" customHeight="1">
      <c r="A1104" s="3466">
        <v>1102</v>
      </c>
      <c r="B1104" s="3467" t="s">
        <v>3389</v>
      </c>
      <c r="C1104" s="3466" t="s">
        <v>3390</v>
      </c>
      <c r="D1104" s="3466">
        <v>-2</v>
      </c>
      <c r="E1104" s="3471" t="s">
        <v>4491</v>
      </c>
      <c r="F1104" s="3472">
        <v>45.73</v>
      </c>
    </row>
    <row r="1105" spans="1:6" ht="13.5" customHeight="1">
      <c r="A1105" s="3466">
        <v>1103</v>
      </c>
      <c r="B1105" s="3467" t="s">
        <v>3389</v>
      </c>
      <c r="C1105" s="3466" t="s">
        <v>3390</v>
      </c>
      <c r="D1105" s="3466">
        <v>-2</v>
      </c>
      <c r="E1105" s="3471" t="s">
        <v>4492</v>
      </c>
      <c r="F1105" s="3472">
        <v>45.73</v>
      </c>
    </row>
    <row r="1106" spans="1:6" ht="13.5" customHeight="1">
      <c r="A1106" s="3466">
        <v>1104</v>
      </c>
      <c r="B1106" s="3467" t="s">
        <v>3389</v>
      </c>
      <c r="C1106" s="3466" t="s">
        <v>3390</v>
      </c>
      <c r="D1106" s="3466">
        <v>-2</v>
      </c>
      <c r="E1106" s="3471" t="s">
        <v>4493</v>
      </c>
      <c r="F1106" s="3472">
        <v>45.73</v>
      </c>
    </row>
    <row r="1107" spans="1:6" ht="13.5" customHeight="1">
      <c r="A1107" s="3466">
        <v>1105</v>
      </c>
      <c r="B1107" s="3467" t="s">
        <v>3389</v>
      </c>
      <c r="C1107" s="3466" t="s">
        <v>3390</v>
      </c>
      <c r="D1107" s="3466">
        <v>-2</v>
      </c>
      <c r="E1107" s="3471" t="s">
        <v>4494</v>
      </c>
      <c r="F1107" s="3472">
        <v>45.73</v>
      </c>
    </row>
    <row r="1108" spans="1:6" ht="13.5" customHeight="1">
      <c r="A1108" s="3466">
        <v>1106</v>
      </c>
      <c r="B1108" s="3467" t="s">
        <v>3389</v>
      </c>
      <c r="C1108" s="3466" t="s">
        <v>3390</v>
      </c>
      <c r="D1108" s="3466">
        <v>-2</v>
      </c>
      <c r="E1108" s="3471" t="s">
        <v>4495</v>
      </c>
      <c r="F1108" s="3472">
        <v>45.73</v>
      </c>
    </row>
    <row r="1109" spans="1:6" ht="13.5" customHeight="1">
      <c r="A1109" s="3466">
        <v>1107</v>
      </c>
      <c r="B1109" s="3467" t="s">
        <v>3389</v>
      </c>
      <c r="C1109" s="3466" t="s">
        <v>3390</v>
      </c>
      <c r="D1109" s="3466">
        <v>-2</v>
      </c>
      <c r="E1109" s="3471" t="s">
        <v>4496</v>
      </c>
      <c r="F1109" s="3472">
        <v>45.73</v>
      </c>
    </row>
    <row r="1110" spans="1:6" ht="13.5" customHeight="1">
      <c r="A1110" s="3466">
        <v>1108</v>
      </c>
      <c r="B1110" s="3467" t="s">
        <v>3389</v>
      </c>
      <c r="C1110" s="3466" t="s">
        <v>3390</v>
      </c>
      <c r="D1110" s="3466">
        <v>-2</v>
      </c>
      <c r="E1110" s="3471" t="s">
        <v>4497</v>
      </c>
      <c r="F1110" s="3472">
        <v>45.73</v>
      </c>
    </row>
    <row r="1111" spans="1:6" ht="13.5" customHeight="1">
      <c r="A1111" s="3466">
        <v>1109</v>
      </c>
      <c r="B1111" s="3467" t="s">
        <v>3389</v>
      </c>
      <c r="C1111" s="3466" t="s">
        <v>3390</v>
      </c>
      <c r="D1111" s="3466">
        <v>-2</v>
      </c>
      <c r="E1111" s="3471" t="s">
        <v>4498</v>
      </c>
      <c r="F1111" s="3472">
        <v>45.73</v>
      </c>
    </row>
    <row r="1112" spans="1:6" ht="13.5" customHeight="1">
      <c r="A1112" s="3466">
        <v>1110</v>
      </c>
      <c r="B1112" s="3467" t="s">
        <v>3389</v>
      </c>
      <c r="C1112" s="3466" t="s">
        <v>3390</v>
      </c>
      <c r="D1112" s="3466">
        <v>-2</v>
      </c>
      <c r="E1112" s="3471" t="s">
        <v>4499</v>
      </c>
      <c r="F1112" s="3472">
        <v>45.73</v>
      </c>
    </row>
    <row r="1113" spans="1:6" ht="13.5" customHeight="1">
      <c r="A1113" s="3466">
        <v>1111</v>
      </c>
      <c r="B1113" s="3467" t="s">
        <v>3389</v>
      </c>
      <c r="C1113" s="3466" t="s">
        <v>3390</v>
      </c>
      <c r="D1113" s="3466">
        <v>-2</v>
      </c>
      <c r="E1113" s="3471" t="s">
        <v>4500</v>
      </c>
      <c r="F1113" s="3472">
        <v>45.73</v>
      </c>
    </row>
    <row r="1114" spans="1:6" ht="13.5" customHeight="1">
      <c r="A1114" s="3466">
        <v>1112</v>
      </c>
      <c r="B1114" s="3467" t="s">
        <v>3389</v>
      </c>
      <c r="C1114" s="3466" t="s">
        <v>3390</v>
      </c>
      <c r="D1114" s="3466">
        <v>-2</v>
      </c>
      <c r="E1114" s="3471" t="s">
        <v>4501</v>
      </c>
      <c r="F1114" s="3472">
        <v>45.73</v>
      </c>
    </row>
    <row r="1115" spans="1:6" ht="13.5" customHeight="1">
      <c r="A1115" s="3466">
        <v>1113</v>
      </c>
      <c r="B1115" s="3467" t="s">
        <v>3389</v>
      </c>
      <c r="C1115" s="3466" t="s">
        <v>3390</v>
      </c>
      <c r="D1115" s="3466">
        <v>-2</v>
      </c>
      <c r="E1115" s="3471" t="s">
        <v>4502</v>
      </c>
      <c r="F1115" s="3472">
        <v>45.73</v>
      </c>
    </row>
    <row r="1116" spans="1:6" ht="13.5" customHeight="1">
      <c r="A1116" s="3466">
        <v>1114</v>
      </c>
      <c r="B1116" s="3467" t="s">
        <v>3389</v>
      </c>
      <c r="C1116" s="3466" t="s">
        <v>3390</v>
      </c>
      <c r="D1116" s="3466">
        <v>-2</v>
      </c>
      <c r="E1116" s="3471" t="s">
        <v>4503</v>
      </c>
      <c r="F1116" s="3472">
        <v>45.73</v>
      </c>
    </row>
    <row r="1117" spans="1:6" ht="13.5" customHeight="1">
      <c r="A1117" s="3466">
        <v>1115</v>
      </c>
      <c r="B1117" s="3467" t="s">
        <v>3389</v>
      </c>
      <c r="C1117" s="3466" t="s">
        <v>3390</v>
      </c>
      <c r="D1117" s="3466">
        <v>-2</v>
      </c>
      <c r="E1117" s="3471" t="s">
        <v>4504</v>
      </c>
      <c r="F1117" s="3472">
        <v>45.73</v>
      </c>
    </row>
    <row r="1118" spans="1:6" ht="13.5" customHeight="1">
      <c r="A1118" s="3466">
        <v>1116</v>
      </c>
      <c r="B1118" s="3467" t="s">
        <v>3389</v>
      </c>
      <c r="C1118" s="3466" t="s">
        <v>3390</v>
      </c>
      <c r="D1118" s="3466">
        <v>-2</v>
      </c>
      <c r="E1118" s="3471" t="s">
        <v>4505</v>
      </c>
      <c r="F1118" s="3472">
        <v>45.73</v>
      </c>
    </row>
    <row r="1119" spans="1:6" ht="13.5" customHeight="1">
      <c r="A1119" s="3466">
        <v>1117</v>
      </c>
      <c r="B1119" s="3467" t="s">
        <v>3389</v>
      </c>
      <c r="C1119" s="3466" t="s">
        <v>3390</v>
      </c>
      <c r="D1119" s="3466">
        <v>-2</v>
      </c>
      <c r="E1119" s="3471" t="s">
        <v>4506</v>
      </c>
      <c r="F1119" s="3472">
        <v>45.73</v>
      </c>
    </row>
    <row r="1120" spans="1:6" ht="13.5" customHeight="1">
      <c r="A1120" s="3466">
        <v>1118</v>
      </c>
      <c r="B1120" s="3467" t="s">
        <v>3389</v>
      </c>
      <c r="C1120" s="3466" t="s">
        <v>3390</v>
      </c>
      <c r="D1120" s="3466">
        <v>-2</v>
      </c>
      <c r="E1120" s="3471" t="s">
        <v>4507</v>
      </c>
      <c r="F1120" s="3472">
        <v>45.73</v>
      </c>
    </row>
    <row r="1121" spans="1:6" ht="13.5" customHeight="1">
      <c r="A1121" s="3466">
        <v>1119</v>
      </c>
      <c r="B1121" s="3467" t="s">
        <v>3389</v>
      </c>
      <c r="C1121" s="3466" t="s">
        <v>3390</v>
      </c>
      <c r="D1121" s="3466">
        <v>-2</v>
      </c>
      <c r="E1121" s="3471" t="s">
        <v>4508</v>
      </c>
      <c r="F1121" s="3472">
        <v>45.73</v>
      </c>
    </row>
    <row r="1122" spans="1:6" ht="13.5" customHeight="1">
      <c r="A1122" s="3466">
        <v>1120</v>
      </c>
      <c r="B1122" s="3467" t="s">
        <v>3389</v>
      </c>
      <c r="C1122" s="3466" t="s">
        <v>3390</v>
      </c>
      <c r="D1122" s="3466">
        <v>-2</v>
      </c>
      <c r="E1122" s="3471" t="s">
        <v>4509</v>
      </c>
      <c r="F1122" s="3472">
        <v>45.73</v>
      </c>
    </row>
    <row r="1123" spans="1:6" ht="13.5" customHeight="1">
      <c r="A1123" s="3466">
        <v>1121</v>
      </c>
      <c r="B1123" s="3467" t="s">
        <v>3389</v>
      </c>
      <c r="C1123" s="3466" t="s">
        <v>3390</v>
      </c>
      <c r="D1123" s="3466">
        <v>-2</v>
      </c>
      <c r="E1123" s="3471" t="s">
        <v>4510</v>
      </c>
      <c r="F1123" s="3472">
        <v>45.73</v>
      </c>
    </row>
    <row r="1124" spans="1:6" ht="13.5" customHeight="1">
      <c r="A1124" s="3466">
        <v>1122</v>
      </c>
      <c r="B1124" s="3467" t="s">
        <v>3389</v>
      </c>
      <c r="C1124" s="3466" t="s">
        <v>3390</v>
      </c>
      <c r="D1124" s="3466">
        <v>-2</v>
      </c>
      <c r="E1124" s="3471" t="s">
        <v>4511</v>
      </c>
      <c r="F1124" s="3472">
        <v>45.73</v>
      </c>
    </row>
    <row r="1125" spans="1:6" ht="13.5" customHeight="1">
      <c r="A1125" s="3466">
        <v>1123</v>
      </c>
      <c r="B1125" s="3467" t="s">
        <v>3389</v>
      </c>
      <c r="C1125" s="3466" t="s">
        <v>3390</v>
      </c>
      <c r="D1125" s="3466">
        <v>-2</v>
      </c>
      <c r="E1125" s="3471" t="s">
        <v>4512</v>
      </c>
      <c r="F1125" s="3472">
        <v>45.73</v>
      </c>
    </row>
    <row r="1126" spans="1:6" ht="13.5" customHeight="1">
      <c r="A1126" s="3466">
        <v>1124</v>
      </c>
      <c r="B1126" s="3467" t="s">
        <v>3389</v>
      </c>
      <c r="C1126" s="3466" t="s">
        <v>3390</v>
      </c>
      <c r="D1126" s="3466">
        <v>-2</v>
      </c>
      <c r="E1126" s="3471" t="s">
        <v>4513</v>
      </c>
      <c r="F1126" s="3472">
        <v>45.73</v>
      </c>
    </row>
    <row r="1127" spans="1:6" ht="13.5" customHeight="1">
      <c r="A1127" s="3466">
        <v>1125</v>
      </c>
      <c r="B1127" s="3467" t="s">
        <v>3389</v>
      </c>
      <c r="C1127" s="3466" t="s">
        <v>3390</v>
      </c>
      <c r="D1127" s="3466">
        <v>-2</v>
      </c>
      <c r="E1127" s="3471" t="s">
        <v>4514</v>
      </c>
      <c r="F1127" s="3472">
        <v>45.73</v>
      </c>
    </row>
    <row r="1128" spans="1:6" ht="13.5" customHeight="1">
      <c r="A1128" s="3466">
        <v>1126</v>
      </c>
      <c r="B1128" s="3467" t="s">
        <v>3389</v>
      </c>
      <c r="C1128" s="3466" t="s">
        <v>3390</v>
      </c>
      <c r="D1128" s="3466">
        <v>-2</v>
      </c>
      <c r="E1128" s="3471" t="s">
        <v>4515</v>
      </c>
      <c r="F1128" s="3472">
        <v>45.73</v>
      </c>
    </row>
    <row r="1129" spans="1:6" ht="13.5" customHeight="1">
      <c r="A1129" s="3466">
        <v>1127</v>
      </c>
      <c r="B1129" s="3467" t="s">
        <v>3389</v>
      </c>
      <c r="C1129" s="3466" t="s">
        <v>3390</v>
      </c>
      <c r="D1129" s="3466">
        <v>-2</v>
      </c>
      <c r="E1129" s="3471" t="s">
        <v>4516</v>
      </c>
      <c r="F1129" s="3472">
        <v>45.73</v>
      </c>
    </row>
    <row r="1130" spans="1:6" ht="13.5" customHeight="1">
      <c r="A1130" s="3466">
        <v>1128</v>
      </c>
      <c r="B1130" s="3467" t="s">
        <v>3389</v>
      </c>
      <c r="C1130" s="3466" t="s">
        <v>3390</v>
      </c>
      <c r="D1130" s="3466">
        <v>-2</v>
      </c>
      <c r="E1130" s="3471" t="s">
        <v>4517</v>
      </c>
      <c r="F1130" s="3472">
        <v>45.73</v>
      </c>
    </row>
    <row r="1131" spans="1:6" ht="13.5" customHeight="1">
      <c r="A1131" s="3466">
        <v>1129</v>
      </c>
      <c r="B1131" s="3467" t="s">
        <v>3389</v>
      </c>
      <c r="C1131" s="3466" t="s">
        <v>3390</v>
      </c>
      <c r="D1131" s="3466">
        <v>-2</v>
      </c>
      <c r="E1131" s="3471" t="s">
        <v>4518</v>
      </c>
      <c r="F1131" s="3472">
        <v>45.73</v>
      </c>
    </row>
    <row r="1132" spans="1:6" ht="13.5" customHeight="1">
      <c r="A1132" s="3466">
        <v>1130</v>
      </c>
      <c r="B1132" s="3467" t="s">
        <v>3389</v>
      </c>
      <c r="C1132" s="3466" t="s">
        <v>3390</v>
      </c>
      <c r="D1132" s="3466">
        <v>-2</v>
      </c>
      <c r="E1132" s="3471" t="s">
        <v>4519</v>
      </c>
      <c r="F1132" s="3472">
        <v>45.73</v>
      </c>
    </row>
    <row r="1133" spans="1:6" ht="13.5" customHeight="1">
      <c r="A1133" s="3466">
        <v>1131</v>
      </c>
      <c r="B1133" s="3467" t="s">
        <v>3389</v>
      </c>
      <c r="C1133" s="3466" t="s">
        <v>3390</v>
      </c>
      <c r="D1133" s="3466">
        <v>-2</v>
      </c>
      <c r="E1133" s="3471" t="s">
        <v>4520</v>
      </c>
      <c r="F1133" s="3472">
        <v>45.73</v>
      </c>
    </row>
    <row r="1134" spans="1:6" ht="13.5" customHeight="1">
      <c r="A1134" s="3466">
        <v>1132</v>
      </c>
      <c r="B1134" s="3467" t="s">
        <v>3389</v>
      </c>
      <c r="C1134" s="3466" t="s">
        <v>3390</v>
      </c>
      <c r="D1134" s="3466">
        <v>-2</v>
      </c>
      <c r="E1134" s="3471" t="s">
        <v>4521</v>
      </c>
      <c r="F1134" s="3472">
        <v>45.73</v>
      </c>
    </row>
    <row r="1135" spans="1:6" ht="13.5" customHeight="1">
      <c r="A1135" s="3466">
        <v>1133</v>
      </c>
      <c r="B1135" s="3467" t="s">
        <v>3389</v>
      </c>
      <c r="C1135" s="3466" t="s">
        <v>3390</v>
      </c>
      <c r="D1135" s="3466">
        <v>-2</v>
      </c>
      <c r="E1135" s="3471" t="s">
        <v>4522</v>
      </c>
      <c r="F1135" s="3472">
        <v>45.73</v>
      </c>
    </row>
    <row r="1136" spans="1:6" ht="13.5" customHeight="1">
      <c r="A1136" s="3466">
        <v>1134</v>
      </c>
      <c r="B1136" s="3467" t="s">
        <v>3389</v>
      </c>
      <c r="C1136" s="3466" t="s">
        <v>3390</v>
      </c>
      <c r="D1136" s="3466">
        <v>-2</v>
      </c>
      <c r="E1136" s="3471" t="s">
        <v>4523</v>
      </c>
      <c r="F1136" s="3472">
        <v>45.73</v>
      </c>
    </row>
    <row r="1137" spans="1:6" ht="13.5" customHeight="1">
      <c r="A1137" s="3466">
        <v>1135</v>
      </c>
      <c r="B1137" s="3467" t="s">
        <v>3389</v>
      </c>
      <c r="C1137" s="3466" t="s">
        <v>3390</v>
      </c>
      <c r="D1137" s="3466">
        <v>-2</v>
      </c>
      <c r="E1137" s="3471" t="s">
        <v>4524</v>
      </c>
      <c r="F1137" s="3472">
        <v>45.73</v>
      </c>
    </row>
    <row r="1138" spans="1:6" ht="13.5" customHeight="1">
      <c r="A1138" s="3466">
        <v>1136</v>
      </c>
      <c r="B1138" s="3467" t="s">
        <v>3389</v>
      </c>
      <c r="C1138" s="3466" t="s">
        <v>3390</v>
      </c>
      <c r="D1138" s="3466">
        <v>-2</v>
      </c>
      <c r="E1138" s="3471" t="s">
        <v>4525</v>
      </c>
      <c r="F1138" s="3472">
        <v>45.73</v>
      </c>
    </row>
    <row r="1139" spans="1:6" ht="13.5" customHeight="1">
      <c r="A1139" s="3466">
        <v>1137</v>
      </c>
      <c r="B1139" s="3467" t="s">
        <v>3389</v>
      </c>
      <c r="C1139" s="3466" t="s">
        <v>3390</v>
      </c>
      <c r="D1139" s="3466">
        <v>-2</v>
      </c>
      <c r="E1139" s="3471" t="s">
        <v>4526</v>
      </c>
      <c r="F1139" s="3472">
        <v>45.73</v>
      </c>
    </row>
    <row r="1140" spans="1:6" ht="13.5" customHeight="1">
      <c r="A1140" s="3466">
        <v>1138</v>
      </c>
      <c r="B1140" s="3467" t="s">
        <v>3389</v>
      </c>
      <c r="C1140" s="3466" t="s">
        <v>3390</v>
      </c>
      <c r="D1140" s="3466">
        <v>-2</v>
      </c>
      <c r="E1140" s="3471" t="s">
        <v>4527</v>
      </c>
      <c r="F1140" s="3472">
        <v>45.73</v>
      </c>
    </row>
    <row r="1141" spans="1:6" ht="13.5" customHeight="1">
      <c r="A1141" s="3466">
        <v>1139</v>
      </c>
      <c r="B1141" s="3467" t="s">
        <v>3389</v>
      </c>
      <c r="C1141" s="3466" t="s">
        <v>3390</v>
      </c>
      <c r="D1141" s="3466">
        <v>-2</v>
      </c>
      <c r="E1141" s="3471" t="s">
        <v>4528</v>
      </c>
      <c r="F1141" s="3472">
        <v>45.73</v>
      </c>
    </row>
    <row r="1142" spans="1:6" ht="13.5" customHeight="1">
      <c r="A1142" s="3466">
        <v>1140</v>
      </c>
      <c r="B1142" s="3467" t="s">
        <v>3389</v>
      </c>
      <c r="C1142" s="3466" t="s">
        <v>3390</v>
      </c>
      <c r="D1142" s="3466">
        <v>-2</v>
      </c>
      <c r="E1142" s="3471" t="s">
        <v>4529</v>
      </c>
      <c r="F1142" s="3472">
        <v>45.73</v>
      </c>
    </row>
    <row r="1143" spans="1:6" ht="13.5" customHeight="1">
      <c r="A1143" s="3466">
        <v>1141</v>
      </c>
      <c r="B1143" s="3467" t="s">
        <v>3389</v>
      </c>
      <c r="C1143" s="3466" t="s">
        <v>3390</v>
      </c>
      <c r="D1143" s="3466">
        <v>-2</v>
      </c>
      <c r="E1143" s="3471" t="s">
        <v>4530</v>
      </c>
      <c r="F1143" s="3472">
        <v>45.73</v>
      </c>
    </row>
    <row r="1144" spans="1:6" ht="13.5" customHeight="1">
      <c r="A1144" s="3466">
        <v>1142</v>
      </c>
      <c r="B1144" s="3467" t="s">
        <v>3389</v>
      </c>
      <c r="C1144" s="3466" t="s">
        <v>3390</v>
      </c>
      <c r="D1144" s="3466">
        <v>-2</v>
      </c>
      <c r="E1144" s="3471" t="s">
        <v>4531</v>
      </c>
      <c r="F1144" s="3472">
        <v>45.73</v>
      </c>
    </row>
    <row r="1145" spans="1:6" ht="13.5" customHeight="1">
      <c r="A1145" s="3466">
        <v>1143</v>
      </c>
      <c r="B1145" s="3467" t="s">
        <v>3389</v>
      </c>
      <c r="C1145" s="3466" t="s">
        <v>3390</v>
      </c>
      <c r="D1145" s="3466">
        <v>-2</v>
      </c>
      <c r="E1145" s="3471" t="s">
        <v>4532</v>
      </c>
      <c r="F1145" s="3472">
        <v>45.73</v>
      </c>
    </row>
    <row r="1146" spans="1:6" ht="13.5" customHeight="1">
      <c r="A1146" s="3466">
        <v>1144</v>
      </c>
      <c r="B1146" s="3467" t="s">
        <v>3389</v>
      </c>
      <c r="C1146" s="3466" t="s">
        <v>3390</v>
      </c>
      <c r="D1146" s="3466">
        <v>-2</v>
      </c>
      <c r="E1146" s="3471" t="s">
        <v>4533</v>
      </c>
      <c r="F1146" s="3472">
        <v>45.73</v>
      </c>
    </row>
    <row r="1147" spans="1:6" ht="13.5" customHeight="1">
      <c r="A1147" s="3466">
        <v>1145</v>
      </c>
      <c r="B1147" s="3467" t="s">
        <v>3389</v>
      </c>
      <c r="C1147" s="3466" t="s">
        <v>3390</v>
      </c>
      <c r="D1147" s="3466">
        <v>-2</v>
      </c>
      <c r="E1147" s="3471" t="s">
        <v>4534</v>
      </c>
      <c r="F1147" s="3472">
        <v>45.73</v>
      </c>
    </row>
    <row r="1148" spans="1:6" ht="13.5" customHeight="1">
      <c r="A1148" s="3466">
        <v>1146</v>
      </c>
      <c r="B1148" s="3467" t="s">
        <v>3389</v>
      </c>
      <c r="C1148" s="3466" t="s">
        <v>3390</v>
      </c>
      <c r="D1148" s="3466">
        <v>-2</v>
      </c>
      <c r="E1148" s="3471" t="s">
        <v>4535</v>
      </c>
      <c r="F1148" s="3472">
        <v>45.73</v>
      </c>
    </row>
    <row r="1149" spans="1:6" ht="13.5" customHeight="1">
      <c r="A1149" s="3466">
        <v>1147</v>
      </c>
      <c r="B1149" s="3467" t="s">
        <v>3389</v>
      </c>
      <c r="C1149" s="3466" t="s">
        <v>3390</v>
      </c>
      <c r="D1149" s="3466">
        <v>-2</v>
      </c>
      <c r="E1149" s="3471" t="s">
        <v>4536</v>
      </c>
      <c r="F1149" s="3472">
        <v>45.73</v>
      </c>
    </row>
    <row r="1150" spans="1:6" ht="13.5" customHeight="1">
      <c r="A1150" s="3466">
        <v>1148</v>
      </c>
      <c r="B1150" s="3467" t="s">
        <v>3389</v>
      </c>
      <c r="C1150" s="3466" t="s">
        <v>3390</v>
      </c>
      <c r="D1150" s="3466">
        <v>-2</v>
      </c>
      <c r="E1150" s="3471" t="s">
        <v>4537</v>
      </c>
      <c r="F1150" s="3472">
        <v>45.73</v>
      </c>
    </row>
    <row r="1151" spans="1:6" ht="13.5" customHeight="1">
      <c r="A1151" s="3466">
        <v>1149</v>
      </c>
      <c r="B1151" s="3467" t="s">
        <v>3389</v>
      </c>
      <c r="C1151" s="3466" t="s">
        <v>3390</v>
      </c>
      <c r="D1151" s="3466">
        <v>-2</v>
      </c>
      <c r="E1151" s="3471" t="s">
        <v>4538</v>
      </c>
      <c r="F1151" s="3472">
        <v>45.73</v>
      </c>
    </row>
    <row r="1152" spans="1:6" ht="13.5" customHeight="1">
      <c r="A1152" s="3466">
        <v>1150</v>
      </c>
      <c r="B1152" s="3467" t="s">
        <v>3389</v>
      </c>
      <c r="C1152" s="3466" t="s">
        <v>3390</v>
      </c>
      <c r="D1152" s="3466">
        <v>-2</v>
      </c>
      <c r="E1152" s="3471" t="s">
        <v>4539</v>
      </c>
      <c r="F1152" s="3472">
        <v>45.73</v>
      </c>
    </row>
    <row r="1153" spans="1:6" ht="13.5" customHeight="1">
      <c r="A1153" s="3466">
        <v>1151</v>
      </c>
      <c r="B1153" s="3467" t="s">
        <v>3389</v>
      </c>
      <c r="C1153" s="3466" t="s">
        <v>3390</v>
      </c>
      <c r="D1153" s="3466">
        <v>-2</v>
      </c>
      <c r="E1153" s="3471" t="s">
        <v>4540</v>
      </c>
      <c r="F1153" s="3472">
        <v>45.73</v>
      </c>
    </row>
    <row r="1154" spans="1:6" ht="13.5" customHeight="1">
      <c r="A1154" s="3466">
        <v>1152</v>
      </c>
      <c r="B1154" s="3467" t="s">
        <v>3389</v>
      </c>
      <c r="C1154" s="3466" t="s">
        <v>3390</v>
      </c>
      <c r="D1154" s="3466">
        <v>-2</v>
      </c>
      <c r="E1154" s="3471" t="s">
        <v>4541</v>
      </c>
      <c r="F1154" s="3472">
        <v>45.73</v>
      </c>
    </row>
    <row r="1155" spans="1:6" ht="13.5" customHeight="1">
      <c r="A1155" s="3466">
        <v>1153</v>
      </c>
      <c r="B1155" s="3467" t="s">
        <v>3389</v>
      </c>
      <c r="C1155" s="3466" t="s">
        <v>3390</v>
      </c>
      <c r="D1155" s="3466">
        <v>-2</v>
      </c>
      <c r="E1155" s="3471" t="s">
        <v>4542</v>
      </c>
      <c r="F1155" s="3472">
        <v>45.73</v>
      </c>
    </row>
    <row r="1156" spans="1:6" ht="13.5" customHeight="1">
      <c r="A1156" s="3466">
        <v>1154</v>
      </c>
      <c r="B1156" s="3467" t="s">
        <v>3389</v>
      </c>
      <c r="C1156" s="3466" t="s">
        <v>3390</v>
      </c>
      <c r="D1156" s="3466">
        <v>-2</v>
      </c>
      <c r="E1156" s="3471" t="s">
        <v>4543</v>
      </c>
      <c r="F1156" s="3472">
        <v>45.73</v>
      </c>
    </row>
    <row r="1157" spans="1:6" ht="13.5" customHeight="1">
      <c r="A1157" s="3466">
        <v>1155</v>
      </c>
      <c r="B1157" s="3467" t="s">
        <v>3389</v>
      </c>
      <c r="C1157" s="3466" t="s">
        <v>3390</v>
      </c>
      <c r="D1157" s="3466">
        <v>-2</v>
      </c>
      <c r="E1157" s="3471" t="s">
        <v>4544</v>
      </c>
      <c r="F1157" s="3472">
        <v>45.73</v>
      </c>
    </row>
    <row r="1158" spans="1:6" ht="13.5" customHeight="1">
      <c r="A1158" s="3466">
        <v>1156</v>
      </c>
      <c r="B1158" s="3467" t="s">
        <v>3389</v>
      </c>
      <c r="C1158" s="3466" t="s">
        <v>3390</v>
      </c>
      <c r="D1158" s="3466">
        <v>-2</v>
      </c>
      <c r="E1158" s="3471" t="s">
        <v>4545</v>
      </c>
      <c r="F1158" s="3472">
        <v>45.73</v>
      </c>
    </row>
    <row r="1159" spans="1:6" ht="13.5" customHeight="1">
      <c r="A1159" s="3466">
        <v>1157</v>
      </c>
      <c r="B1159" s="3467" t="s">
        <v>3389</v>
      </c>
      <c r="C1159" s="3466" t="s">
        <v>3390</v>
      </c>
      <c r="D1159" s="3466">
        <v>-2</v>
      </c>
      <c r="E1159" s="3471" t="s">
        <v>4546</v>
      </c>
      <c r="F1159" s="3472">
        <v>45.73</v>
      </c>
    </row>
    <row r="1160" spans="1:6" ht="13.5" customHeight="1">
      <c r="A1160" s="3466">
        <v>1158</v>
      </c>
      <c r="B1160" s="3467" t="s">
        <v>3389</v>
      </c>
      <c r="C1160" s="3466" t="s">
        <v>3390</v>
      </c>
      <c r="D1160" s="3466">
        <v>-2</v>
      </c>
      <c r="E1160" s="3471" t="s">
        <v>4547</v>
      </c>
      <c r="F1160" s="3472">
        <v>45.73</v>
      </c>
    </row>
    <row r="1161" spans="1:6" ht="13.5" customHeight="1">
      <c r="A1161" s="3466">
        <v>1159</v>
      </c>
      <c r="B1161" s="3467" t="s">
        <v>3389</v>
      </c>
      <c r="C1161" s="3466" t="s">
        <v>3390</v>
      </c>
      <c r="D1161" s="3466">
        <v>-2</v>
      </c>
      <c r="E1161" s="3471" t="s">
        <v>4548</v>
      </c>
      <c r="F1161" s="3472">
        <v>45.73</v>
      </c>
    </row>
    <row r="1162" spans="1:6" ht="13.5" customHeight="1">
      <c r="A1162" s="3466">
        <v>1160</v>
      </c>
      <c r="B1162" s="3467" t="s">
        <v>3389</v>
      </c>
      <c r="C1162" s="3466" t="s">
        <v>3390</v>
      </c>
      <c r="D1162" s="3466">
        <v>-2</v>
      </c>
      <c r="E1162" s="3471" t="s">
        <v>4549</v>
      </c>
      <c r="F1162" s="3472">
        <v>45.73</v>
      </c>
    </row>
    <row r="1163" spans="1:6" ht="13.5" customHeight="1">
      <c r="A1163" s="3466">
        <v>1161</v>
      </c>
      <c r="B1163" s="3467" t="s">
        <v>3389</v>
      </c>
      <c r="C1163" s="3466" t="s">
        <v>3390</v>
      </c>
      <c r="D1163" s="3466">
        <v>-2</v>
      </c>
      <c r="E1163" s="3471" t="s">
        <v>4550</v>
      </c>
      <c r="F1163" s="3472">
        <v>45.73</v>
      </c>
    </row>
    <row r="1164" spans="1:6" ht="13.5" customHeight="1">
      <c r="A1164" s="3466">
        <v>1162</v>
      </c>
      <c r="B1164" s="3467" t="s">
        <v>3389</v>
      </c>
      <c r="C1164" s="3466" t="s">
        <v>3390</v>
      </c>
      <c r="D1164" s="3466">
        <v>-2</v>
      </c>
      <c r="E1164" s="3471" t="s">
        <v>4551</v>
      </c>
      <c r="F1164" s="3472">
        <v>45.73</v>
      </c>
    </row>
    <row r="1165" spans="1:6" ht="13.5" customHeight="1">
      <c r="A1165" s="3466">
        <v>1163</v>
      </c>
      <c r="B1165" s="3467" t="s">
        <v>3389</v>
      </c>
      <c r="C1165" s="3466" t="s">
        <v>3390</v>
      </c>
      <c r="D1165" s="3466">
        <v>-2</v>
      </c>
      <c r="E1165" s="3471" t="s">
        <v>4552</v>
      </c>
      <c r="F1165" s="3472">
        <v>45.73</v>
      </c>
    </row>
    <row r="1166" spans="1:6" ht="13.5" customHeight="1">
      <c r="A1166" s="3466">
        <v>1164</v>
      </c>
      <c r="B1166" s="3467" t="s">
        <v>3389</v>
      </c>
      <c r="C1166" s="3466" t="s">
        <v>3390</v>
      </c>
      <c r="D1166" s="3466">
        <v>-2</v>
      </c>
      <c r="E1166" s="3471" t="s">
        <v>4553</v>
      </c>
      <c r="F1166" s="3472">
        <v>45.73</v>
      </c>
    </row>
    <row r="1167" spans="1:6" ht="13.5" customHeight="1">
      <c r="A1167" s="3466">
        <v>1165</v>
      </c>
      <c r="B1167" s="3467" t="s">
        <v>3389</v>
      </c>
      <c r="C1167" s="3466" t="s">
        <v>3390</v>
      </c>
      <c r="D1167" s="3466">
        <v>-2</v>
      </c>
      <c r="E1167" s="3471" t="s">
        <v>4554</v>
      </c>
      <c r="F1167" s="3472">
        <v>45.73</v>
      </c>
    </row>
    <row r="1168" spans="1:6" ht="13.5" customHeight="1">
      <c r="A1168" s="3466">
        <v>1166</v>
      </c>
      <c r="B1168" s="3467" t="s">
        <v>3389</v>
      </c>
      <c r="C1168" s="3466" t="s">
        <v>3390</v>
      </c>
      <c r="D1168" s="3466">
        <v>-2</v>
      </c>
      <c r="E1168" s="3471" t="s">
        <v>4555</v>
      </c>
      <c r="F1168" s="3472">
        <v>45.73</v>
      </c>
    </row>
    <row r="1169" spans="1:6" ht="13.5" customHeight="1">
      <c r="A1169" s="3466">
        <v>1167</v>
      </c>
      <c r="B1169" s="3467" t="s">
        <v>3389</v>
      </c>
      <c r="C1169" s="3466" t="s">
        <v>3390</v>
      </c>
      <c r="D1169" s="3466">
        <v>-2</v>
      </c>
      <c r="E1169" s="3471" t="s">
        <v>4556</v>
      </c>
      <c r="F1169" s="3472">
        <v>45.73</v>
      </c>
    </row>
    <row r="1170" spans="1:6" ht="13.5" customHeight="1">
      <c r="A1170" s="3466">
        <v>1168</v>
      </c>
      <c r="B1170" s="3467" t="s">
        <v>3389</v>
      </c>
      <c r="C1170" s="3466" t="s">
        <v>3390</v>
      </c>
      <c r="D1170" s="3466">
        <v>-2</v>
      </c>
      <c r="E1170" s="3471" t="s">
        <v>4557</v>
      </c>
      <c r="F1170" s="3472">
        <v>45.73</v>
      </c>
    </row>
    <row r="1171" spans="1:6" ht="13.5" customHeight="1">
      <c r="A1171" s="3466">
        <v>1169</v>
      </c>
      <c r="B1171" s="3467" t="s">
        <v>3389</v>
      </c>
      <c r="C1171" s="3466" t="s">
        <v>3390</v>
      </c>
      <c r="D1171" s="3466">
        <v>-2</v>
      </c>
      <c r="E1171" s="3471" t="s">
        <v>4558</v>
      </c>
      <c r="F1171" s="3472">
        <v>45.73</v>
      </c>
    </row>
    <row r="1172" spans="1:6" ht="13.5" customHeight="1">
      <c r="A1172" s="3466">
        <v>1170</v>
      </c>
      <c r="B1172" s="3467" t="s">
        <v>3389</v>
      </c>
      <c r="C1172" s="3466" t="s">
        <v>3390</v>
      </c>
      <c r="D1172" s="3466">
        <v>-2</v>
      </c>
      <c r="E1172" s="3471" t="s">
        <v>4559</v>
      </c>
      <c r="F1172" s="3472">
        <v>45.73</v>
      </c>
    </row>
    <row r="1173" spans="1:6" ht="13.5" customHeight="1">
      <c r="A1173" s="3466">
        <v>1171</v>
      </c>
      <c r="B1173" s="3467" t="s">
        <v>3389</v>
      </c>
      <c r="C1173" s="3466" t="s">
        <v>3390</v>
      </c>
      <c r="D1173" s="3466">
        <v>-2</v>
      </c>
      <c r="E1173" s="3471" t="s">
        <v>4560</v>
      </c>
      <c r="F1173" s="3472">
        <v>45.73</v>
      </c>
    </row>
    <row r="1174" spans="1:6" ht="13.5" customHeight="1">
      <c r="A1174" s="3466">
        <v>1172</v>
      </c>
      <c r="B1174" s="3467" t="s">
        <v>3389</v>
      </c>
      <c r="C1174" s="3466" t="s">
        <v>3390</v>
      </c>
      <c r="D1174" s="3466">
        <v>-2</v>
      </c>
      <c r="E1174" s="3471" t="s">
        <v>4561</v>
      </c>
      <c r="F1174" s="3472">
        <v>45.73</v>
      </c>
    </row>
    <row r="1175" spans="1:6" ht="13.5" customHeight="1">
      <c r="A1175" s="3466">
        <v>1173</v>
      </c>
      <c r="B1175" s="3467" t="s">
        <v>3389</v>
      </c>
      <c r="C1175" s="3466" t="s">
        <v>3390</v>
      </c>
      <c r="D1175" s="3466">
        <v>-2</v>
      </c>
      <c r="E1175" s="3471" t="s">
        <v>4562</v>
      </c>
      <c r="F1175" s="3472">
        <v>45.73</v>
      </c>
    </row>
    <row r="1176" spans="1:6" ht="13.5" customHeight="1">
      <c r="A1176" s="3466">
        <v>1174</v>
      </c>
      <c r="B1176" s="3467" t="s">
        <v>3389</v>
      </c>
      <c r="C1176" s="3466" t="s">
        <v>3390</v>
      </c>
      <c r="D1176" s="3466">
        <v>-2</v>
      </c>
      <c r="E1176" s="3471" t="s">
        <v>4563</v>
      </c>
      <c r="F1176" s="3472">
        <v>45.73</v>
      </c>
    </row>
    <row r="1177" spans="1:6" ht="13.5" customHeight="1">
      <c r="A1177" s="3466">
        <v>1175</v>
      </c>
      <c r="B1177" s="3467" t="s">
        <v>3389</v>
      </c>
      <c r="C1177" s="3466" t="s">
        <v>3390</v>
      </c>
      <c r="D1177" s="3466">
        <v>-2</v>
      </c>
      <c r="E1177" s="3471" t="s">
        <v>4564</v>
      </c>
      <c r="F1177" s="3472">
        <v>45.73</v>
      </c>
    </row>
    <row r="1178" spans="1:6" ht="13.5" customHeight="1">
      <c r="A1178" s="3466">
        <v>1176</v>
      </c>
      <c r="B1178" s="3467" t="s">
        <v>3389</v>
      </c>
      <c r="C1178" s="3466" t="s">
        <v>3390</v>
      </c>
      <c r="D1178" s="3466">
        <v>-2</v>
      </c>
      <c r="E1178" s="3471" t="s">
        <v>4565</v>
      </c>
      <c r="F1178" s="3472">
        <v>45.73</v>
      </c>
    </row>
    <row r="1179" spans="1:6" ht="13.5" customHeight="1">
      <c r="A1179" s="3466">
        <v>1177</v>
      </c>
      <c r="B1179" s="3467" t="s">
        <v>3389</v>
      </c>
      <c r="C1179" s="3466" t="s">
        <v>3390</v>
      </c>
      <c r="D1179" s="3466">
        <v>-2</v>
      </c>
      <c r="E1179" s="3471" t="s">
        <v>4566</v>
      </c>
      <c r="F1179" s="3472">
        <v>45.73</v>
      </c>
    </row>
    <row r="1180" spans="1:6" ht="13.5" customHeight="1">
      <c r="A1180" s="3466">
        <v>1178</v>
      </c>
      <c r="B1180" s="3467" t="s">
        <v>3389</v>
      </c>
      <c r="C1180" s="3466" t="s">
        <v>3390</v>
      </c>
      <c r="D1180" s="3466">
        <v>-2</v>
      </c>
      <c r="E1180" s="3471" t="s">
        <v>4567</v>
      </c>
      <c r="F1180" s="3472">
        <v>45.73</v>
      </c>
    </row>
    <row r="1181" spans="1:6" ht="13.5" customHeight="1">
      <c r="A1181" s="3466">
        <v>1179</v>
      </c>
      <c r="B1181" s="3467" t="s">
        <v>3389</v>
      </c>
      <c r="C1181" s="3466" t="s">
        <v>3390</v>
      </c>
      <c r="D1181" s="3466">
        <v>-2</v>
      </c>
      <c r="E1181" s="3471" t="s">
        <v>4568</v>
      </c>
      <c r="F1181" s="3472">
        <v>45.73</v>
      </c>
    </row>
    <row r="1182" spans="1:6" ht="13.5" customHeight="1">
      <c r="A1182" s="3466">
        <v>1180</v>
      </c>
      <c r="B1182" s="3467" t="s">
        <v>3389</v>
      </c>
      <c r="C1182" s="3466" t="s">
        <v>3390</v>
      </c>
      <c r="D1182" s="3466">
        <v>-2</v>
      </c>
      <c r="E1182" s="3471" t="s">
        <v>4569</v>
      </c>
      <c r="F1182" s="3472">
        <v>45.73</v>
      </c>
    </row>
    <row r="1183" spans="1:6" ht="13.5" customHeight="1">
      <c r="A1183" s="3466">
        <v>1181</v>
      </c>
      <c r="B1183" s="3467" t="s">
        <v>3389</v>
      </c>
      <c r="C1183" s="3466" t="s">
        <v>3390</v>
      </c>
      <c r="D1183" s="3466">
        <v>-2</v>
      </c>
      <c r="E1183" s="3471" t="s">
        <v>4570</v>
      </c>
      <c r="F1183" s="3472">
        <v>45.73</v>
      </c>
    </row>
    <row r="1184" spans="1:6" ht="13.5" customHeight="1">
      <c r="A1184" s="3466">
        <v>1182</v>
      </c>
      <c r="B1184" s="3467" t="s">
        <v>3389</v>
      </c>
      <c r="C1184" s="3466" t="s">
        <v>3390</v>
      </c>
      <c r="D1184" s="3466">
        <v>-2</v>
      </c>
      <c r="E1184" s="3471" t="s">
        <v>4571</v>
      </c>
      <c r="F1184" s="3472">
        <v>45.73</v>
      </c>
    </row>
    <row r="1185" spans="1:6" ht="13.5" customHeight="1">
      <c r="A1185" s="3466">
        <v>1183</v>
      </c>
      <c r="B1185" s="3467" t="s">
        <v>3389</v>
      </c>
      <c r="C1185" s="3466" t="s">
        <v>3390</v>
      </c>
      <c r="D1185" s="3466">
        <v>-2</v>
      </c>
      <c r="E1185" s="3471" t="s">
        <v>4572</v>
      </c>
      <c r="F1185" s="3472">
        <v>45.73</v>
      </c>
    </row>
    <row r="1186" spans="1:6" ht="13.5" customHeight="1">
      <c r="A1186" s="3466">
        <v>1184</v>
      </c>
      <c r="B1186" s="3467" t="s">
        <v>3389</v>
      </c>
      <c r="C1186" s="3466" t="s">
        <v>3390</v>
      </c>
      <c r="D1186" s="3466">
        <v>-2</v>
      </c>
      <c r="E1186" s="3471" t="s">
        <v>4573</v>
      </c>
      <c r="F1186" s="3472">
        <v>45.73</v>
      </c>
    </row>
    <row r="1187" spans="1:6" ht="13.5" customHeight="1">
      <c r="A1187" s="3466">
        <v>1185</v>
      </c>
      <c r="B1187" s="3467" t="s">
        <v>3389</v>
      </c>
      <c r="C1187" s="3466" t="s">
        <v>3390</v>
      </c>
      <c r="D1187" s="3466">
        <v>-2</v>
      </c>
      <c r="E1187" s="3471" t="s">
        <v>4574</v>
      </c>
      <c r="F1187" s="3472">
        <v>45.73</v>
      </c>
    </row>
    <row r="1188" spans="1:6" ht="13.5" customHeight="1">
      <c r="A1188" s="3466">
        <v>1186</v>
      </c>
      <c r="B1188" s="3467" t="s">
        <v>3389</v>
      </c>
      <c r="C1188" s="3466" t="s">
        <v>3390</v>
      </c>
      <c r="D1188" s="3466">
        <v>-2</v>
      </c>
      <c r="E1188" s="3471" t="s">
        <v>4575</v>
      </c>
      <c r="F1188" s="3472">
        <v>45.73</v>
      </c>
    </row>
    <row r="1189" spans="1:6" ht="13.5" customHeight="1">
      <c r="A1189" s="3466">
        <v>1187</v>
      </c>
      <c r="B1189" s="3467" t="s">
        <v>3389</v>
      </c>
      <c r="C1189" s="3466" t="s">
        <v>3390</v>
      </c>
      <c r="D1189" s="3466">
        <v>-2</v>
      </c>
      <c r="E1189" s="3471" t="s">
        <v>4576</v>
      </c>
      <c r="F1189" s="3472">
        <v>45.73</v>
      </c>
    </row>
    <row r="1190" spans="1:6" ht="13.5" customHeight="1">
      <c r="A1190" s="3466">
        <v>1188</v>
      </c>
      <c r="B1190" s="3467" t="s">
        <v>3389</v>
      </c>
      <c r="C1190" s="3466" t="s">
        <v>3390</v>
      </c>
      <c r="D1190" s="3466">
        <v>-2</v>
      </c>
      <c r="E1190" s="3471" t="s">
        <v>4577</v>
      </c>
      <c r="F1190" s="3472">
        <v>45.73</v>
      </c>
    </row>
    <row r="1191" spans="1:6" ht="13.5" customHeight="1">
      <c r="A1191" s="3466">
        <v>1189</v>
      </c>
      <c r="B1191" s="3467" t="s">
        <v>3389</v>
      </c>
      <c r="C1191" s="3466" t="s">
        <v>3390</v>
      </c>
      <c r="D1191" s="3466">
        <v>-2</v>
      </c>
      <c r="E1191" s="3471" t="s">
        <v>4578</v>
      </c>
      <c r="F1191" s="3472">
        <v>45.73</v>
      </c>
    </row>
    <row r="1192" spans="1:6" ht="13.5" customHeight="1">
      <c r="A1192" s="3466">
        <v>1190</v>
      </c>
      <c r="B1192" s="3467" t="s">
        <v>3389</v>
      </c>
      <c r="C1192" s="3466" t="s">
        <v>3390</v>
      </c>
      <c r="D1192" s="3466">
        <v>-2</v>
      </c>
      <c r="E1192" s="3471" t="s">
        <v>4579</v>
      </c>
      <c r="F1192" s="3472">
        <v>45.73</v>
      </c>
    </row>
    <row r="1193" spans="1:6" ht="13.5" customHeight="1">
      <c r="A1193" s="3466">
        <v>1191</v>
      </c>
      <c r="B1193" s="3467" t="s">
        <v>3389</v>
      </c>
      <c r="C1193" s="3466" t="s">
        <v>3390</v>
      </c>
      <c r="D1193" s="3466">
        <v>-2</v>
      </c>
      <c r="E1193" s="3471" t="s">
        <v>4580</v>
      </c>
      <c r="F1193" s="3472">
        <v>45.73</v>
      </c>
    </row>
    <row r="1194" spans="1:6" ht="13.5" customHeight="1">
      <c r="A1194" s="3466">
        <v>1192</v>
      </c>
      <c r="B1194" s="3467" t="s">
        <v>3389</v>
      </c>
      <c r="C1194" s="3466" t="s">
        <v>3390</v>
      </c>
      <c r="D1194" s="3466">
        <v>-2</v>
      </c>
      <c r="E1194" s="3471" t="s">
        <v>4581</v>
      </c>
      <c r="F1194" s="3472">
        <v>45.73</v>
      </c>
    </row>
    <row r="1195" spans="1:6" ht="13.5" customHeight="1">
      <c r="A1195" s="3466">
        <v>1193</v>
      </c>
      <c r="B1195" s="3467" t="s">
        <v>3389</v>
      </c>
      <c r="C1195" s="3466" t="s">
        <v>3390</v>
      </c>
      <c r="D1195" s="3466">
        <v>-2</v>
      </c>
      <c r="E1195" s="3471" t="s">
        <v>4582</v>
      </c>
      <c r="F1195" s="3472">
        <v>45.73</v>
      </c>
    </row>
    <row r="1196" spans="1:6" ht="13.5" customHeight="1">
      <c r="A1196" s="3466">
        <v>1194</v>
      </c>
      <c r="B1196" s="3467" t="s">
        <v>3389</v>
      </c>
      <c r="C1196" s="3466" t="s">
        <v>3390</v>
      </c>
      <c r="D1196" s="3466">
        <v>-2</v>
      </c>
      <c r="E1196" s="3471" t="s">
        <v>4583</v>
      </c>
      <c r="F1196" s="3472">
        <v>45.73</v>
      </c>
    </row>
    <row r="1197" spans="1:6" ht="13.5" customHeight="1">
      <c r="A1197" s="3466">
        <v>1195</v>
      </c>
      <c r="B1197" s="3467" t="s">
        <v>3389</v>
      </c>
      <c r="C1197" s="3466" t="s">
        <v>3390</v>
      </c>
      <c r="D1197" s="3466">
        <v>-2</v>
      </c>
      <c r="E1197" s="3471" t="s">
        <v>4584</v>
      </c>
      <c r="F1197" s="3472">
        <v>45.73</v>
      </c>
    </row>
    <row r="1198" spans="1:6" ht="13.5" customHeight="1">
      <c r="A1198" s="3466">
        <v>1196</v>
      </c>
      <c r="B1198" s="3467" t="s">
        <v>3389</v>
      </c>
      <c r="C1198" s="3466" t="s">
        <v>3390</v>
      </c>
      <c r="D1198" s="3466">
        <v>-2</v>
      </c>
      <c r="E1198" s="3471" t="s">
        <v>4585</v>
      </c>
      <c r="F1198" s="3472">
        <v>45.73</v>
      </c>
    </row>
    <row r="1199" spans="1:6" ht="13.5" customHeight="1">
      <c r="A1199" s="3466">
        <v>1197</v>
      </c>
      <c r="B1199" s="3467" t="s">
        <v>3389</v>
      </c>
      <c r="C1199" s="3466" t="s">
        <v>3390</v>
      </c>
      <c r="D1199" s="3466">
        <v>-2</v>
      </c>
      <c r="E1199" s="3471" t="s">
        <v>4586</v>
      </c>
      <c r="F1199" s="3472">
        <v>45.73</v>
      </c>
    </row>
    <row r="1200" spans="1:6" ht="13.5" customHeight="1">
      <c r="A1200" s="3466">
        <v>1198</v>
      </c>
      <c r="B1200" s="3467" t="s">
        <v>3389</v>
      </c>
      <c r="C1200" s="3466" t="s">
        <v>3390</v>
      </c>
      <c r="D1200" s="3466">
        <v>-2</v>
      </c>
      <c r="E1200" s="3471" t="s">
        <v>4587</v>
      </c>
      <c r="F1200" s="3472">
        <v>45.73</v>
      </c>
    </row>
    <row r="1201" spans="1:6" ht="13.5" customHeight="1">
      <c r="A1201" s="3466">
        <v>1199</v>
      </c>
      <c r="B1201" s="3467" t="s">
        <v>3389</v>
      </c>
      <c r="C1201" s="3466" t="s">
        <v>3390</v>
      </c>
      <c r="D1201" s="3466">
        <v>-2</v>
      </c>
      <c r="E1201" s="3471" t="s">
        <v>4588</v>
      </c>
      <c r="F1201" s="3472">
        <v>45.73</v>
      </c>
    </row>
    <row r="1202" spans="1:6" ht="13.5" customHeight="1">
      <c r="A1202" s="3466">
        <v>1200</v>
      </c>
      <c r="B1202" s="3467" t="s">
        <v>3389</v>
      </c>
      <c r="C1202" s="3466" t="s">
        <v>3390</v>
      </c>
      <c r="D1202" s="3466">
        <v>-2</v>
      </c>
      <c r="E1202" s="3471" t="s">
        <v>4589</v>
      </c>
      <c r="F1202" s="3472">
        <v>45.73</v>
      </c>
    </row>
    <row r="1203" spans="1:6" ht="13.5" customHeight="1">
      <c r="A1203" s="3466">
        <v>1201</v>
      </c>
      <c r="B1203" s="3467" t="s">
        <v>3389</v>
      </c>
      <c r="C1203" s="3466" t="s">
        <v>3390</v>
      </c>
      <c r="D1203" s="3466">
        <v>-2</v>
      </c>
      <c r="E1203" s="3471" t="s">
        <v>4590</v>
      </c>
      <c r="F1203" s="3472">
        <v>45.73</v>
      </c>
    </row>
    <row r="1204" spans="1:6" ht="13.5" customHeight="1">
      <c r="A1204" s="3466">
        <v>1202</v>
      </c>
      <c r="B1204" s="3467" t="s">
        <v>3389</v>
      </c>
      <c r="C1204" s="3466" t="s">
        <v>3390</v>
      </c>
      <c r="D1204" s="3466">
        <v>-2</v>
      </c>
      <c r="E1204" s="3471" t="s">
        <v>4591</v>
      </c>
      <c r="F1204" s="3472">
        <v>45.73</v>
      </c>
    </row>
    <row r="1205" spans="1:6" ht="13.5" customHeight="1">
      <c r="A1205" s="3466">
        <v>1203</v>
      </c>
      <c r="B1205" s="3467" t="s">
        <v>3389</v>
      </c>
      <c r="C1205" s="3466" t="s">
        <v>3390</v>
      </c>
      <c r="D1205" s="3466">
        <v>-2</v>
      </c>
      <c r="E1205" s="3471" t="s">
        <v>4592</v>
      </c>
      <c r="F1205" s="3472">
        <v>45.73</v>
      </c>
    </row>
    <row r="1206" spans="1:6" ht="13.5" customHeight="1">
      <c r="A1206" s="3466">
        <v>1204</v>
      </c>
      <c r="B1206" s="3467" t="s">
        <v>3389</v>
      </c>
      <c r="C1206" s="3466" t="s">
        <v>3390</v>
      </c>
      <c r="D1206" s="3466">
        <v>-2</v>
      </c>
      <c r="E1206" s="3471" t="s">
        <v>4593</v>
      </c>
      <c r="F1206" s="3472">
        <v>45.73</v>
      </c>
    </row>
    <row r="1207" spans="1:6" ht="13.5" customHeight="1">
      <c r="A1207" s="3466">
        <v>1205</v>
      </c>
      <c r="B1207" s="3467" t="s">
        <v>3389</v>
      </c>
      <c r="C1207" s="3466" t="s">
        <v>3390</v>
      </c>
      <c r="D1207" s="3466">
        <v>-2</v>
      </c>
      <c r="E1207" s="3471" t="s">
        <v>4594</v>
      </c>
      <c r="F1207" s="3472">
        <v>45.73</v>
      </c>
    </row>
    <row r="1208" spans="1:6" ht="13.5" customHeight="1">
      <c r="A1208" s="3466">
        <v>1206</v>
      </c>
      <c r="B1208" s="3467" t="s">
        <v>3389</v>
      </c>
      <c r="C1208" s="3466" t="s">
        <v>3390</v>
      </c>
      <c r="D1208" s="3466">
        <v>-2</v>
      </c>
      <c r="E1208" s="3471" t="s">
        <v>4595</v>
      </c>
      <c r="F1208" s="3472">
        <v>45.73</v>
      </c>
    </row>
    <row r="1209" spans="1:6" ht="13.5" customHeight="1">
      <c r="A1209" s="3466">
        <v>1207</v>
      </c>
      <c r="B1209" s="3467" t="s">
        <v>3389</v>
      </c>
      <c r="C1209" s="3466" t="s">
        <v>3390</v>
      </c>
      <c r="D1209" s="3466">
        <v>-2</v>
      </c>
      <c r="E1209" s="3471" t="s">
        <v>4596</v>
      </c>
      <c r="F1209" s="3472">
        <v>45.73</v>
      </c>
    </row>
    <row r="1210" spans="1:6" ht="13.5" customHeight="1">
      <c r="A1210" s="3466">
        <v>1208</v>
      </c>
      <c r="B1210" s="3467" t="s">
        <v>3389</v>
      </c>
      <c r="C1210" s="3466" t="s">
        <v>3390</v>
      </c>
      <c r="D1210" s="3466">
        <v>-2</v>
      </c>
      <c r="E1210" s="3471" t="s">
        <v>4597</v>
      </c>
      <c r="F1210" s="3472">
        <v>45.73</v>
      </c>
    </row>
    <row r="1211" spans="1:6" ht="13.5" customHeight="1">
      <c r="A1211" s="3466">
        <v>1209</v>
      </c>
      <c r="B1211" s="3467" t="s">
        <v>3389</v>
      </c>
      <c r="C1211" s="3466" t="s">
        <v>3390</v>
      </c>
      <c r="D1211" s="3466">
        <v>-2</v>
      </c>
      <c r="E1211" s="3471" t="s">
        <v>4598</v>
      </c>
      <c r="F1211" s="3472">
        <v>45.73</v>
      </c>
    </row>
    <row r="1212" spans="1:6" ht="13.5" customHeight="1">
      <c r="A1212" s="3466">
        <v>1210</v>
      </c>
      <c r="B1212" s="3467" t="s">
        <v>3389</v>
      </c>
      <c r="C1212" s="3466" t="s">
        <v>3390</v>
      </c>
      <c r="D1212" s="3466">
        <v>-2</v>
      </c>
      <c r="E1212" s="3471" t="s">
        <v>4599</v>
      </c>
      <c r="F1212" s="3472">
        <v>45.73</v>
      </c>
    </row>
    <row r="1213" spans="1:6" ht="13.5" customHeight="1">
      <c r="A1213" s="3466">
        <v>1211</v>
      </c>
      <c r="B1213" s="3467" t="s">
        <v>3389</v>
      </c>
      <c r="C1213" s="3466" t="s">
        <v>3390</v>
      </c>
      <c r="D1213" s="3466">
        <v>-2</v>
      </c>
      <c r="E1213" s="3471" t="s">
        <v>4600</v>
      </c>
      <c r="F1213" s="3472">
        <v>45.73</v>
      </c>
    </row>
    <row r="1214" spans="1:6" ht="13.5" customHeight="1">
      <c r="A1214" s="3466">
        <v>1212</v>
      </c>
      <c r="B1214" s="3467" t="s">
        <v>3389</v>
      </c>
      <c r="C1214" s="3466" t="s">
        <v>3390</v>
      </c>
      <c r="D1214" s="3466">
        <v>-2</v>
      </c>
      <c r="E1214" s="3471" t="s">
        <v>4601</v>
      </c>
      <c r="F1214" s="3472">
        <v>45.73</v>
      </c>
    </row>
    <row r="1215" spans="1:6" ht="13.5" customHeight="1">
      <c r="A1215" s="3466">
        <v>1213</v>
      </c>
      <c r="B1215" s="3467" t="s">
        <v>3389</v>
      </c>
      <c r="C1215" s="3466" t="s">
        <v>3390</v>
      </c>
      <c r="D1215" s="3466">
        <v>-2</v>
      </c>
      <c r="E1215" s="3471" t="s">
        <v>4602</v>
      </c>
      <c r="F1215" s="3472">
        <v>45.73</v>
      </c>
    </row>
    <row r="1216" spans="1:6" ht="13.5" customHeight="1">
      <c r="A1216" s="3466">
        <v>1214</v>
      </c>
      <c r="B1216" s="3467" t="s">
        <v>3389</v>
      </c>
      <c r="C1216" s="3466" t="s">
        <v>3390</v>
      </c>
      <c r="D1216" s="3466">
        <v>-2</v>
      </c>
      <c r="E1216" s="3471" t="s">
        <v>4603</v>
      </c>
      <c r="F1216" s="3472">
        <v>45.73</v>
      </c>
    </row>
    <row r="1217" spans="1:6" ht="13.5" customHeight="1">
      <c r="A1217" s="3466">
        <v>1215</v>
      </c>
      <c r="B1217" s="3467" t="s">
        <v>3389</v>
      </c>
      <c r="C1217" s="3466" t="s">
        <v>3390</v>
      </c>
      <c r="D1217" s="3466">
        <v>-2</v>
      </c>
      <c r="E1217" s="3471" t="s">
        <v>4604</v>
      </c>
      <c r="F1217" s="3472">
        <v>45.73</v>
      </c>
    </row>
    <row r="1218" spans="1:6" ht="13.5" customHeight="1">
      <c r="A1218" s="3466">
        <v>1216</v>
      </c>
      <c r="B1218" s="3467" t="s">
        <v>3389</v>
      </c>
      <c r="C1218" s="3466" t="s">
        <v>3390</v>
      </c>
      <c r="D1218" s="3466">
        <v>-2</v>
      </c>
      <c r="E1218" s="3471" t="s">
        <v>4605</v>
      </c>
      <c r="F1218" s="3472">
        <v>45.3</v>
      </c>
    </row>
    <row r="1219" spans="1:6" ht="13.5" customHeight="1">
      <c r="A1219" s="3466">
        <v>1217</v>
      </c>
      <c r="B1219" s="3467" t="s">
        <v>3389</v>
      </c>
      <c r="C1219" s="3466" t="s">
        <v>3390</v>
      </c>
      <c r="D1219" s="3466">
        <v>-2</v>
      </c>
      <c r="E1219" s="3471" t="s">
        <v>4606</v>
      </c>
      <c r="F1219" s="3472">
        <v>45.3</v>
      </c>
    </row>
    <row r="1220" spans="1:6" ht="13.5" customHeight="1">
      <c r="A1220" s="3466">
        <v>1218</v>
      </c>
      <c r="B1220" s="3467" t="s">
        <v>3389</v>
      </c>
      <c r="C1220" s="3466" t="s">
        <v>3390</v>
      </c>
      <c r="D1220" s="3466">
        <v>-2</v>
      </c>
      <c r="E1220" s="3471" t="s">
        <v>4607</v>
      </c>
      <c r="F1220" s="3472">
        <v>45.3</v>
      </c>
    </row>
    <row r="1221" spans="1:6" ht="13.5" customHeight="1">
      <c r="A1221" s="3466">
        <v>1219</v>
      </c>
      <c r="B1221" s="3467" t="s">
        <v>3389</v>
      </c>
      <c r="C1221" s="3466" t="s">
        <v>3390</v>
      </c>
      <c r="D1221" s="3466">
        <v>-2</v>
      </c>
      <c r="E1221" s="3471" t="s">
        <v>4608</v>
      </c>
      <c r="F1221" s="3472">
        <v>45.3</v>
      </c>
    </row>
    <row r="1222" spans="1:6" ht="13.5" customHeight="1">
      <c r="A1222" s="3466">
        <v>1220</v>
      </c>
      <c r="B1222" s="3467" t="s">
        <v>3389</v>
      </c>
      <c r="C1222" s="3466" t="s">
        <v>3390</v>
      </c>
      <c r="D1222" s="3466">
        <v>-2</v>
      </c>
      <c r="E1222" s="3471" t="s">
        <v>4609</v>
      </c>
      <c r="F1222" s="3472">
        <v>45.3</v>
      </c>
    </row>
    <row r="1223" spans="1:6" ht="13.5" customHeight="1">
      <c r="A1223" s="3466">
        <v>1221</v>
      </c>
      <c r="B1223" s="3467" t="s">
        <v>3389</v>
      </c>
      <c r="C1223" s="3466" t="s">
        <v>3390</v>
      </c>
      <c r="D1223" s="3466">
        <v>-2</v>
      </c>
      <c r="E1223" s="3471" t="s">
        <v>4610</v>
      </c>
      <c r="F1223" s="3472">
        <v>45.3</v>
      </c>
    </row>
    <row r="1224" spans="1:6" ht="13.5" customHeight="1">
      <c r="A1224" s="3466">
        <v>1222</v>
      </c>
      <c r="B1224" s="3467" t="s">
        <v>3389</v>
      </c>
      <c r="C1224" s="3466" t="s">
        <v>3390</v>
      </c>
      <c r="D1224" s="3466">
        <v>-2</v>
      </c>
      <c r="E1224" s="3471" t="s">
        <v>4611</v>
      </c>
      <c r="F1224" s="3472">
        <v>45.3</v>
      </c>
    </row>
    <row r="1225" spans="1:6" ht="13.5" customHeight="1">
      <c r="A1225" s="3466">
        <v>1223</v>
      </c>
      <c r="B1225" s="3467" t="s">
        <v>3389</v>
      </c>
      <c r="C1225" s="3466" t="s">
        <v>3390</v>
      </c>
      <c r="D1225" s="3466">
        <v>-2</v>
      </c>
      <c r="E1225" s="3471" t="s">
        <v>4612</v>
      </c>
      <c r="F1225" s="3472">
        <v>45.3</v>
      </c>
    </row>
    <row r="1226" spans="1:6" ht="13.5" customHeight="1">
      <c r="A1226" s="3466">
        <v>1224</v>
      </c>
      <c r="B1226" s="3467" t="s">
        <v>3389</v>
      </c>
      <c r="C1226" s="3466" t="s">
        <v>3390</v>
      </c>
      <c r="D1226" s="3466">
        <v>-2</v>
      </c>
      <c r="E1226" s="3471" t="s">
        <v>4613</v>
      </c>
      <c r="F1226" s="3472">
        <v>45.3</v>
      </c>
    </row>
    <row r="1227" spans="1:6" ht="13.5" customHeight="1">
      <c r="A1227" s="3466">
        <v>1225</v>
      </c>
      <c r="B1227" s="3467" t="s">
        <v>3389</v>
      </c>
      <c r="C1227" s="3466" t="s">
        <v>3390</v>
      </c>
      <c r="D1227" s="3466">
        <v>-2</v>
      </c>
      <c r="E1227" s="3471" t="s">
        <v>4614</v>
      </c>
      <c r="F1227" s="3472">
        <v>45.3</v>
      </c>
    </row>
    <row r="1228" spans="1:6" ht="13.5" customHeight="1">
      <c r="A1228" s="3466">
        <v>1226</v>
      </c>
      <c r="B1228" s="3467" t="s">
        <v>3389</v>
      </c>
      <c r="C1228" s="3466" t="s">
        <v>3390</v>
      </c>
      <c r="D1228" s="3466">
        <v>-2</v>
      </c>
      <c r="E1228" s="3471" t="s">
        <v>4615</v>
      </c>
      <c r="F1228" s="3472">
        <v>45.3</v>
      </c>
    </row>
    <row r="1229" spans="1:6" ht="13.5" customHeight="1">
      <c r="A1229" s="3466">
        <v>1227</v>
      </c>
      <c r="B1229" s="3467" t="s">
        <v>3389</v>
      </c>
      <c r="C1229" s="3466" t="s">
        <v>3390</v>
      </c>
      <c r="D1229" s="3466">
        <v>-2</v>
      </c>
      <c r="E1229" s="3471" t="s">
        <v>4616</v>
      </c>
      <c r="F1229" s="3472">
        <v>31.64</v>
      </c>
    </row>
    <row r="1230" spans="1:6" ht="13.5" customHeight="1">
      <c r="A1230" s="3466">
        <v>1228</v>
      </c>
      <c r="B1230" s="3467" t="s">
        <v>3389</v>
      </c>
      <c r="C1230" s="3466" t="s">
        <v>3390</v>
      </c>
      <c r="D1230" s="3466">
        <v>-2</v>
      </c>
      <c r="E1230" s="3471" t="s">
        <v>4617</v>
      </c>
      <c r="F1230" s="3472">
        <v>31.64</v>
      </c>
    </row>
    <row r="1231" spans="1:6" ht="13.5" customHeight="1">
      <c r="A1231" s="3466">
        <v>1229</v>
      </c>
      <c r="B1231" s="3467" t="s">
        <v>3389</v>
      </c>
      <c r="C1231" s="3466" t="s">
        <v>3390</v>
      </c>
      <c r="D1231" s="3466">
        <v>-2</v>
      </c>
      <c r="E1231" s="3471" t="s">
        <v>4618</v>
      </c>
      <c r="F1231" s="3472">
        <v>31.64</v>
      </c>
    </row>
    <row r="1232" spans="1:6" ht="13.5" customHeight="1">
      <c r="A1232" s="3466">
        <v>1230</v>
      </c>
      <c r="B1232" s="3467" t="s">
        <v>3389</v>
      </c>
      <c r="C1232" s="3466" t="s">
        <v>3390</v>
      </c>
      <c r="D1232" s="3466">
        <v>-2</v>
      </c>
      <c r="E1232" s="3471" t="s">
        <v>4619</v>
      </c>
      <c r="F1232" s="3472">
        <v>31.64</v>
      </c>
    </row>
    <row r="1233" spans="1:6" ht="13.5" customHeight="1">
      <c r="A1233" s="3466">
        <v>1231</v>
      </c>
      <c r="B1233" s="3467" t="s">
        <v>3389</v>
      </c>
      <c r="C1233" s="3466" t="s">
        <v>3390</v>
      </c>
      <c r="D1233" s="3466">
        <v>-2</v>
      </c>
      <c r="E1233" s="3471" t="s">
        <v>4620</v>
      </c>
      <c r="F1233" s="3472">
        <v>31.64</v>
      </c>
    </row>
    <row r="1234" spans="1:6" ht="13.5" customHeight="1">
      <c r="A1234" s="3466">
        <v>1232</v>
      </c>
      <c r="B1234" s="3467" t="s">
        <v>3389</v>
      </c>
      <c r="C1234" s="3466" t="s">
        <v>3390</v>
      </c>
      <c r="D1234" s="3466">
        <v>-2</v>
      </c>
      <c r="E1234" s="3471" t="s">
        <v>4621</v>
      </c>
      <c r="F1234" s="3472">
        <v>70.5</v>
      </c>
    </row>
    <row r="1235" spans="1:6" ht="13.5" customHeight="1">
      <c r="A1235" s="3466">
        <v>1233</v>
      </c>
      <c r="B1235" s="3467" t="s">
        <v>3389</v>
      </c>
      <c r="C1235" s="3466" t="s">
        <v>3390</v>
      </c>
      <c r="D1235" s="3466">
        <v>-2</v>
      </c>
      <c r="E1235" s="3471" t="s">
        <v>4622</v>
      </c>
      <c r="F1235" s="3472">
        <v>70.5</v>
      </c>
    </row>
    <row r="1236" spans="1:6" ht="13.5" customHeight="1">
      <c r="A1236" s="3466">
        <v>1234</v>
      </c>
      <c r="B1236" s="3467" t="s">
        <v>3389</v>
      </c>
      <c r="C1236" s="3471" t="s">
        <v>673</v>
      </c>
      <c r="D1236" s="3466">
        <v>-1</v>
      </c>
      <c r="E1236" s="3471" t="s">
        <v>4623</v>
      </c>
      <c r="F1236" s="3472">
        <v>19106.38</v>
      </c>
    </row>
    <row r="1237" spans="1:6" ht="13.5" customHeight="1">
      <c r="A1237" s="3466">
        <v>1235</v>
      </c>
      <c r="B1237" s="3467" t="s">
        <v>3389</v>
      </c>
      <c r="C1237" s="3471" t="s">
        <v>673</v>
      </c>
      <c r="D1237" s="3466">
        <v>-1</v>
      </c>
      <c r="E1237" s="3471" t="s">
        <v>4624</v>
      </c>
      <c r="F1237" s="3472">
        <v>711.61</v>
      </c>
    </row>
    <row r="1238" spans="1:6" ht="13.5" customHeight="1">
      <c r="A1238" s="3466">
        <v>1236</v>
      </c>
      <c r="B1238" s="3467" t="s">
        <v>3389</v>
      </c>
      <c r="C1238" s="3466"/>
      <c r="D1238" s="3466">
        <v>-1</v>
      </c>
      <c r="E1238" s="3471" t="s">
        <v>4625</v>
      </c>
      <c r="F1238" s="3472">
        <v>70.989999999999995</v>
      </c>
    </row>
    <row r="1239" spans="1:6" ht="13.5" customHeight="1">
      <c r="A1239" s="3466">
        <v>1237</v>
      </c>
      <c r="B1239" s="3467" t="s">
        <v>3389</v>
      </c>
      <c r="C1239" s="3466"/>
      <c r="D1239" s="3466">
        <v>-1</v>
      </c>
      <c r="E1239" s="3471" t="s">
        <v>4626</v>
      </c>
      <c r="F1239" s="3472">
        <v>31.43</v>
      </c>
    </row>
    <row r="1240" spans="1:6" ht="13.5" customHeight="1">
      <c r="A1240" s="3466">
        <v>1238</v>
      </c>
      <c r="B1240" s="3467" t="s">
        <v>3389</v>
      </c>
      <c r="C1240" s="3466"/>
      <c r="D1240" s="3466">
        <v>-1</v>
      </c>
      <c r="E1240" s="3471" t="s">
        <v>4627</v>
      </c>
      <c r="F1240" s="3472">
        <v>28.17</v>
      </c>
    </row>
    <row r="1241" spans="1:6" ht="13.5" customHeight="1">
      <c r="A1241" s="3466">
        <v>1239</v>
      </c>
      <c r="B1241" s="3467" t="s">
        <v>3389</v>
      </c>
      <c r="C1241" s="3466"/>
      <c r="D1241" s="3466">
        <v>-1</v>
      </c>
      <c r="E1241" s="3471" t="s">
        <v>4628</v>
      </c>
      <c r="F1241" s="3472">
        <v>47</v>
      </c>
    </row>
    <row r="1242" spans="1:6" ht="13.5" customHeight="1">
      <c r="A1242" s="3466">
        <v>1240</v>
      </c>
      <c r="B1242" s="3467" t="s">
        <v>3389</v>
      </c>
      <c r="C1242" s="3466"/>
      <c r="D1242" s="3466">
        <v>-1</v>
      </c>
      <c r="E1242" s="3471" t="s">
        <v>4629</v>
      </c>
      <c r="F1242" s="3472">
        <v>40.479999999999997</v>
      </c>
    </row>
    <row r="1243" spans="1:6" ht="13.5" customHeight="1">
      <c r="A1243" s="3466">
        <v>1241</v>
      </c>
      <c r="B1243" s="3467" t="s">
        <v>3389</v>
      </c>
      <c r="C1243" s="3466"/>
      <c r="D1243" s="3466">
        <v>-1</v>
      </c>
      <c r="E1243" s="3471" t="s">
        <v>4630</v>
      </c>
      <c r="F1243" s="3472">
        <v>96.74</v>
      </c>
    </row>
    <row r="1244" spans="1:6" ht="13.5" customHeight="1">
      <c r="A1244" s="3466">
        <v>1242</v>
      </c>
      <c r="B1244" s="3467" t="s">
        <v>3389</v>
      </c>
      <c r="C1244" s="3466"/>
      <c r="D1244" s="3466">
        <v>-1</v>
      </c>
      <c r="E1244" s="3471" t="s">
        <v>4631</v>
      </c>
      <c r="F1244" s="3472">
        <v>39.11</v>
      </c>
    </row>
    <row r="1245" spans="1:6" ht="13.5" customHeight="1">
      <c r="A1245" s="3466">
        <v>1243</v>
      </c>
      <c r="B1245" s="3467" t="s">
        <v>3389</v>
      </c>
      <c r="C1245" s="3466"/>
      <c r="D1245" s="3466">
        <v>-1</v>
      </c>
      <c r="E1245" s="3471" t="s">
        <v>4632</v>
      </c>
      <c r="F1245" s="3472">
        <v>29.38</v>
      </c>
    </row>
    <row r="1246" spans="1:6" ht="13.5" customHeight="1">
      <c r="A1246" s="3466">
        <v>1244</v>
      </c>
      <c r="B1246" s="3467" t="s">
        <v>3389</v>
      </c>
      <c r="C1246" s="3466"/>
      <c r="D1246" s="3466">
        <v>-1</v>
      </c>
      <c r="E1246" s="3471" t="s">
        <v>4633</v>
      </c>
      <c r="F1246" s="3472">
        <v>77.430000000000007</v>
      </c>
    </row>
    <row r="1247" spans="1:6" ht="13.5" customHeight="1">
      <c r="A1247" s="3466">
        <v>1245</v>
      </c>
      <c r="B1247" s="3467" t="s">
        <v>3389</v>
      </c>
      <c r="C1247" s="3466"/>
      <c r="D1247" s="3466">
        <v>-1</v>
      </c>
      <c r="E1247" s="3471" t="s">
        <v>4634</v>
      </c>
      <c r="F1247" s="3472">
        <v>56.25</v>
      </c>
    </row>
    <row r="1248" spans="1:6" ht="13.5" customHeight="1">
      <c r="A1248" s="3466">
        <v>1246</v>
      </c>
      <c r="B1248" s="3467" t="s">
        <v>3389</v>
      </c>
      <c r="C1248" s="3466"/>
      <c r="D1248" s="3466">
        <v>-1</v>
      </c>
      <c r="E1248" s="3471" t="s">
        <v>4635</v>
      </c>
      <c r="F1248" s="3472">
        <v>21.15</v>
      </c>
    </row>
    <row r="1249" spans="1:6" ht="13.5" customHeight="1">
      <c r="A1249" s="3466">
        <v>1247</v>
      </c>
      <c r="B1249" s="3467" t="s">
        <v>3389</v>
      </c>
      <c r="C1249" s="3466"/>
      <c r="D1249" s="3466">
        <v>-1</v>
      </c>
      <c r="E1249" s="3471" t="s">
        <v>4636</v>
      </c>
      <c r="F1249" s="3472">
        <v>72.180000000000007</v>
      </c>
    </row>
    <row r="1250" spans="1:6" ht="13.5" customHeight="1">
      <c r="A1250" s="3466">
        <v>1248</v>
      </c>
      <c r="B1250" s="3467" t="s">
        <v>3389</v>
      </c>
      <c r="C1250" s="3466"/>
      <c r="D1250" s="3466">
        <v>-1</v>
      </c>
      <c r="E1250" s="3471" t="s">
        <v>4637</v>
      </c>
      <c r="F1250" s="3472">
        <v>63.74</v>
      </c>
    </row>
    <row r="1251" spans="1:6" ht="13.5" customHeight="1">
      <c r="A1251" s="3466">
        <v>1249</v>
      </c>
      <c r="B1251" s="3467" t="s">
        <v>3389</v>
      </c>
      <c r="C1251" s="3466"/>
      <c r="D1251" s="3466">
        <v>-1</v>
      </c>
      <c r="E1251" s="3471" t="s">
        <v>4638</v>
      </c>
      <c r="F1251" s="3472">
        <v>58.64</v>
      </c>
    </row>
    <row r="1252" spans="1:6">
      <c r="A1252" s="3544" t="s">
        <v>4639</v>
      </c>
      <c r="B1252" s="3544"/>
      <c r="C1252" s="3544"/>
      <c r="D1252" s="3544"/>
      <c r="E1252" s="3544"/>
      <c r="F1252" s="3473">
        <f>SUM(F3:F1251)</f>
        <v>168606.38000000021</v>
      </c>
    </row>
    <row r="1254" spans="1:6" ht="40.9" customHeight="1"/>
  </sheetData>
  <mergeCells count="2">
    <mergeCell ref="A1:F1"/>
    <mergeCell ref="A1252:E1252"/>
  </mergeCells>
  <phoneticPr fontId="134" type="noConversion"/>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3"/>
  <sheetViews>
    <sheetView topLeftCell="A4" workbookViewId="0">
      <selection activeCell="F26" sqref="F26"/>
    </sheetView>
  </sheetViews>
  <sheetFormatPr defaultColWidth="9" defaultRowHeight="12.75"/>
  <cols>
    <col min="1" max="1" width="9" style="3477"/>
    <col min="2" max="2" width="15.25" style="3477" customWidth="1"/>
    <col min="3" max="3" width="35.125" style="3477" customWidth="1"/>
    <col min="4" max="4" width="19.375" style="3477" customWidth="1"/>
    <col min="5" max="5" width="9" style="3477"/>
    <col min="6" max="6" width="11.375" style="3477" customWidth="1"/>
    <col min="7" max="16384" width="9" style="3477"/>
  </cols>
  <sheetData>
    <row r="1" spans="2:6" ht="29.25" customHeight="1">
      <c r="B1" s="3545" t="s">
        <v>4827</v>
      </c>
      <c r="C1" s="3545"/>
      <c r="D1" s="3545"/>
    </row>
    <row r="2" spans="2:6" ht="34.5" customHeight="1">
      <c r="B2" s="3487" t="s">
        <v>4828</v>
      </c>
      <c r="C2" s="3487" t="s">
        <v>4829</v>
      </c>
      <c r="D2" s="3487" t="s">
        <v>4830</v>
      </c>
    </row>
    <row r="3" spans="2:6" ht="34.5" customHeight="1">
      <c r="B3" s="3487" t="s">
        <v>4831</v>
      </c>
      <c r="C3" s="3488">
        <v>23163.158356650001</v>
      </c>
      <c r="D3" s="3489"/>
    </row>
    <row r="4" spans="2:6" ht="34.5" customHeight="1">
      <c r="B4" s="3487" t="s">
        <v>4832</v>
      </c>
      <c r="C4" s="3490">
        <v>3884.6423627600002</v>
      </c>
      <c r="D4" s="3489"/>
    </row>
    <row r="5" spans="2:6" ht="34.5" customHeight="1">
      <c r="B5" s="3487" t="s">
        <v>4833</v>
      </c>
      <c r="C5" s="3490">
        <v>115.32315474000001</v>
      </c>
      <c r="D5" s="3489"/>
    </row>
    <row r="6" spans="2:6" ht="34.5" customHeight="1">
      <c r="B6" s="3487" t="s">
        <v>4834</v>
      </c>
      <c r="C6" s="3490">
        <v>2651.0461230000001</v>
      </c>
      <c r="D6" s="3491"/>
      <c r="E6" s="3492"/>
    </row>
    <row r="7" spans="2:6" ht="34.5" customHeight="1">
      <c r="B7" s="3487" t="s">
        <v>4835</v>
      </c>
      <c r="C7" s="3490">
        <v>245.56060299999999</v>
      </c>
      <c r="D7" s="3487"/>
      <c r="F7" s="3492"/>
    </row>
    <row r="8" spans="2:6" ht="34.5" customHeight="1">
      <c r="B8" s="3487" t="s">
        <v>4836</v>
      </c>
      <c r="C8" s="3493">
        <v>1303.80999967</v>
      </c>
      <c r="D8" s="3494"/>
    </row>
    <row r="9" spans="2:6" ht="34.5" customHeight="1">
      <c r="B9" s="3487" t="s">
        <v>4837</v>
      </c>
      <c r="C9" s="3490">
        <v>1164.9446038999999</v>
      </c>
      <c r="D9" s="3495"/>
    </row>
    <row r="10" spans="2:6" ht="34.5" customHeight="1">
      <c r="B10" s="3487" t="s">
        <v>4838</v>
      </c>
      <c r="C10" s="3496">
        <f>SUM(C3:C9)</f>
        <v>32528.485203720003</v>
      </c>
      <c r="D10" s="3487"/>
    </row>
    <row r="12" spans="2:6" ht="13.5">
      <c r="B12" s="3254"/>
      <c r="C12" s="3479"/>
      <c r="D12" s="3479" t="s">
        <v>4860</v>
      </c>
      <c r="E12" s="3254"/>
      <c r="F12" s="3497" t="s">
        <v>4859</v>
      </c>
    </row>
    <row r="13" spans="2:6" ht="13.5">
      <c r="B13" s="3254"/>
      <c r="C13" s="3480"/>
      <c r="D13" s="3480">
        <v>50030</v>
      </c>
      <c r="E13" s="3479"/>
    </row>
    <row r="14" spans="2:6" ht="13.5">
      <c r="B14" s="3479" t="s">
        <v>4839</v>
      </c>
      <c r="C14" s="3480">
        <f>项目基本情况!D3</f>
        <v>44963</v>
      </c>
      <c r="D14" s="3480"/>
      <c r="E14" s="3479"/>
    </row>
    <row r="15" spans="2:6" ht="13.5">
      <c r="B15" s="3479" t="s">
        <v>4840</v>
      </c>
      <c r="C15" s="3480">
        <v>44562</v>
      </c>
      <c r="D15" s="3480">
        <v>44926</v>
      </c>
      <c r="E15" s="3254"/>
    </row>
    <row r="16" spans="2:6" ht="13.5">
      <c r="B16" s="3479" t="s">
        <v>4841</v>
      </c>
      <c r="C16" s="3254">
        <f>'数据-汇总表'!E19</f>
        <v>111903.93000000001</v>
      </c>
      <c r="D16" s="3254"/>
      <c r="E16" s="3254"/>
      <c r="F16" s="3477">
        <f>'数据-汇总表'!E20</f>
        <v>56702.450000001169</v>
      </c>
    </row>
    <row r="17" spans="2:6" ht="13.5">
      <c r="B17" s="3479" t="s">
        <v>4842</v>
      </c>
      <c r="C17" s="3254">
        <f>D15-C15</f>
        <v>364</v>
      </c>
      <c r="D17" s="3254"/>
      <c r="E17" s="3254"/>
      <c r="F17" s="3477">
        <f>D15-C15</f>
        <v>364</v>
      </c>
    </row>
    <row r="18" spans="2:6" ht="13.5">
      <c r="B18" s="3479" t="s">
        <v>4843</v>
      </c>
      <c r="C18" s="3486">
        <f>C3</f>
        <v>23163.158356650001</v>
      </c>
      <c r="D18" s="3479"/>
      <c r="E18" s="3254"/>
      <c r="F18" s="3492">
        <f>C8</f>
        <v>1303.80999967</v>
      </c>
    </row>
    <row r="19" spans="2:6" ht="13.5">
      <c r="B19" s="3479" t="s">
        <v>4844</v>
      </c>
      <c r="C19" s="3254">
        <f>ROUND(C18*10000/C17/C16,2)</f>
        <v>5.69</v>
      </c>
      <c r="D19" s="3254"/>
      <c r="E19" s="3254"/>
      <c r="F19" s="3477">
        <f>ROUND(F18*10000/F17/F16,2)</f>
        <v>0.63</v>
      </c>
    </row>
    <row r="20" spans="2:6" ht="13.5">
      <c r="B20" s="3481" t="s">
        <v>4845</v>
      </c>
      <c r="C20" s="3482">
        <f>ROUND((D13-项目基本情况!B3)/365,2)</f>
        <v>13.88</v>
      </c>
      <c r="D20" s="3254"/>
      <c r="E20" s="3254"/>
      <c r="F20" s="3477">
        <f>ROUND((D13-项目基本情况!D3)/365,2)</f>
        <v>13.88</v>
      </c>
    </row>
    <row r="21" spans="2:6" ht="13.5">
      <c r="B21" s="3481" t="s">
        <v>4846</v>
      </c>
      <c r="C21" s="3483">
        <v>0.03</v>
      </c>
      <c r="D21" s="3254"/>
      <c r="E21" s="3254"/>
      <c r="F21" s="3498">
        <v>1.4999999999999999E-2</v>
      </c>
    </row>
    <row r="22" spans="2:6" ht="13.5">
      <c r="B22" s="3481" t="s">
        <v>4847</v>
      </c>
      <c r="C22" s="3484">
        <v>5.5</v>
      </c>
      <c r="D22" s="3254"/>
      <c r="E22" s="3254"/>
      <c r="F22" s="3477">
        <v>0.6</v>
      </c>
    </row>
    <row r="23" spans="2:6" ht="13.5">
      <c r="B23" s="3481" t="s">
        <v>4848</v>
      </c>
      <c r="C23" s="3484">
        <f>ROUND(C22*(1+C21)^C20,2)</f>
        <v>8.2899999999999991</v>
      </c>
      <c r="D23" s="3254"/>
      <c r="E23" s="3254"/>
      <c r="F23" s="3499">
        <f>ROUND(F22*(1+F21)^F20,2)</f>
        <v>0.74</v>
      </c>
    </row>
  </sheetData>
  <mergeCells count="1">
    <mergeCell ref="B1:D1"/>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31" sqref="I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4" t="str">
        <f>IF(B10="北京市","北京市",C10)&amp;F10&amp;IF(结果表!G1="在建","出让国有建设用地使用权及在建建筑物",IF(结果表!G1="土地","出让国有建设用地使用权",))&amp;B9&amp;"预评估"</f>
        <v>预评估</v>
      </c>
      <c r="C1" s="3555"/>
      <c r="D1" s="3555"/>
      <c r="E1" s="3555"/>
      <c r="F1" s="3555"/>
      <c r="G1" s="3555"/>
      <c r="H1" s="3555"/>
      <c r="I1" s="355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44963</v>
      </c>
      <c r="C3" s="2374" t="s">
        <v>2171</v>
      </c>
      <c r="D3" s="2373">
        <f>B3</f>
        <v>44963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57" t="s">
        <v>2177</v>
      </c>
      <c r="E8" s="2391"/>
      <c r="F8" s="2392"/>
      <c r="G8" s="2663"/>
      <c r="H8" s="2663"/>
      <c r="I8" s="2663"/>
      <c r="J8" s="2439"/>
      <c r="K8" s="2614"/>
      <c r="L8" s="2613"/>
      <c r="M8" s="2613"/>
      <c r="N8" s="2439"/>
      <c r="O8" s="2450"/>
      <c r="P8" s="2439"/>
      <c r="Q8" s="2439"/>
      <c r="R8" s="2439"/>
    </row>
    <row r="9" spans="1:30" ht="13.5" thickBot="1">
      <c r="A9" s="2393" t="s">
        <v>2178</v>
      </c>
      <c r="B9" s="2394"/>
      <c r="C9" s="2395"/>
      <c r="D9" s="3558"/>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56685</v>
      </c>
      <c r="E13" s="856">
        <v>60338</v>
      </c>
      <c r="F13" s="856">
        <v>60338</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32.11</v>
      </c>
      <c r="E15" s="2410">
        <f>IF(A13="出让",IF(E13="","",ROUNDDOWN(MIN((E13-$D$3)/365,E14),2)),E14)</f>
        <v>42.12</v>
      </c>
      <c r="F15" s="2410">
        <f>IF(A13="出让",IF(F13="","",ROUNDDOWN(MIN((F13-$D$3)/365,F14),2)),F14)</f>
        <v>42.12</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4"/>
      <c r="C16" s="3565"/>
      <c r="D16" s="3566"/>
      <c r="E16" s="2413" t="s">
        <v>2194</v>
      </c>
      <c r="F16" s="3567"/>
      <c r="G16" s="3568"/>
      <c r="H16" s="3568"/>
      <c r="I16" s="3569"/>
      <c r="J16" s="2439"/>
      <c r="K16" s="2617"/>
      <c r="L16" s="2451"/>
      <c r="M16" s="2451"/>
      <c r="N16" s="2509"/>
      <c r="O16" s="2451"/>
      <c r="P16" s="2509"/>
      <c r="Q16" s="2439"/>
      <c r="R16" s="2439"/>
    </row>
    <row r="17" spans="1:28">
      <c r="A17" s="313" t="s">
        <v>2195</v>
      </c>
      <c r="B17" s="302" t="s">
        <v>2196</v>
      </c>
      <c r="C17" s="8">
        <f>'数据-汇总表'!E3</f>
        <v>168606.38000000117</v>
      </c>
      <c r="D17" s="2322" t="s">
        <v>2197</v>
      </c>
      <c r="E17" s="3570" t="s">
        <v>2198</v>
      </c>
      <c r="F17" s="3571"/>
      <c r="G17" s="3571"/>
      <c r="H17" s="3571"/>
      <c r="I17" s="357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73" t="s">
        <v>2202</v>
      </c>
      <c r="F18" s="3574"/>
      <c r="G18" s="3574"/>
      <c r="H18" s="3574"/>
      <c r="I18" s="357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0" t="s">
        <v>2206</v>
      </c>
      <c r="C20" s="3561"/>
      <c r="D20" s="3562" t="s">
        <v>2207</v>
      </c>
      <c r="E20" s="3563"/>
      <c r="F20" s="2647" t="s">
        <v>1056</v>
      </c>
      <c r="G20" s="2664"/>
      <c r="H20" s="2664"/>
      <c r="I20" s="2664"/>
      <c r="J20" s="2439"/>
      <c r="K20" s="355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2218</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6" t="s">
        <v>2228</v>
      </c>
      <c r="T34" s="2428" t="str">
        <f>NUMBERSTRING(7-K34,1)&amp;"通"</f>
        <v>七通</v>
      </c>
      <c r="U34" s="2439"/>
      <c r="V34" s="2439"/>
    </row>
    <row r="35" spans="1:30">
      <c r="A35" s="2429"/>
      <c r="B35" s="3553" t="s">
        <v>2229</v>
      </c>
      <c r="C35" s="3553"/>
      <c r="D35" s="3553"/>
      <c r="E35" s="355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573" customWidth="1"/>
    <col min="2" max="2" width="9.25" style="1573" customWidth="1"/>
    <col min="3" max="3" width="12.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168606.38000000117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168606.38000000117</v>
      </c>
      <c r="H5" s="13">
        <f t="shared" ref="H5:AT5" si="0">SUM(H13:H656)</f>
        <v>168606.38000000117</v>
      </c>
      <c r="I5" s="13">
        <f t="shared" si="0"/>
        <v>91353.25</v>
      </c>
      <c r="J5" s="13">
        <f t="shared" si="0"/>
        <v>0</v>
      </c>
      <c r="K5" s="13">
        <f t="shared" si="0"/>
        <v>77253.130000001169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168606.38000000117</v>
      </c>
      <c r="BA5" s="15">
        <f t="shared" si="1"/>
        <v>168606.38000000117</v>
      </c>
      <c r="BB5" s="15">
        <f t="shared" si="1"/>
        <v>91353.25</v>
      </c>
      <c r="BC5" s="15">
        <f t="shared" si="1"/>
        <v>77253.130000001169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4641</v>
      </c>
      <c r="J9" s="809"/>
      <c r="K9" s="1603" t="s">
        <v>4642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3474" t="s">
        <v>4643</v>
      </c>
      <c r="D13" s="1625" t="s">
        <v>4640</v>
      </c>
      <c r="E13" s="13">
        <f>IF($C$3="是",ROUND($A$3*G13/$B$3,2),ROUND($A$3*(G13-AT13)/$B$3,2))</f>
        <v>0</v>
      </c>
      <c r="F13" s="29"/>
      <c r="G13" s="30">
        <f>H13+AC13+AT13</f>
        <v>111903.93000000001</v>
      </c>
      <c r="H13" s="17">
        <f>SUMIF(I$12:AB$12,"总值",I13:AB13)</f>
        <v>111903.93000000001</v>
      </c>
      <c r="I13" s="1626">
        <f>Sheet1!F3</f>
        <v>91353.25</v>
      </c>
      <c r="J13" s="1626"/>
      <c r="K13" s="1626">
        <f>SUM(Sheet1!F1236:F1251)</f>
        <v>20550.680000000008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地上1-7层商业</v>
      </c>
      <c r="AY13" s="1349">
        <f>ROUND($AY$6*AZ13/$AZ$5,2)</f>
        <v>0</v>
      </c>
      <c r="AZ13" s="13">
        <f>BA13+BL13</f>
        <v>111903.93000000001</v>
      </c>
      <c r="BA13" s="13">
        <f>SUM(BB13:BK13)</f>
        <v>111903.93000000001</v>
      </c>
      <c r="BB13" s="13">
        <f>IF($D13="是",I13-J13,0)</f>
        <v>91353.25</v>
      </c>
      <c r="BC13" s="13">
        <f>IF($D13="是",K13-L13,0)</f>
        <v>20550.680000000008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3475" t="s">
        <v>4645</v>
      </c>
      <c r="D14" s="1625" t="s">
        <v>4640</v>
      </c>
      <c r="E14" s="13">
        <f>IF($C$3="是",ROUND($A$3*G14/$B$3,2),ROUND($A$3*(G14-AT14)/$B$3,2))</f>
        <v>0</v>
      </c>
      <c r="F14" s="29"/>
      <c r="G14" s="30">
        <f>H14+AC14+AT14</f>
        <v>56702.450000001169</v>
      </c>
      <c r="H14" s="17">
        <f>SUMIF(I$12:AB$12,"总值",I14:AB14)</f>
        <v>56702.450000001169</v>
      </c>
      <c r="I14" s="1626"/>
      <c r="J14" s="1626"/>
      <c r="K14" s="1626">
        <f>SUM(Sheet1!F4:F1235)</f>
        <v>56702.450000001169</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地下2-4层车库</v>
      </c>
      <c r="AY14" s="1349">
        <f>ROUND($AY$6*AZ14/$AZ$5,2)</f>
        <v>0</v>
      </c>
      <c r="AZ14" s="13">
        <f>BA14+BL14</f>
        <v>56702.450000001169</v>
      </c>
      <c r="BA14" s="13">
        <f>SUM(BB14:BK14)</f>
        <v>56702.450000001169</v>
      </c>
      <c r="BB14" s="13">
        <f>IF($D14="是",I14-J14,0)</f>
        <v>0</v>
      </c>
      <c r="BC14" s="13">
        <f>IF($D14="是",K14-L14,0)</f>
        <v>56702.450000001169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75"/>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75"/>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85" t="s">
        <v>1131</v>
      </c>
      <c r="B2" s="3585"/>
      <c r="C2" s="3585"/>
      <c r="D2" s="796" t="s">
        <v>1107</v>
      </c>
      <c r="E2" s="1639" t="s">
        <v>1108</v>
      </c>
      <c r="F2" s="2659"/>
      <c r="G2" s="2650"/>
      <c r="H2" s="2651"/>
      <c r="I2" s="2325" t="s">
        <v>1132</v>
      </c>
      <c r="J2" s="2659"/>
      <c r="K2" s="2659"/>
      <c r="L2" s="2659"/>
      <c r="M2" s="2659"/>
      <c r="N2" s="2661"/>
      <c r="O2" s="2659"/>
      <c r="P2" s="2659"/>
    </row>
    <row r="3" spans="1:16" ht="15.75" thickBot="1">
      <c r="A3" s="3586" t="s">
        <v>1105</v>
      </c>
      <c r="B3" s="3586"/>
      <c r="C3" s="3586"/>
      <c r="D3" s="43">
        <f>'数据-基础表'!AY6</f>
        <v>0</v>
      </c>
      <c r="E3" s="43">
        <f>'数据-基础表'!AZ5</f>
        <v>168606.38000000117</v>
      </c>
      <c r="F3" s="2659"/>
      <c r="G3" s="1145"/>
      <c r="H3" s="1026" t="s">
        <v>1106</v>
      </c>
      <c r="I3" s="855" t="e">
        <f>ROUND('数据-基础表'!B3/'数据-基础表'!A3,2)</f>
        <v>#DIV/0!</v>
      </c>
      <c r="J3" s="2659"/>
      <c r="K3" s="2659"/>
      <c r="L3" s="2659"/>
      <c r="M3" s="2659"/>
      <c r="N3" s="2661"/>
      <c r="O3" s="2659"/>
      <c r="P3" s="2659"/>
    </row>
    <row r="4" spans="1:16" ht="15">
      <c r="A4" s="3587"/>
      <c r="B4" s="3588"/>
      <c r="C4" s="358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90" t="s">
        <v>1110</v>
      </c>
      <c r="C5" s="359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90" t="s">
        <v>1111</v>
      </c>
      <c r="C6" s="3590"/>
      <c r="D6" s="45">
        <f>ROUND($D$3*E6/$E$3,2)</f>
        <v>0</v>
      </c>
      <c r="E6" s="46">
        <f>E3-E5</f>
        <v>168606.38000000117</v>
      </c>
      <c r="F6" s="2659"/>
      <c r="G6" s="2653" t="s">
        <v>1112</v>
      </c>
      <c r="H6" s="1146" t="s">
        <v>1113</v>
      </c>
      <c r="I6" s="2654" t="e">
        <f>ROUND(F31/D31,2)</f>
        <v>#DIV/0!</v>
      </c>
      <c r="J6" s="2659"/>
      <c r="K6" s="2659"/>
      <c r="L6" s="2659"/>
      <c r="M6" s="2659"/>
      <c r="N6" s="2659"/>
      <c r="O6" s="2659"/>
      <c r="P6" s="2659"/>
    </row>
    <row r="7" spans="1:16" ht="15.75" thickBot="1">
      <c r="A7" s="3582"/>
      <c r="B7" s="3583"/>
      <c r="C7" s="3584"/>
      <c r="D7" s="1641" t="s">
        <v>1107</v>
      </c>
      <c r="E7" s="1645" t="s">
        <v>1114</v>
      </c>
      <c r="F7" s="2659"/>
      <c r="G7" s="2655" t="s">
        <v>1115</v>
      </c>
      <c r="H7" s="2656"/>
      <c r="I7" s="2657">
        <v>4</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91353.25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91353.25</v>
      </c>
      <c r="F16" s="2659"/>
      <c r="G16" s="2660"/>
      <c r="H16" s="1648" t="s">
        <v>1135</v>
      </c>
      <c r="I16" s="1649"/>
      <c r="J16" s="1139"/>
      <c r="K16" s="3579" t="s">
        <v>1135</v>
      </c>
      <c r="L16" s="3580"/>
      <c r="M16" s="3580"/>
      <c r="N16" s="3580"/>
      <c r="O16" s="3580"/>
      <c r="P16" s="3581"/>
    </row>
    <row r="17" spans="1:19" ht="15">
      <c r="A17" s="1650" t="s">
        <v>1136</v>
      </c>
      <c r="B17" s="1651" t="s">
        <v>1137</v>
      </c>
      <c r="C17" s="1652" t="s">
        <v>1138</v>
      </c>
      <c r="D17" s="1653" t="s">
        <v>1126</v>
      </c>
      <c r="E17" s="1654" t="s">
        <v>1127</v>
      </c>
      <c r="F17" s="1655"/>
      <c r="G17" s="1656"/>
      <c r="H17" s="1657" t="s">
        <v>1139</v>
      </c>
      <c r="I17" s="1658" t="s">
        <v>1124</v>
      </c>
      <c r="J17" s="1139"/>
      <c r="K17" s="3576" t="s">
        <v>1140</v>
      </c>
      <c r="L17" s="3577"/>
      <c r="M17" s="3578"/>
      <c r="N17" s="3576" t="s">
        <v>1141</v>
      </c>
      <c r="O17" s="3577"/>
      <c r="P17" s="357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4826</v>
      </c>
      <c r="D19" s="45">
        <f>ROUND($D$3*E19/$E$3,2)</f>
        <v>0</v>
      </c>
      <c r="E19" s="53">
        <f t="shared" ref="E19:E26" si="1">SUM(F19:G19)</f>
        <v>111903.93000000001</v>
      </c>
      <c r="F19" s="2795">
        <f>'数据-基础表'!I13</f>
        <v>91353.25</v>
      </c>
      <c r="G19" s="2796">
        <f>'数据-基础表'!K13</f>
        <v>20550.680000000008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111903.93000000001</v>
      </c>
    </row>
    <row r="20" spans="1:19">
      <c r="A20" s="1670"/>
      <c r="B20" s="47" t="s">
        <v>1153</v>
      </c>
      <c r="C20" s="3417" t="str">
        <f>'数据-基础表'!C14</f>
        <v>地下2-4层车库</v>
      </c>
      <c r="D20" s="45">
        <f t="shared" ref="D20:D26" si="6">ROUND($D$3*E20/$E$3,2)</f>
        <v>0</v>
      </c>
      <c r="E20" s="53">
        <f t="shared" si="1"/>
        <v>56702.450000001169</v>
      </c>
      <c r="F20" s="2795"/>
      <c r="G20" s="2796">
        <f>'数据-基础表'!K14</f>
        <v>56702.450000001169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56702.450000001169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168606.38000000117</v>
      </c>
      <c r="F27" s="1140">
        <f>IF(SUM(F19:F26)=E8,SUM(F19:F26),"地上面积有误")</f>
        <v>91353.25</v>
      </c>
      <c r="G27" s="1142">
        <f>SUM(G19:G26)</f>
        <v>77253.130000001169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168606.38000000117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168606.38000000117</v>
      </c>
      <c r="F31" s="677">
        <f>F27+F30</f>
        <v>91353.25</v>
      </c>
      <c r="G31" s="678">
        <f>G27+G30</f>
        <v>77253.130000001169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375" style="1682" customWidth="1"/>
    <col min="22" max="22" width="6.375" style="1682" customWidth="1"/>
    <col min="23" max="26" width="6.75" style="1682" customWidth="1"/>
    <col min="27" max="27" width="9" style="1682" bestFit="1" customWidth="1"/>
    <col min="28" max="29" width="6.75" style="1682" customWidth="1"/>
    <col min="30" max="30" width="9.5" style="1682" bestFit="1"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4646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56685</v>
      </c>
      <c r="F6" s="64">
        <f>SUMIF(项目基本情况!C$12:I$12,C6,项目基本情况!C$15:I$15)</f>
        <v>32.11</v>
      </c>
      <c r="G6" s="65">
        <f>IF(ISERROR(ROUND(POWER(1+H6,D6-F6)*(POWER(1+H6,F6)-1)/(POWER(1+H6,D6)-1),3)),0,ROUND(POWER(1+H6,D6-F6)*(POWER(1+H6,F6)-1)/(POWER(1+H6,D6)-1),3))</f>
        <v>0.92200000000000004</v>
      </c>
      <c r="H6" s="732">
        <v>0.05</v>
      </c>
      <c r="I6" s="732">
        <v>5.5E-2</v>
      </c>
      <c r="J6" s="66">
        <v>8.5000000000000006E-2</v>
      </c>
      <c r="K6" s="1030">
        <f>SUMIF('数据-汇总表'!C$19:C$33,A6,'数据-汇总表'!E$19:E$33)</f>
        <v>111903.93000000001</v>
      </c>
      <c r="L6" s="733">
        <v>5000</v>
      </c>
      <c r="M6" s="67">
        <f t="shared" ref="M6:M14" si="0">ROUND(K6*L6/10000,0)</f>
        <v>55952</v>
      </c>
      <c r="N6" s="731">
        <f>ROUND(1-(2023-2016)/60,2)</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全年预估!C19</f>
        <v>5.69</v>
      </c>
      <c r="V6" s="70">
        <v>0</v>
      </c>
      <c r="W6" s="70">
        <v>0</v>
      </c>
      <c r="X6" s="1040"/>
      <c r="Y6" s="71">
        <f>N6</f>
        <v>0.88</v>
      </c>
      <c r="Z6" s="72">
        <f>全年预估!C23</f>
        <v>8.2899999999999991</v>
      </c>
      <c r="AA6" s="66">
        <f>全年预估!C21</f>
        <v>0.03</v>
      </c>
      <c r="AB6" s="66">
        <v>0.15</v>
      </c>
      <c r="AC6" s="1040"/>
      <c r="AD6" s="73">
        <f>ROUND(1-(2036-收益法!J49)/60,2)</f>
        <v>0.67</v>
      </c>
      <c r="AE6" s="1041">
        <f ca="1">IF(AN6="",0,SUMIF(INDIRECT("'"&amp;AN6&amp;"'"&amp;"!E:E"),$AE$5,INDIRECT("'"&amp;AN6&amp;"'"&amp;"!F:F")))</f>
        <v>32.11</v>
      </c>
      <c r="AF6" s="1348">
        <f>全年预估!C20</f>
        <v>13.88</v>
      </c>
      <c r="AG6" s="138">
        <f ca="1">IF(AF6="",0,AE6-AF6)</f>
        <v>18.229999999999997</v>
      </c>
      <c r="AH6" s="74"/>
      <c r="AI6" s="76">
        <v>365</v>
      </c>
      <c r="AJ6" s="77"/>
      <c r="AK6" s="78">
        <v>1.4999999999999999E-2</v>
      </c>
      <c r="AL6" s="79">
        <v>1.5E-3</v>
      </c>
      <c r="AM6" s="80">
        <v>0.02</v>
      </c>
      <c r="AN6" s="1715" t="s">
        <v>4849</v>
      </c>
      <c r="AO6" s="52">
        <f ca="1">SUMIF(INDIRECT("'"&amp;AN6&amp;"'"&amp;"!A:A"),"总价",INDIRECT("'"&amp;AN6&amp;"'"&amp;"!B:B"))</f>
        <v>392902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地下2-4层车库</v>
      </c>
      <c r="B7" s="1713" t="str">
        <f t="shared" ref="B7:B13" si="1">IF(A7=0,"","经营性")</f>
        <v>经营性</v>
      </c>
      <c r="C7" s="1714" t="s">
        <v>3340</v>
      </c>
      <c r="D7" s="858">
        <f>SUMIF(项目基本情况!C$12:I$12,C7,项目基本情况!C$14:I$14)</f>
        <v>50</v>
      </c>
      <c r="E7" s="857">
        <f>IF(B7="","",SUMIF(项目基本情况!C$12:I$12,C7,项目基本情况!C$13:I$13))</f>
        <v>60338</v>
      </c>
      <c r="F7" s="64">
        <f>SUMIF(项目基本情况!C$12:I$12,C7,项目基本情况!C$15:I$15)</f>
        <v>42.12</v>
      </c>
      <c r="G7" s="65">
        <f t="shared" ref="G7:G11" si="2">IF(ISERROR(ROUND(POWER(1+H7,D7-F7)*(POWER(1+H7,F7)-1)/(POWER(1+H7,D7)-1),3)),0,ROUND(POWER(1+H7,D7-F7)*(POWER(1+H7,F7)-1)/(POWER(1+H7,D7)-1),3))</f>
        <v>0.95499999999999996</v>
      </c>
      <c r="H7" s="732">
        <v>0.05</v>
      </c>
      <c r="I7" s="732">
        <v>5.5E-2</v>
      </c>
      <c r="J7" s="66">
        <v>8.5000000000000006E-2</v>
      </c>
      <c r="K7" s="1030">
        <f>SUMIF('数据-汇总表'!C$19:C$33,A7,'数据-汇总表'!E$19:E$33)</f>
        <v>56702.450000001169</v>
      </c>
      <c r="L7" s="733">
        <v>4000</v>
      </c>
      <c r="M7" s="67">
        <f t="shared" si="0"/>
        <v>22681</v>
      </c>
      <c r="N7" s="731">
        <f>ROUND(1-(2023-2016)/60,2)</f>
        <v>0.88</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f>全年预估!F19</f>
        <v>0.63</v>
      </c>
      <c r="V7" s="70">
        <v>0</v>
      </c>
      <c r="W7" s="70">
        <v>0</v>
      </c>
      <c r="X7" s="1040"/>
      <c r="Y7" s="71">
        <f>Y6</f>
        <v>0.88</v>
      </c>
      <c r="Z7" s="72">
        <f>全年预估!F23</f>
        <v>0.74</v>
      </c>
      <c r="AA7" s="85">
        <f>全年预估!F21</f>
        <v>1.4999999999999999E-2</v>
      </c>
      <c r="AB7" s="66">
        <f>AB6</f>
        <v>0.15</v>
      </c>
      <c r="AC7" s="1040"/>
      <c r="AD7" s="73">
        <f>ROUND(1-(2036-地下车库收益法!J49)/60,2)</f>
        <v>0.67</v>
      </c>
      <c r="AE7" s="1041">
        <f t="shared" ref="AE7:AE13" ca="1" si="6">IF(AN7="",0,SUMIF(INDIRECT("'"&amp;AN7&amp;"'"&amp;"!E:E"),$AE$5,INDIRECT("'"&amp;AN7&amp;"'"&amp;"!F:F")))</f>
        <v>42.12</v>
      </c>
      <c r="AF7" s="1348">
        <f>AF6</f>
        <v>13.88</v>
      </c>
      <c r="AG7" s="138">
        <f t="shared" ref="AG7:AG13" ca="1" si="7">IF(AF7="",0,AE7-AF7)</f>
        <v>28.239999999999995</v>
      </c>
      <c r="AH7" s="74"/>
      <c r="AI7" s="76">
        <v>365</v>
      </c>
      <c r="AJ7" s="77"/>
      <c r="AK7" s="78">
        <v>1.4999999999999999E-2</v>
      </c>
      <c r="AL7" s="79">
        <v>1.5E-3</v>
      </c>
      <c r="AM7" s="80">
        <v>0.01</v>
      </c>
      <c r="AN7" s="1715" t="s">
        <v>4853</v>
      </c>
      <c r="AO7" s="52">
        <f t="shared" ref="AO7:AO13" ca="1" si="8">SUMIF(INDIRECT("'"&amp;AN7&amp;"'"&amp;"!A:A"),"总价",INDIRECT("'"&amp;AN7&amp;"'"&amp;"!B:B"))</f>
        <v>22226</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0.93300000000000005</v>
      </c>
      <c r="H16" s="90">
        <f>ROUND(SUMPRODUCT(H6:H13,K6:K13)/SUMPRODUCT((H6:H13&gt;0)*(K6:K13)),3)</f>
        <v>0.05</v>
      </c>
      <c r="I16" s="91"/>
      <c r="J16" s="91"/>
      <c r="K16" s="92">
        <f>SUM(K6:K15)</f>
        <v>168606.38000000117</v>
      </c>
      <c r="L16" s="93">
        <f>ROUND(M16*10000/SUM(K6:K14),0)</f>
        <v>4664</v>
      </c>
      <c r="M16" s="93">
        <f>SUM(M6:M14)</f>
        <v>78633</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3372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4647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91" t="s">
        <v>2286</v>
      </c>
      <c r="B1" s="3592"/>
      <c r="C1" s="3592"/>
      <c r="D1" s="3592"/>
      <c r="E1" s="3592"/>
      <c r="F1" s="3592"/>
      <c r="G1" s="359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44963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21693</v>
      </c>
      <c r="D5" s="2512" t="e">
        <f>ROUND(B5*10000/$B$2,0)</f>
        <v>#DIV/0!</v>
      </c>
      <c r="E5" s="2686"/>
      <c r="F5" s="2687"/>
      <c r="G5" s="2687"/>
      <c r="H5" s="2688"/>
      <c r="I5" s="2688"/>
      <c r="J5" s="2688"/>
      <c r="K5" s="2688"/>
    </row>
    <row r="6" spans="1:11" ht="16.5">
      <c r="A6" s="2512" t="s">
        <v>656</v>
      </c>
      <c r="B6" s="2512">
        <f>SUM(G14:G23)</f>
        <v>0</v>
      </c>
      <c r="C6" s="2512">
        <f ca="1">IF(B6=G14,结果表!H108,ROUND(B6*10000/$B$1,0))</f>
        <v>21693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预评估</v>
      </c>
      <c r="C37" s="3501"/>
      <c r="D37" s="3501"/>
      <c r="E37" s="3501"/>
      <c r="F37" s="3501"/>
      <c r="G37" s="3501"/>
      <c r="H37" s="3501"/>
      <c r="I37" s="35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zoomScaleNormal="100" zoomScaleSheetLayoutView="100" zoomScalePageLayoutView="80" workbookViewId="0">
      <selection activeCell="F28" sqref="F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7" t="str">
        <f>项目基本情况!S2</f>
        <v>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4855</v>
      </c>
      <c r="D4" s="1756" t="s">
        <v>4856</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594">
        <v>25</v>
      </c>
      <c r="C5" s="3610"/>
      <c r="D5" s="3630"/>
      <c r="E5" s="131" t="s">
        <v>1269</v>
      </c>
      <c r="F5" s="1757"/>
      <c r="G5" s="1757"/>
      <c r="H5" s="1757"/>
      <c r="I5" s="1373"/>
    </row>
    <row r="6" spans="1:12" ht="12.75">
      <c r="A6" s="3607"/>
      <c r="B6" s="3594"/>
      <c r="C6" s="3611"/>
      <c r="D6" s="3630"/>
      <c r="E6" s="131" t="s">
        <v>1270</v>
      </c>
      <c r="F6" s="1757"/>
      <c r="G6" s="1757"/>
      <c r="H6" s="1757"/>
      <c r="I6" s="1373"/>
    </row>
    <row r="7" spans="1:12" ht="12.75">
      <c r="A7" s="3607"/>
      <c r="B7" s="3594"/>
      <c r="C7" s="3612"/>
      <c r="D7" s="3630"/>
      <c r="E7" s="131" t="s">
        <v>1271</v>
      </c>
      <c r="F7" s="1757"/>
      <c r="G7" s="1757"/>
      <c r="H7" s="1757"/>
      <c r="I7" s="1373"/>
    </row>
    <row r="8" spans="1:12" ht="12.75">
      <c r="A8" s="3607" t="s">
        <v>1272</v>
      </c>
      <c r="B8" s="3594">
        <v>15</v>
      </c>
      <c r="C8" s="3610"/>
      <c r="D8" s="3630"/>
      <c r="E8" s="131" t="s">
        <v>1273</v>
      </c>
      <c r="F8" s="1757"/>
      <c r="G8" s="1757"/>
      <c r="H8" s="1757"/>
      <c r="I8" s="1373"/>
    </row>
    <row r="9" spans="1:12" ht="12.75">
      <c r="A9" s="3607"/>
      <c r="B9" s="3594"/>
      <c r="C9" s="3612"/>
      <c r="D9" s="3630"/>
      <c r="E9" s="131" t="s">
        <v>1274</v>
      </c>
      <c r="F9" s="1757"/>
      <c r="G9" s="1757"/>
      <c r="H9" s="1757"/>
      <c r="I9" s="1373"/>
    </row>
    <row r="10" spans="1:12" ht="12.75">
      <c r="A10" s="3607" t="s">
        <v>1275</v>
      </c>
      <c r="B10" s="3594">
        <v>15</v>
      </c>
      <c r="C10" s="3610"/>
      <c r="D10" s="3630"/>
      <c r="E10" s="131" t="s">
        <v>1276</v>
      </c>
      <c r="F10" s="1757"/>
      <c r="G10" s="1757"/>
      <c r="H10" s="1757"/>
      <c r="I10" s="1373"/>
    </row>
    <row r="11" spans="1:12" ht="12.75">
      <c r="A11" s="3607"/>
      <c r="B11" s="3594"/>
      <c r="C11" s="3612"/>
      <c r="D11" s="3630"/>
      <c r="E11" s="131" t="s">
        <v>1277</v>
      </c>
      <c r="F11" s="1757"/>
      <c r="G11" s="1757"/>
      <c r="H11" s="1757"/>
      <c r="I11" s="1373"/>
    </row>
    <row r="12" spans="1:12" ht="12.75">
      <c r="A12" s="3607" t="s">
        <v>1278</v>
      </c>
      <c r="B12" s="3594">
        <v>15</v>
      </c>
      <c r="C12" s="3610"/>
      <c r="D12" s="3630"/>
      <c r="E12" s="131" t="s">
        <v>1279</v>
      </c>
      <c r="F12" s="1757"/>
      <c r="G12" s="1757"/>
      <c r="H12" s="1757"/>
      <c r="I12" s="1373"/>
    </row>
    <row r="13" spans="1:12" ht="12.75">
      <c r="A13" s="3607"/>
      <c r="B13" s="3594"/>
      <c r="C13" s="3612"/>
      <c r="D13" s="3630"/>
      <c r="E13" s="131" t="s">
        <v>1280</v>
      </c>
      <c r="F13" s="1757"/>
      <c r="G13" s="1757"/>
      <c r="H13" s="1757"/>
      <c r="I13" s="1373"/>
    </row>
    <row r="14" spans="1:12" ht="12.75">
      <c r="A14" s="3607" t="s">
        <v>1281</v>
      </c>
      <c r="B14" s="3594">
        <v>30</v>
      </c>
      <c r="C14" s="3610">
        <v>5</v>
      </c>
      <c r="D14" s="3630">
        <v>5</v>
      </c>
      <c r="E14" s="131" t="s">
        <v>1282</v>
      </c>
      <c r="F14" s="1757"/>
      <c r="G14" s="1757"/>
      <c r="H14" s="1757"/>
      <c r="I14" s="1373"/>
    </row>
    <row r="15" spans="1:12" ht="12.75">
      <c r="A15" s="3607"/>
      <c r="B15" s="3594"/>
      <c r="C15" s="3611"/>
      <c r="D15" s="3630"/>
      <c r="E15" s="131" t="s">
        <v>1283</v>
      </c>
      <c r="F15" s="1757"/>
      <c r="G15" s="1757"/>
      <c r="H15" s="1757"/>
      <c r="I15" s="1373"/>
    </row>
    <row r="16" spans="1:12" ht="12.75">
      <c r="A16" s="3607"/>
      <c r="B16" s="3594"/>
      <c r="C16" s="3612"/>
      <c r="D16" s="363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17" t="s">
        <v>2131</v>
      </c>
      <c r="F18" s="3618"/>
      <c r="G18" s="3618"/>
      <c r="H18" s="3618"/>
      <c r="I18" s="3618"/>
      <c r="K18" s="302" t="s">
        <v>1289</v>
      </c>
      <c r="L18" s="302">
        <f>IF(C1="",'数据-汇总表'!E3,SUMIF(项目类型,C1,'数据-汇总表'!E17:E26)+SUMIF(项目类型,C1,'数据-汇总表'!I17:I26))</f>
        <v>168606.38000000117</v>
      </c>
      <c r="M18" s="302">
        <f>IF(C1="",'数据-汇总表'!E3,SUMIF(项目类型,C1,'数据-汇总表'!E17:E26))</f>
        <v>168606.38000000117</v>
      </c>
    </row>
    <row r="19" spans="1:36" ht="15">
      <c r="A19" s="1761" t="s">
        <v>1290</v>
      </c>
      <c r="B19" s="1762" t="s">
        <v>1291</v>
      </c>
      <c r="C19" s="134">
        <f ca="1">SUMIF(INDIRECT("'"&amp;C4&amp;"'"&amp;"!A:A"),结果表!B19,INDIRECT("'"&amp;C4&amp;"'"&amp;"!B:B"))</f>
        <v>316401</v>
      </c>
      <c r="D19" s="135">
        <f ca="1">SUMIF(INDIRECT("'"&amp;D4&amp;"'"&amp;"!A:A"),结果表!B19,INDIRECT("'"&amp;D4&amp;"'"&amp;"!B:B"))</f>
        <v>415128</v>
      </c>
      <c r="E19" s="1761" t="s">
        <v>1292</v>
      </c>
      <c r="F19" s="1762" t="s">
        <v>1291</v>
      </c>
      <c r="G19" s="136">
        <f ca="1">ROUND(C19*$C$18+D19*$D$18,0)</f>
        <v>365765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18766</v>
      </c>
      <c r="D20" s="138">
        <f ca="1">SUMIF(INDIRECT("'"&amp;D4&amp;"'"&amp;"!A:A"),结果表!B20,INDIRECT("'"&amp;D4&amp;"'"&amp;"!B:B"))</f>
        <v>24621</v>
      </c>
      <c r="E20" s="1764"/>
      <c r="F20" s="1026" t="s">
        <v>1295</v>
      </c>
      <c r="G20" s="139">
        <f ca="1">ROUND(C20*$C$18+D20*$D$18,0)</f>
        <v>21694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0.31203125148150601</v>
      </c>
      <c r="E22" s="129"/>
      <c r="F22" s="129"/>
      <c r="G22" s="129"/>
      <c r="H22" s="129"/>
      <c r="I22" s="129"/>
    </row>
    <row r="23" spans="1:36" ht="13.5" thickBot="1">
      <c r="A23" s="1747"/>
      <c r="B23" s="1747"/>
      <c r="C23" s="1747"/>
      <c r="D23" s="1747"/>
      <c r="E23" s="129"/>
      <c r="F23" s="129"/>
      <c r="G23" s="129"/>
      <c r="H23" s="129"/>
      <c r="I23" s="129"/>
    </row>
    <row r="24" spans="1:36" ht="14.25">
      <c r="A24" s="3601" t="s">
        <v>1299</v>
      </c>
      <c r="B24" s="1762" t="s">
        <v>1291</v>
      </c>
      <c r="C24" s="136">
        <f>IF(B30=0,0,D30)</f>
        <v>0</v>
      </c>
      <c r="D24" s="1769"/>
      <c r="E24" s="129"/>
      <c r="F24" s="129"/>
      <c r="G24" s="129"/>
      <c r="H24" s="129"/>
      <c r="I24" s="129"/>
    </row>
    <row r="25" spans="1:36" ht="14.25">
      <c r="A25" s="360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365765</v>
      </c>
      <c r="D32" s="1775" t="s">
        <v>4857</v>
      </c>
      <c r="E32" s="129"/>
      <c r="F32" s="129"/>
      <c r="G32" s="129"/>
      <c r="H32" s="129"/>
      <c r="I32" s="129"/>
    </row>
    <row r="33" spans="1:15" ht="15">
      <c r="A33" s="786" t="s">
        <v>1306</v>
      </c>
      <c r="B33" s="1776"/>
      <c r="C33" s="1777" t="s">
        <v>4858</v>
      </c>
      <c r="D33" s="1778" t="s">
        <v>4855</v>
      </c>
      <c r="E33" s="1779" t="s">
        <v>1307</v>
      </c>
      <c r="F33" s="1780" t="str">
        <f>IF(D32="楼面单价","取值（单价）","取值（总价）")</f>
        <v>取值（总价）</v>
      </c>
      <c r="G33" s="129"/>
      <c r="H33" s="129"/>
      <c r="I33" s="129"/>
    </row>
    <row r="34" spans="1:15" ht="15">
      <c r="A34" s="1781"/>
      <c r="B34" s="1782" t="s">
        <v>1308</v>
      </c>
      <c r="C34" s="148">
        <f ca="1">IF(C33="自定义",F34,C32-C35)</f>
        <v>250549</v>
      </c>
      <c r="D34" s="861">
        <f ca="1">IF(C33="自定义",ROUND(C34/C32,3),IF(C33="收益比率",SUMIF(INDIRECT("'"&amp;D33&amp;"'"&amp;"!b:b"),"土地收益比率",INDIRECT("'"&amp;D33&amp;"'"&amp;"!c:c")),SUMIF(INDIRECT("'"&amp;D33&amp;"'"&amp;"!b:b"),"土地成本比率",INDIRECT("'"&amp;D33&amp;"'"&amp;"!c:c"))))</f>
        <v>0.68500000000000005</v>
      </c>
      <c r="E34" s="1783" t="s">
        <v>1309</v>
      </c>
      <c r="F34" s="1330"/>
      <c r="G34" s="129"/>
      <c r="H34" s="129"/>
      <c r="I34" s="129"/>
    </row>
    <row r="35" spans="1:15" ht="15.75" thickBot="1">
      <c r="A35" s="1784"/>
      <c r="B35" s="1785" t="s">
        <v>1310</v>
      </c>
      <c r="C35" s="1170">
        <f ca="1">IF(C33="自定义",F35,ROUND(C32*D35,0))</f>
        <v>115216</v>
      </c>
      <c r="D35" s="1171">
        <f ca="1">IF(C33="自定义",ROUND(C35/C32,3),IF(C33="收益比率",SUMIF(INDIRECT("'"&amp;D33&amp;"'"&amp;"!b:b"),"建筑物收益比率",INDIRECT("'"&amp;D33&amp;"'"&amp;"!c:c")),SUMIF(INDIRECT("'"&amp;D33&amp;"'"&amp;"!b:b"),"建筑物成本比率",INDIRECT("'"&amp;D33&amp;"'"&amp;"!c:c"))))</f>
        <v>0.315</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8" t="s">
        <v>1326</v>
      </c>
      <c r="B45" s="3599"/>
      <c r="C45" s="3600"/>
      <c r="D45" s="155">
        <f ca="1">ROUND(H101*F45,0)</f>
        <v>365765</v>
      </c>
      <c r="E45" s="156" t="s">
        <v>1327</v>
      </c>
      <c r="F45" s="157">
        <v>1</v>
      </c>
      <c r="G45" s="158" t="s">
        <v>1328</v>
      </c>
      <c r="H45" s="129"/>
      <c r="I45" s="129"/>
      <c r="J45" s="3676" t="s">
        <v>1329</v>
      </c>
      <c r="K45" s="3676"/>
      <c r="L45" s="3676"/>
      <c r="M45" s="3676"/>
      <c r="N45" s="3676"/>
      <c r="O45" s="3676"/>
    </row>
    <row r="46" spans="1:15" ht="14.25" customHeight="1">
      <c r="A46" s="3595" t="s">
        <v>1330</v>
      </c>
      <c r="B46" s="3596"/>
      <c r="C46" s="3596"/>
      <c r="D46" s="3596"/>
      <c r="E46" s="3596"/>
      <c r="F46" s="3596"/>
      <c r="G46" s="3597"/>
      <c r="H46" s="1806"/>
      <c r="I46" s="159"/>
      <c r="J46" s="2523">
        <v>1</v>
      </c>
      <c r="K46" s="3657" t="s">
        <v>1331</v>
      </c>
      <c r="L46" s="3657"/>
      <c r="M46" s="3677"/>
      <c r="N46" s="3677"/>
      <c r="O46" s="3677"/>
    </row>
    <row r="47" spans="1:15" ht="12" customHeight="1">
      <c r="A47" s="160" t="s">
        <v>1332</v>
      </c>
      <c r="B47" s="161"/>
      <c r="C47" s="162"/>
      <c r="D47" s="1087" t="s">
        <v>1333</v>
      </c>
      <c r="E47" s="302" t="s">
        <v>1334</v>
      </c>
      <c r="F47" s="163" t="s">
        <v>1335</v>
      </c>
      <c r="G47" s="2546" t="s">
        <v>1336</v>
      </c>
      <c r="H47" s="2547"/>
      <c r="I47" s="159"/>
      <c r="J47" s="2523">
        <v>2</v>
      </c>
      <c r="K47" s="3657" t="s">
        <v>1337</v>
      </c>
      <c r="L47" s="3657"/>
      <c r="M47" s="3678">
        <f>'数据-取费表'!B2</f>
        <v>44963</v>
      </c>
      <c r="N47" s="3678"/>
      <c r="O47" s="3678"/>
    </row>
    <row r="48" spans="1:15" ht="25.5">
      <c r="A48" s="3626"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57" t="s">
        <v>1340</v>
      </c>
      <c r="L48" s="3657"/>
      <c r="M48" s="3679">
        <f ca="1">H101</f>
        <v>365765</v>
      </c>
      <c r="N48" s="3679"/>
      <c r="O48" s="3679"/>
    </row>
    <row r="49" spans="1:35" ht="25.5" customHeight="1">
      <c r="A49" s="2333" t="s">
        <v>1341</v>
      </c>
      <c r="B49" s="3593" t="s">
        <v>1342</v>
      </c>
      <c r="C49" s="3593"/>
      <c r="D49" s="1590">
        <v>0</v>
      </c>
      <c r="E49" s="324" t="s">
        <v>1343</v>
      </c>
      <c r="F49" s="2424" t="s">
        <v>28</v>
      </c>
      <c r="G49" s="3663"/>
      <c r="H49" s="2310" t="s">
        <v>2134</v>
      </c>
      <c r="I49" s="2311"/>
      <c r="J49" s="2523">
        <v>4</v>
      </c>
      <c r="K49" s="3657" t="str">
        <f>IF(项目基本情况!E8="房地产抵押价值","房地产抵押价值","抵押担保权已注销时的房地产抵押价值")</f>
        <v>抵押担保权已注销时的房地产抵押价值</v>
      </c>
      <c r="L49" s="3657"/>
      <c r="M49" s="3679" t="str">
        <f>IF(项目基本情况!E8="房地产抵押价值",H107,H109)</f>
        <v>——</v>
      </c>
      <c r="N49" s="3679"/>
      <c r="O49" s="3679"/>
    </row>
    <row r="50" spans="1:35" ht="25.5" customHeight="1">
      <c r="A50" s="2551"/>
      <c r="B50" s="3593" t="s">
        <v>1344</v>
      </c>
      <c r="C50" s="3593"/>
      <c r="D50" s="2552"/>
      <c r="E50" s="332"/>
      <c r="F50" s="2424"/>
      <c r="G50" s="3664"/>
      <c r="H50" s="2312" t="s">
        <v>2135</v>
      </c>
      <c r="I50" s="2311"/>
      <c r="J50" s="3676" t="s">
        <v>1345</v>
      </c>
      <c r="K50" s="3676"/>
      <c r="L50" s="3676"/>
      <c r="M50" s="3676"/>
      <c r="N50" s="3676"/>
      <c r="O50" s="3676"/>
    </row>
    <row r="51" spans="1:35" ht="20.45" customHeight="1">
      <c r="A51" s="2553"/>
      <c r="B51" s="3593" t="s">
        <v>1346</v>
      </c>
      <c r="C51" s="3593"/>
      <c r="D51" s="1087"/>
      <c r="E51" s="327"/>
      <c r="F51" s="2424"/>
      <c r="G51" s="3665"/>
      <c r="H51" s="2312" t="s">
        <v>2136</v>
      </c>
      <c r="I51" s="2311"/>
      <c r="J51" s="2524" t="s">
        <v>1347</v>
      </c>
      <c r="K51" s="3657" t="s">
        <v>1348</v>
      </c>
      <c r="L51" s="3657"/>
      <c r="M51" s="2524" t="s">
        <v>1349</v>
      </c>
      <c r="N51" s="2524" t="s">
        <v>1350</v>
      </c>
      <c r="O51" s="2524" t="s">
        <v>1351</v>
      </c>
    </row>
    <row r="52" spans="1:35" ht="24" customHeight="1">
      <c r="A52" s="2335" t="s">
        <v>1352</v>
      </c>
      <c r="B52" s="3593" t="s">
        <v>1353</v>
      </c>
      <c r="C52" s="3593"/>
      <c r="D52" s="1087">
        <f ca="1">ROUND(D45*'数据-取费表'!B41/(1+'数据-取费表'!C42),0)</f>
        <v>19507</v>
      </c>
      <c r="E52" s="2334" t="s">
        <v>1354</v>
      </c>
      <c r="F52" s="2554">
        <f>'数据-取费表'!B41</f>
        <v>5.6000000000000001E-2</v>
      </c>
      <c r="G52" s="2555"/>
      <c r="H52" s="2544"/>
      <c r="I52" s="1807"/>
      <c r="J52" s="2523">
        <v>1</v>
      </c>
      <c r="K52" s="3658" t="s">
        <v>1355</v>
      </c>
      <c r="L52" s="3658"/>
      <c r="M52" s="2525" t="b">
        <f>D48</f>
        <v>0</v>
      </c>
      <c r="N52" s="2523" t="str">
        <f>E48</f>
        <v>销售额×税（费）率</v>
      </c>
      <c r="O52" s="2526">
        <f>F48</f>
        <v>5.6000000000000001E-2</v>
      </c>
    </row>
    <row r="53" spans="1:35" ht="12" customHeight="1">
      <c r="A53" s="2335" t="s">
        <v>1356</v>
      </c>
      <c r="B53" s="3619" t="s">
        <v>2291</v>
      </c>
      <c r="C53" s="3620"/>
      <c r="D53" s="1087">
        <f ca="1">ROUND(D45*'数据-取费表'!B41/(1+'数据-取费表'!C42),0)</f>
        <v>19507</v>
      </c>
      <c r="E53" s="2334" t="s">
        <v>1354</v>
      </c>
      <c r="F53" s="2554">
        <f>'数据-取费表'!B41</f>
        <v>5.6000000000000001E-2</v>
      </c>
      <c r="G53" s="2555"/>
      <c r="H53" s="2544"/>
      <c r="I53" s="1807"/>
      <c r="J53" s="2523">
        <v>2</v>
      </c>
      <c r="K53" s="3658" t="s">
        <v>1357</v>
      </c>
      <c r="L53" s="3658"/>
      <c r="M53" s="2525">
        <f t="shared" ref="M53:O54" ca="1" si="0">D55</f>
        <v>183</v>
      </c>
      <c r="N53" s="2523" t="str">
        <f t="shared" si="0"/>
        <v>销售额×税（费）率</v>
      </c>
      <c r="O53" s="2526" t="str">
        <f t="shared" si="0"/>
        <v>免征</v>
      </c>
    </row>
    <row r="54" spans="1:35" ht="12" customHeight="1">
      <c r="A54" s="2335" t="s">
        <v>1358</v>
      </c>
      <c r="B54" s="3619" t="s">
        <v>2292</v>
      </c>
      <c r="C54" s="3620"/>
      <c r="D54" s="1087">
        <f ca="1">C68</f>
        <v>19507</v>
      </c>
      <c r="E54" s="327" t="s">
        <v>1359</v>
      </c>
      <c r="F54" s="2554">
        <f>'数据-取费表'!B41</f>
        <v>5.6000000000000001E-2</v>
      </c>
      <c r="G54" s="2555"/>
      <c r="H54" s="2556"/>
      <c r="I54" s="1807"/>
      <c r="J54" s="2523">
        <v>3</v>
      </c>
      <c r="K54" s="3658" t="s">
        <v>1360</v>
      </c>
      <c r="L54" s="3658"/>
      <c r="M54" s="2525">
        <f t="shared" ca="1" si="0"/>
        <v>207023</v>
      </c>
      <c r="N54" s="2523" t="str">
        <f t="shared" si="0"/>
        <v>增值额×税（费）率</v>
      </c>
      <c r="O54" s="2527" t="str">
        <f t="shared" si="0"/>
        <v>免征</v>
      </c>
    </row>
    <row r="55" spans="1:35" ht="24" customHeight="1">
      <c r="A55" s="3608" t="s">
        <v>1361</v>
      </c>
      <c r="B55" s="3609"/>
      <c r="C55" s="3609"/>
      <c r="D55" s="2324">
        <f ca="1">IF(H55="个人住宅",0,ROUND(D45*I55,0))</f>
        <v>183</v>
      </c>
      <c r="E55" s="2334" t="s">
        <v>1362</v>
      </c>
      <c r="F55" s="2554" t="str">
        <f>IF(H55="正常",I55,"免征")</f>
        <v>免征</v>
      </c>
      <c r="G55" s="2555"/>
      <c r="H55" s="2550"/>
      <c r="I55" s="165">
        <f>'数据-取费表'!B49</f>
        <v>5.0000000000000001E-4</v>
      </c>
      <c r="J55" s="2523">
        <f>IF(H59="非个人房产","",4)</f>
        <v>4</v>
      </c>
      <c r="K55" s="3658" t="str">
        <f>IF(H59="非个人房产","——","个人所得税")</f>
        <v>个人所得税</v>
      </c>
      <c r="L55" s="3658"/>
      <c r="M55" s="2528">
        <f ca="1">D59</f>
        <v>3483</v>
      </c>
      <c r="N55" s="2040" t="str">
        <f>E59</f>
        <v>差额计税</v>
      </c>
      <c r="O55" s="2529">
        <f>F59</f>
        <v>0.01</v>
      </c>
    </row>
    <row r="56" spans="1:35" ht="24.75">
      <c r="A56" s="3608" t="s">
        <v>1363</v>
      </c>
      <c r="B56" s="3609"/>
      <c r="C56" s="3609"/>
      <c r="D56" s="2324">
        <f ca="1">IF(H56="个人住宅",D57,D58)</f>
        <v>207023</v>
      </c>
      <c r="E56" s="2334" t="s">
        <v>1364</v>
      </c>
      <c r="F56" s="2554" t="str">
        <f>IF(H56="正常",F58,"免征")</f>
        <v>免征</v>
      </c>
      <c r="G56" s="2557" t="s">
        <v>1365</v>
      </c>
      <c r="H56" s="2558"/>
      <c r="I56" s="1808"/>
      <c r="J56" s="2523" t="str">
        <f>IF(项目基本情况!K6="上海银行",IF(J55="",4,J55+1),"")</f>
        <v/>
      </c>
      <c r="K56" s="3681" t="str">
        <f>IF(项目基本情况!K6="上海银行","其他处置费用","")</f>
        <v/>
      </c>
      <c r="L56" s="3682"/>
      <c r="M56" s="2525" t="str">
        <f>IF(项目基本情况!K6="上海银行",M69,"")</f>
        <v/>
      </c>
      <c r="N56" s="3681" t="str">
        <f>IF(项目基本情况!K6="上海银行","包含处置中涉及的律师、诉讼、拍卖、评估等费用","")</f>
        <v/>
      </c>
      <c r="O56" s="3684"/>
    </row>
    <row r="57" spans="1:35" ht="12.75">
      <c r="A57" s="2335" t="s">
        <v>1341</v>
      </c>
      <c r="B57" s="3619" t="s">
        <v>1366</v>
      </c>
      <c r="C57" s="3620"/>
      <c r="D57" s="1590">
        <v>0</v>
      </c>
      <c r="E57" s="324" t="s">
        <v>1343</v>
      </c>
      <c r="F57" s="302"/>
      <c r="G57" s="2555"/>
      <c r="H57" s="2559"/>
      <c r="I57" s="1808"/>
      <c r="J57" s="3658">
        <f>IF(AND(J55="",J56=""),4,IF(项目基本情况!K6="上海银行",结果表!J56+1,结果表!J55+1))</f>
        <v>5</v>
      </c>
      <c r="K57" s="3658" t="s">
        <v>1367</v>
      </c>
      <c r="L57" s="2530" t="s">
        <v>1368</v>
      </c>
      <c r="M57" s="2531"/>
      <c r="N57" s="2532">
        <f ca="1">SUMIF(M52:M56,"&lt;9e307")</f>
        <v>210689</v>
      </c>
      <c r="O57" s="2533"/>
      <c r="P57" s="2690" t="e">
        <f ca="1">N57/M49</f>
        <v>#VALUE!</v>
      </c>
    </row>
    <row r="58" spans="1:35" ht="24.75">
      <c r="A58" s="2335" t="s">
        <v>1352</v>
      </c>
      <c r="B58" s="3619" t="s">
        <v>1369</v>
      </c>
      <c r="C58" s="3593"/>
      <c r="D58" s="2324">
        <f ca="1">IF(H58="转让取得",C81,C97)</f>
        <v>207023</v>
      </c>
      <c r="E58" s="2334" t="s">
        <v>1364</v>
      </c>
      <c r="F58" s="302" t="s">
        <v>28</v>
      </c>
      <c r="G58" s="2555"/>
      <c r="H58" s="2558"/>
      <c r="I58" s="1808"/>
      <c r="J58" s="3658"/>
      <c r="K58" s="3658"/>
      <c r="L58" s="2530" t="s">
        <v>1370</v>
      </c>
      <c r="M58" s="2534"/>
      <c r="N58" s="2535" t="str">
        <f ca="1">NUMBERSTRING(INT(N57*10000),2)&amp;"元整"</f>
        <v>贰拾壹亿零陆佰捌拾玖万元整</v>
      </c>
      <c r="O58" s="2536"/>
    </row>
    <row r="59" spans="1:35" ht="24.75" thickBot="1">
      <c r="A59" s="3661" t="s">
        <v>1371</v>
      </c>
      <c r="B59" s="3662"/>
      <c r="C59" s="3662"/>
      <c r="D59" s="2560">
        <f ca="1">IF(H59="非个人房产","——",IF(H59="个人住宅（满五唯一有凭证）",0,IF(H59="个人其他（无凭证）",ROUND(D45*F59,0),ROUND(C67*F59,0))))</f>
        <v>3483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9">
        <f>J57+1</f>
        <v>6</v>
      </c>
      <c r="K59" s="3658" t="s">
        <v>1372</v>
      </c>
      <c r="L59" s="2523" t="s">
        <v>1368</v>
      </c>
      <c r="M59" s="2537"/>
      <c r="N59" s="2538" t="e">
        <f ca="1">M49-N57</f>
        <v>#VALUE!</v>
      </c>
      <c r="O59" s="2539"/>
    </row>
    <row r="60" spans="1:35" ht="12" customHeight="1">
      <c r="A60" s="1809"/>
      <c r="B60" s="1747"/>
      <c r="C60" s="1747"/>
      <c r="D60" s="1747"/>
      <c r="E60" s="1578"/>
      <c r="F60" s="1808"/>
      <c r="G60" s="1808"/>
      <c r="H60" s="1810"/>
      <c r="I60" s="129"/>
      <c r="J60" s="3660"/>
      <c r="K60" s="3658"/>
      <c r="L60" s="2530" t="s">
        <v>1370</v>
      </c>
      <c r="M60" s="2534"/>
      <c r="N60" s="2535" t="e">
        <f ca="1">NUMBERSTRING(INT(N59*10000),2)&amp;"元整"</f>
        <v>#VALUE!</v>
      </c>
      <c r="O60" s="2536"/>
    </row>
    <row r="61" spans="1:35" ht="13.5" thickBot="1">
      <c r="A61" s="3606" t="s">
        <v>1373</v>
      </c>
      <c r="B61" s="3606"/>
      <c r="C61" s="3606"/>
      <c r="D61" s="3606"/>
      <c r="E61" s="3606"/>
      <c r="F61" s="1808"/>
      <c r="G61" s="1808"/>
      <c r="H61" s="1810"/>
      <c r="I61" s="129"/>
      <c r="J61" s="2523">
        <f>J59+1</f>
        <v>7</v>
      </c>
      <c r="K61" s="3658" t="s">
        <v>1374</v>
      </c>
      <c r="L61" s="3658"/>
      <c r="M61" s="2540"/>
      <c r="N61" s="2541" t="e">
        <f ca="1">ROUND(N59*10000/'数据-汇总表'!E3,0)</f>
        <v>#VALUE!</v>
      </c>
      <c r="O61" s="2542"/>
    </row>
    <row r="62" spans="1:35" ht="12.75">
      <c r="A62" s="3624" t="s">
        <v>1375</v>
      </c>
      <c r="B62" s="3625"/>
      <c r="C62" s="2021"/>
      <c r="D62" s="2021" t="s">
        <v>1376</v>
      </c>
      <c r="E62" s="166" t="s">
        <v>1377</v>
      </c>
      <c r="F62" s="1808"/>
      <c r="G62" s="1808"/>
      <c r="H62" s="1810"/>
      <c r="I62" s="129"/>
    </row>
    <row r="63" spans="1:35" ht="12.75">
      <c r="A63" s="173" t="s">
        <v>330</v>
      </c>
      <c r="B63" s="167" t="s">
        <v>1378</v>
      </c>
      <c r="C63" s="2564">
        <f ca="1">ROUND((C64+C65)/(1+'数据-取费表'!C42),0)</f>
        <v>348348</v>
      </c>
      <c r="D63" s="167"/>
      <c r="E63" s="168"/>
      <c r="F63" s="1808"/>
      <c r="G63" s="1808"/>
      <c r="H63" s="1810"/>
      <c r="I63" s="129"/>
      <c r="J63" s="368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365765</v>
      </c>
      <c r="D64" s="170" t="s">
        <v>26</v>
      </c>
      <c r="E64" s="172"/>
      <c r="F64" s="1808"/>
      <c r="G64" s="1808"/>
      <c r="H64" s="1810"/>
      <c r="I64" s="129"/>
      <c r="J64" s="368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8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83"/>
      <c r="K66" s="1332" t="s">
        <v>1387</v>
      </c>
      <c r="L66" s="1332" t="e">
        <f>M49*0.5%</f>
        <v>#VALUE!</v>
      </c>
      <c r="M66" s="302" t="e">
        <f>IF(L66&gt;0.5,0.5,ROUND(L66,0))</f>
        <v>#VALUE!</v>
      </c>
      <c r="N66" s="2544" t="s">
        <v>1388</v>
      </c>
      <c r="Z66" s="1752"/>
      <c r="AI66" s="1753"/>
    </row>
    <row r="67" spans="1:35" ht="14.25" customHeight="1">
      <c r="A67" s="173" t="s">
        <v>328</v>
      </c>
      <c r="B67" s="174" t="s">
        <v>1389</v>
      </c>
      <c r="C67" s="2568">
        <f ca="1">C63-C66</f>
        <v>348348</v>
      </c>
      <c r="D67" s="170" t="s">
        <v>26</v>
      </c>
      <c r="E67" s="172"/>
      <c r="F67" s="1808"/>
      <c r="G67" s="1808"/>
      <c r="H67" s="1810"/>
      <c r="I67" s="129"/>
      <c r="J67" s="368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19507</v>
      </c>
      <c r="D68" s="2570">
        <f>'数据-取费表'!B41</f>
        <v>5.6000000000000001E-2</v>
      </c>
      <c r="E68" s="178"/>
      <c r="F68" s="1808"/>
      <c r="G68" s="1808"/>
      <c r="H68" s="1810"/>
      <c r="I68" s="129"/>
      <c r="J68" s="368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8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5" t="s">
        <v>1394</v>
      </c>
      <c r="B70" s="3646"/>
      <c r="C70" s="3646"/>
      <c r="D70" s="3646"/>
      <c r="E70" s="3646"/>
      <c r="F70" s="3646"/>
      <c r="G70" s="3646"/>
      <c r="H70" s="364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1375</v>
      </c>
      <c r="B71" s="362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348348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2090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593"/>
      <c r="G76" s="3593"/>
      <c r="H76" s="364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2090</v>
      </c>
      <c r="D78" s="2577">
        <f>'数据-取费表'!B43</f>
        <v>6.000000000000001E-3</v>
      </c>
      <c r="E78" s="3603" t="s">
        <v>1406</v>
      </c>
      <c r="F78" s="3604"/>
      <c r="G78" s="3604"/>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346258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165.67368421052632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207023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5" t="s">
        <v>1410</v>
      </c>
      <c r="B83" s="3646"/>
      <c r="C83" s="3646"/>
      <c r="D83" s="3646"/>
      <c r="E83" s="3646"/>
      <c r="F83" s="3646"/>
      <c r="G83" s="3646"/>
      <c r="H83" s="364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1375</v>
      </c>
      <c r="B84" s="362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348348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2090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85" t="s">
        <v>2129</v>
      </c>
      <c r="H90" s="36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3" t="s">
        <v>1422</v>
      </c>
      <c r="F92" s="3604"/>
      <c r="G92" s="3604"/>
      <c r="H92" s="361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2090</v>
      </c>
      <c r="D93" s="2577">
        <f>'数据-取费表'!B43</f>
        <v>6.000000000000001E-3</v>
      </c>
      <c r="E93" s="3603" t="s">
        <v>1406</v>
      </c>
      <c r="F93" s="3604"/>
      <c r="G93" s="3604"/>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14" t="s">
        <v>1426</v>
      </c>
      <c r="F94" s="3615"/>
      <c r="G94" s="3615"/>
      <c r="H94" s="361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346258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165.67368421052632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207023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7" t="s">
        <v>1428</v>
      </c>
      <c r="B100" s="3588"/>
      <c r="C100" s="3588"/>
      <c r="D100" s="3605"/>
      <c r="E100" s="3588" t="s">
        <v>1429</v>
      </c>
      <c r="F100" s="3588"/>
      <c r="G100" s="3588"/>
      <c r="H100" s="3605"/>
      <c r="I100" s="129"/>
    </row>
    <row r="101" spans="1:35" ht="18.75" customHeight="1">
      <c r="A101" s="3666" t="s">
        <v>1430</v>
      </c>
      <c r="B101" s="3667"/>
      <c r="C101" s="2585" t="str">
        <f>C4</f>
        <v>成本法</v>
      </c>
      <c r="D101" s="2586" t="str">
        <f>D4</f>
        <v>收益法（汇总）</v>
      </c>
      <c r="E101" s="3680" t="s">
        <v>1431</v>
      </c>
      <c r="F101" s="3637"/>
      <c r="G101" s="1827" t="s">
        <v>1432</v>
      </c>
      <c r="H101" s="2595">
        <f ca="1">H118</f>
        <v>365765</v>
      </c>
      <c r="I101" s="129"/>
    </row>
    <row r="102" spans="1:35" ht="18.75" customHeight="1">
      <c r="A102" s="3639" t="s">
        <v>1433</v>
      </c>
      <c r="B102" s="2584" t="s">
        <v>1432</v>
      </c>
      <c r="C102" s="2585">
        <f ca="1">IF(D32="楼面单价",ROUND(C19,0),C19)</f>
        <v>316401</v>
      </c>
      <c r="D102" s="2586">
        <f ca="1">IF(D32="楼面单价",ROUND(D19,0),D19)</f>
        <v>415128</v>
      </c>
      <c r="E102" s="3680"/>
      <c r="F102" s="3637"/>
      <c r="G102" s="1827" t="s">
        <v>1434</v>
      </c>
      <c r="H102" s="2555">
        <f ca="1">I118</f>
        <v>21693</v>
      </c>
      <c r="I102" s="129"/>
    </row>
    <row r="103" spans="1:35" ht="42.75" customHeight="1">
      <c r="A103" s="3639"/>
      <c r="B103" s="2584" t="s">
        <v>1434</v>
      </c>
      <c r="C103" s="2587">
        <f ca="1">C20</f>
        <v>18766</v>
      </c>
      <c r="D103" s="2588">
        <f ca="1">D20</f>
        <v>24621</v>
      </c>
      <c r="E103" s="3674" t="s">
        <v>1435</v>
      </c>
      <c r="F103" s="3675"/>
      <c r="G103" s="1828" t="s">
        <v>1436</v>
      </c>
      <c r="H103" s="2595">
        <f>IF(D36="正常操作",H104+H105+H106,H105+H106)</f>
        <v>0</v>
      </c>
      <c r="I103" s="129"/>
    </row>
    <row r="104" spans="1:35" ht="18.75" customHeight="1">
      <c r="A104" s="3639" t="s">
        <v>1437</v>
      </c>
      <c r="B104" s="2589" t="s">
        <v>1432</v>
      </c>
      <c r="C104" s="2590">
        <f ca="1">H118</f>
        <v>365765</v>
      </c>
      <c r="D104" s="2591"/>
      <c r="E104" s="1674" t="s">
        <v>1438</v>
      </c>
      <c r="F104" s="1666"/>
      <c r="G104" s="1828" t="s">
        <v>1436</v>
      </c>
      <c r="H104" s="2596">
        <f>IF(D36="同一抵押权人同一抵押物续贷",C36&amp;"（续贷，未扣减，详见特别提示）",C36)</f>
        <v>0</v>
      </c>
      <c r="I104" s="129"/>
    </row>
    <row r="105" spans="1:35" ht="18.75" customHeight="1" thickBot="1">
      <c r="A105" s="3640"/>
      <c r="B105" s="2592" t="s">
        <v>1434</v>
      </c>
      <c r="C105" s="2593">
        <f ca="1">I118</f>
        <v>21693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6" t="str">
        <f>IF(项目基本情况!E8="已注销","——","3.房地产抵押价值")</f>
        <v>3.房地产抵押价值</v>
      </c>
      <c r="F107" s="3637"/>
      <c r="G107" s="1827" t="s">
        <v>1432</v>
      </c>
      <c r="H107" s="2595">
        <f ca="1">IF(E107="——","——",H101-H103)</f>
        <v>365765</v>
      </c>
      <c r="I107" s="129"/>
    </row>
    <row r="108" spans="1:35" ht="18.75" customHeight="1">
      <c r="A108" s="129"/>
      <c r="B108" s="129"/>
      <c r="C108" s="129"/>
      <c r="D108" s="129"/>
      <c r="E108" s="3636"/>
      <c r="F108" s="3637"/>
      <c r="G108" s="1827" t="s">
        <v>1434</v>
      </c>
      <c r="H108" s="2555">
        <f ca="1">IF(H107=H101,H102,ROUND(H107*10000/'数据-汇总表'!E3,0))</f>
        <v>21693</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37"/>
      <c r="G109" s="1827" t="s">
        <v>1432</v>
      </c>
      <c r="H109" s="2598" t="str">
        <f>IF(E109="——","——",H101-H105-H106)</f>
        <v>——</v>
      </c>
      <c r="I109" s="129"/>
    </row>
    <row r="110" spans="1:35" ht="18.75" customHeight="1">
      <c r="A110" s="129"/>
      <c r="B110" s="129"/>
      <c r="C110" s="129"/>
      <c r="D110" s="129"/>
      <c r="E110" s="3636"/>
      <c r="F110" s="3637"/>
      <c r="G110" s="1827" t="s">
        <v>1434</v>
      </c>
      <c r="H110" s="2555" t="str">
        <f>IF(H109="——","——",ROUND(H109*10000/'数据-汇总表'!E3,0))</f>
        <v>——</v>
      </c>
      <c r="I110" s="129"/>
    </row>
    <row r="111" spans="1:35" ht="18.75" customHeight="1">
      <c r="A111" s="129"/>
      <c r="B111" s="129"/>
      <c r="C111" s="129"/>
      <c r="D111" s="129"/>
      <c r="E111" s="3668" t="str">
        <f>IF(项目基本情况!E9="抵押净值",IF(OR(项目基本情况!E8="已注销",项目基本情况!E8="房地产抵押价值"),"4.抵押净值","5.抵押净值"),"——")</f>
        <v>——</v>
      </c>
      <c r="F111" s="3638"/>
      <c r="G111" s="1827" t="s">
        <v>1432</v>
      </c>
      <c r="H111" s="2595" t="str">
        <f>IF(E111="——","——",N59)</f>
        <v>——</v>
      </c>
      <c r="I111" s="129"/>
    </row>
    <row r="112" spans="1:35" ht="18.75" customHeight="1" thickBot="1">
      <c r="A112" s="129"/>
      <c r="B112" s="129"/>
      <c r="C112" s="129"/>
      <c r="D112" s="129"/>
      <c r="E112" s="3669"/>
      <c r="F112" s="3670"/>
      <c r="G112" s="1830" t="s">
        <v>1434</v>
      </c>
      <c r="H112" s="2599" t="str">
        <f>IF(E111="——","——",N61)</f>
        <v>——</v>
      </c>
      <c r="I112" s="129"/>
    </row>
    <row r="113" spans="1:27" ht="18.75" customHeight="1">
      <c r="A113" s="129"/>
      <c r="B113" s="129"/>
      <c r="C113" s="129"/>
      <c r="D113" s="129"/>
      <c r="E113" s="3641" t="s">
        <v>1440</v>
      </c>
      <c r="F113" s="3641"/>
      <c r="G113" s="3641"/>
      <c r="H113" s="3641"/>
      <c r="I113" s="129"/>
    </row>
    <row r="114" spans="1:27" ht="3.75" customHeight="1">
      <c r="A114" s="1747"/>
      <c r="B114" s="1747"/>
      <c r="C114" s="1747"/>
      <c r="D114" s="1747"/>
      <c r="E114" s="1809"/>
      <c r="F114" s="1809"/>
      <c r="G114" s="1809"/>
      <c r="H114" s="1809"/>
      <c r="I114" s="1747"/>
    </row>
    <row r="115" spans="1:27" ht="18.75" customHeight="1">
      <c r="A115" s="3651" t="s">
        <v>1442</v>
      </c>
      <c r="B115" s="3652"/>
      <c r="C115" s="3652"/>
      <c r="D115" s="3652"/>
      <c r="E115" s="3652"/>
      <c r="F115" s="3652"/>
      <c r="G115" s="3652"/>
      <c r="H115" s="3652"/>
      <c r="I115" s="3653"/>
    </row>
    <row r="116" spans="1:27" ht="27" customHeight="1">
      <c r="A116" s="3607" t="s">
        <v>1443</v>
      </c>
      <c r="B116" s="3642" t="s">
        <v>1444</v>
      </c>
      <c r="C116" s="3642" t="s">
        <v>1445</v>
      </c>
      <c r="D116" s="3655" t="s">
        <v>1446</v>
      </c>
      <c r="E116" s="3656"/>
      <c r="F116" s="3650" t="s">
        <v>1447</v>
      </c>
      <c r="G116" s="3650"/>
      <c r="H116" s="3607" t="s">
        <v>1448</v>
      </c>
      <c r="I116" s="3607"/>
    </row>
    <row r="117" spans="1:27" ht="18.75" customHeight="1">
      <c r="A117" s="3607"/>
      <c r="B117" s="3643"/>
      <c r="C117" s="3643"/>
      <c r="D117" s="2329" t="s">
        <v>1449</v>
      </c>
      <c r="E117" s="2329" t="s">
        <v>1450</v>
      </c>
      <c r="F117" s="2329" t="s">
        <v>1449</v>
      </c>
      <c r="G117" s="2329" t="s">
        <v>1451</v>
      </c>
      <c r="H117" s="2329" t="s">
        <v>1449</v>
      </c>
      <c r="I117" s="2329" t="s">
        <v>1451</v>
      </c>
    </row>
    <row r="118" spans="1:27" ht="24.75" customHeight="1">
      <c r="A118" s="2600" t="str">
        <f>项目基本情况!S2</f>
        <v>房地产</v>
      </c>
      <c r="B118" s="2329">
        <f>M18</f>
        <v>168606.38000000117</v>
      </c>
      <c r="C118" s="2329">
        <f>M19</f>
        <v>0</v>
      </c>
      <c r="D118" s="2329">
        <f ca="1">ROUND(IF(D32="总价",C34,E118*B118/10000),0)</f>
        <v>250549</v>
      </c>
      <c r="E118" s="2329">
        <f ca="1">ROUND(IF(C33="自定义",IF(D32="楼面单价",C34,D118*10000/B118),I118-G118),0)</f>
        <v>14860</v>
      </c>
      <c r="F118" s="2329">
        <f ca="1">ROUND(IF(D32="总价",C35,G118*B118/10000),0)</f>
        <v>115216</v>
      </c>
      <c r="G118" s="2329">
        <f ca="1">ROUND(IF(D32="楼面单价",C35,F118*10000/B118),0)</f>
        <v>6833</v>
      </c>
      <c r="H118" s="2329">
        <f ca="1">ROUND(IF(D32="总价",C32,I118*B118/10000),0)</f>
        <v>365765</v>
      </c>
      <c r="I118" s="2329">
        <f ca="1">ROUND(IF(D32="楼面单价",C32,H118*10000/B118),0)</f>
        <v>21693</v>
      </c>
    </row>
    <row r="119" spans="1:27" ht="18.75" customHeight="1">
      <c r="A119" s="3607" t="s">
        <v>1452</v>
      </c>
      <c r="B119" s="3607"/>
      <c r="C119" s="3607"/>
      <c r="D119" s="3647" t="str">
        <f ca="1">NUMBERSTRING(INT(D118*10000),2)&amp;"元整"</f>
        <v>贰拾伍亿零伍佰肆拾玖万元整</v>
      </c>
      <c r="E119" s="3649"/>
      <c r="F119" s="3647" t="str">
        <f ca="1">NUMBERSTRING(INT(F118*10000),2)&amp;"元整"</f>
        <v>壹拾壹亿伍仟贰佰壹拾陆万元整</v>
      </c>
      <c r="G119" s="3649"/>
      <c r="H119" s="3647" t="str">
        <f ca="1">NUMBERSTRING(INT(H118*10000),2)&amp;"元整"</f>
        <v>叁拾陆亿伍仟柒佰陆拾伍万元整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7" t="s">
        <v>1452</v>
      </c>
      <c r="B121" s="3648"/>
      <c r="C121" s="3649"/>
      <c r="D121" s="3647" t="str">
        <f>IF(D120=0,"零元整",NUMBERSTRING(INT(D120*10000),2)&amp;"元整")</f>
        <v>零元整</v>
      </c>
      <c r="E121" s="3648"/>
      <c r="F121" s="3648"/>
      <c r="G121" s="3648"/>
      <c r="H121" s="3648"/>
      <c r="I121" s="3649"/>
      <c r="AA121" s="725"/>
    </row>
    <row r="122" spans="1:27" ht="18.75" customHeight="1">
      <c r="A122" s="3638" t="str">
        <f>IF(项目基本情况!B9="房地产市场价值","",MID(E107,3,LEN(E107)-2))</f>
        <v>房地产抵押价值</v>
      </c>
      <c r="B122" s="3638"/>
      <c r="C122" s="3638"/>
      <c r="D122" s="3671">
        <f ca="1">H107</f>
        <v>365765</v>
      </c>
      <c r="E122" s="3672"/>
      <c r="F122" s="3672"/>
      <c r="G122" s="3672"/>
      <c r="H122" s="3672"/>
      <c r="I122" s="3673"/>
      <c r="AA122" s="725"/>
    </row>
    <row r="123" spans="1:27" ht="18.75" customHeight="1">
      <c r="A123" s="3607" t="s">
        <v>1452</v>
      </c>
      <c r="B123" s="3607"/>
      <c r="C123" s="3607"/>
      <c r="D123" s="3647" t="str">
        <f ca="1">NUMBERSTRING(INT(D122*10000),2)&amp;"元整"</f>
        <v>叁拾陆亿伍仟柒佰陆拾伍万元整</v>
      </c>
      <c r="E123" s="3648"/>
      <c r="F123" s="3648"/>
      <c r="G123" s="3648"/>
      <c r="H123" s="3648"/>
      <c r="I123" s="3649"/>
      <c r="AA123" s="725"/>
    </row>
    <row r="124" spans="1:27" ht="18.75" customHeight="1">
      <c r="A124" s="3638" t="str">
        <f>IF(项目基本情况!B9="房地产市场价值","",MID(E109,3,LEN(E109)-2))</f>
        <v/>
      </c>
      <c r="B124" s="3638"/>
      <c r="C124" s="3638"/>
      <c r="D124" s="3671" t="str">
        <f>H109</f>
        <v>——</v>
      </c>
      <c r="E124" s="3672"/>
      <c r="F124" s="3672"/>
      <c r="G124" s="3672"/>
      <c r="H124" s="3672"/>
      <c r="I124" s="3673"/>
      <c r="AA124" s="725"/>
    </row>
    <row r="125" spans="1:27" ht="18.75" customHeight="1">
      <c r="A125" s="3607" t="s">
        <v>1452</v>
      </c>
      <c r="B125" s="3607"/>
      <c r="C125" s="3607"/>
      <c r="D125" s="3647" t="e">
        <f>NUMBERSTRING(INT(D124*10000),2)&amp;"元整"</f>
        <v>#VALUE!</v>
      </c>
      <c r="E125" s="3648"/>
      <c r="F125" s="3648"/>
      <c r="G125" s="3648"/>
      <c r="H125" s="3648"/>
      <c r="I125" s="3649"/>
      <c r="AA125" s="725"/>
    </row>
    <row r="126" spans="1:27" ht="18.75" customHeight="1">
      <c r="A126" s="3638" t="str">
        <f>IF(项目基本情况!B9="房地产市场价值","",MID(E111,3,LEN(E111)-2))</f>
        <v/>
      </c>
      <c r="B126" s="3638"/>
      <c r="C126" s="3638"/>
      <c r="D126" s="3671" t="str">
        <f>H111</f>
        <v>——</v>
      </c>
      <c r="E126" s="3672"/>
      <c r="F126" s="3672"/>
      <c r="G126" s="3672"/>
      <c r="H126" s="3672"/>
      <c r="I126" s="3673"/>
      <c r="AA126" s="725"/>
    </row>
    <row r="127" spans="1:27" ht="18.75" customHeight="1">
      <c r="A127" s="3607" t="s">
        <v>1452</v>
      </c>
      <c r="B127" s="3607"/>
      <c r="C127" s="3607"/>
      <c r="D127" s="3647" t="e">
        <f>NUMBERSTRING(INT(D126*10000),2)&amp;"元整"</f>
        <v>#VALUE!</v>
      </c>
      <c r="E127" s="3648"/>
      <c r="F127" s="3648"/>
      <c r="G127" s="3648"/>
      <c r="H127" s="3648"/>
      <c r="I127" s="3649"/>
      <c r="AA127" s="725"/>
    </row>
    <row r="128" spans="1:27" ht="21.75" customHeight="1">
      <c r="A128" s="3654" t="s">
        <v>1453</v>
      </c>
      <c r="B128" s="3654"/>
      <c r="C128" s="3654"/>
      <c r="D128" s="3654"/>
      <c r="E128" s="3654"/>
      <c r="F128" s="3654"/>
      <c r="G128" s="3654"/>
      <c r="H128" s="3654"/>
      <c r="I128" s="365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 sqref="G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316401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18766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158219.73963400023</v>
      </c>
      <c r="D5" s="211" t="s">
        <v>1469</v>
      </c>
      <c r="E5" s="212" t="s">
        <v>1470</v>
      </c>
      <c r="F5" s="212" t="s">
        <v>1471</v>
      </c>
      <c r="G5" s="213"/>
    </row>
    <row r="6" spans="1:9" s="214" customFormat="1" ht="13.5" customHeight="1">
      <c r="A6" s="778" t="s">
        <v>1472</v>
      </c>
      <c r="B6" s="215" t="s">
        <v>1473</v>
      </c>
      <c r="C6" s="216">
        <f>(基准地价修正!C33*基准地价修正!D33+基准地价修正!C37*基准地价修正!D37+基准地价修正!C42*基准地价修正!D42)/10000</f>
        <v>150264.73963400023</v>
      </c>
      <c r="D6" s="217"/>
      <c r="E6" s="218"/>
      <c r="F6" s="218"/>
      <c r="G6" s="219"/>
    </row>
    <row r="7" spans="1:9" s="214" customFormat="1" ht="13.5" customHeight="1">
      <c r="A7" s="778" t="s">
        <v>1474</v>
      </c>
      <c r="B7" s="215" t="s">
        <v>1475</v>
      </c>
      <c r="C7" s="220">
        <f>ROUND(C6*F7,0)</f>
        <v>4583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3372</v>
      </c>
      <c r="D8" s="222"/>
      <c r="E8" s="220"/>
      <c r="F8" s="221"/>
      <c r="G8" s="1856" t="s">
        <v>4662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4663</v>
      </c>
      <c r="H9" s="1137"/>
      <c r="I9" s="1858" t="s">
        <v>1479</v>
      </c>
    </row>
    <row r="10" spans="1:9" s="214" customFormat="1" ht="13.5" customHeight="1">
      <c r="A10" s="779" t="s">
        <v>356</v>
      </c>
      <c r="B10" s="224" t="s">
        <v>1480</v>
      </c>
      <c r="C10" s="225">
        <f ca="1">ROUND(D10*E10/10000,0)</f>
        <v>3372</v>
      </c>
      <c r="D10" s="845">
        <f ca="1">IF(B1="",'数据-汇总表'!E6,IF(INDIRECT("'数据-取费表'!c"&amp;$G$1)="住宅",INDIRECT("'数据-取费表'!s"&amp;$G$1),INDIRECT("'数据-取费表'!k"&amp;$G$1)+INDIRECT("'数据-取费表'!s"&amp;$G$1)))</f>
        <v>168606.38000000117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168606.38000000117</v>
      </c>
      <c r="E19" s="211">
        <f>'数据-取费表'!B31</f>
        <v>200</v>
      </c>
      <c r="F19" s="231"/>
      <c r="G19" s="1856" t="s">
        <v>4664</v>
      </c>
    </row>
    <row r="20" spans="1:7" s="214" customFormat="1" ht="13.5" customHeight="1">
      <c r="A20" s="255" t="s">
        <v>1493</v>
      </c>
      <c r="B20" s="210" t="s">
        <v>1494</v>
      </c>
      <c r="C20" s="232">
        <f ca="1">ROUND((C5+C19)*F20,0)</f>
        <v>3955</v>
      </c>
      <c r="D20" s="232"/>
      <c r="E20" s="232"/>
      <c r="F20" s="233">
        <f>'数据-取费表'!B37</f>
        <v>2.5000000000000001E-2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13569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13405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24326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24326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216784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85543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78633</v>
      </c>
      <c r="D34" s="217"/>
      <c r="E34" s="220"/>
      <c r="F34" s="257">
        <f ca="1">IF('数据-取费表'!B24=0,1,IF(B1="",'数据-取费表'!N16,INDIRECT("'数据-取费表'!n"&amp;$G$1)))</f>
        <v>1</v>
      </c>
      <c r="G34" s="219" t="s">
        <v>1526</v>
      </c>
    </row>
    <row r="35" spans="1:7" ht="13.5" customHeight="1">
      <c r="A35" s="780" t="s">
        <v>351</v>
      </c>
      <c r="B35" s="215" t="s">
        <v>1527</v>
      </c>
      <c r="C35" s="220">
        <f ca="1">ROUND(C34*F35,0)</f>
        <v>2359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3372</v>
      </c>
      <c r="D37" s="217">
        <f ca="1">D19</f>
        <v>168606.38000000117</v>
      </c>
      <c r="E37" s="249">
        <f>'数据-取费表'!B35</f>
        <v>200</v>
      </c>
      <c r="F37" s="259"/>
      <c r="G37" s="261" t="s">
        <v>1532</v>
      </c>
    </row>
    <row r="38" spans="1:7" ht="13.5" customHeight="1">
      <c r="A38" s="780" t="s">
        <v>354</v>
      </c>
      <c r="B38" s="215" t="s">
        <v>1533</v>
      </c>
      <c r="C38" s="220">
        <f ca="1">ROUND(C34*F38,0)</f>
        <v>1179</v>
      </c>
      <c r="D38" s="220"/>
      <c r="E38" s="220"/>
      <c r="F38" s="259">
        <f>'数据-取费表'!B36</f>
        <v>1.4999999999999999E-2</v>
      </c>
      <c r="G38" s="219" t="s">
        <v>1528</v>
      </c>
    </row>
    <row r="39" spans="1:7" s="214" customFormat="1" ht="13.5" customHeight="1">
      <c r="A39" s="255" t="s">
        <v>1534</v>
      </c>
      <c r="B39" s="210" t="s">
        <v>1535</v>
      </c>
      <c r="C39" s="232">
        <f ca="1">ROUND(C33*F20,0)</f>
        <v>2139</v>
      </c>
      <c r="D39" s="232"/>
      <c r="E39" s="232"/>
      <c r="F39" s="233">
        <f>F20</f>
        <v>2.5000000000000001E-2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3639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3550</v>
      </c>
      <c r="D42" s="238"/>
      <c r="E42" s="238"/>
      <c r="F42" s="239"/>
      <c r="G42" s="3687" t="s">
        <v>1544</v>
      </c>
    </row>
    <row r="43" spans="1:7" ht="13.5" customHeight="1">
      <c r="A43" s="780" t="s">
        <v>347</v>
      </c>
      <c r="B43" s="215" t="s">
        <v>1545</v>
      </c>
      <c r="C43" s="238">
        <f ca="1">ROUND(IF('数据-取费表'!B22&lt;=1,C39*F22*'数据-取费表'!B21/2,C39*(POWER((1+F22),'数据-取费表'!B21/2)-1)),0)</f>
        <v>89</v>
      </c>
      <c r="D43" s="238"/>
      <c r="E43" s="238"/>
      <c r="F43" s="239"/>
      <c r="G43" s="3688"/>
    </row>
    <row r="44" spans="1:7" ht="13.5" customHeight="1">
      <c r="A44" s="780" t="s">
        <v>348</v>
      </c>
      <c r="B44" s="215" t="s">
        <v>1546</v>
      </c>
      <c r="C44" s="238">
        <f ca="1">ROUND(IF('数据-取费表'!B22&lt;=1,C40*F22*'数据-取费表'!B21/2,C40*(POWER((1+F22),'数据-取费表'!B21/2)-1)),4)</f>
        <v>8.0000000000000004E-4</v>
      </c>
      <c r="D44" s="238"/>
      <c r="E44" s="238"/>
      <c r="F44" s="239"/>
      <c r="G44" s="3689"/>
    </row>
    <row r="45" spans="1:7" s="214" customFormat="1" ht="13.5" customHeight="1">
      <c r="A45" s="255" t="s">
        <v>1547</v>
      </c>
      <c r="B45" s="244" t="s">
        <v>1513</v>
      </c>
      <c r="C45" s="245">
        <f ca="1">C46</f>
        <v>13152</v>
      </c>
      <c r="D45" s="235">
        <f ca="1">C47</f>
        <v>3.0000000000000001E-3</v>
      </c>
      <c r="E45" s="236" t="s">
        <v>1539</v>
      </c>
      <c r="F45" s="246">
        <f ca="1">F27</f>
        <v>0.15</v>
      </c>
      <c r="G45" s="247" t="s">
        <v>1548</v>
      </c>
    </row>
    <row r="46" spans="1:7" s="214" customFormat="1" ht="13.5" customHeight="1">
      <c r="A46" s="780" t="s">
        <v>346</v>
      </c>
      <c r="B46" s="248" t="s">
        <v>1549</v>
      </c>
      <c r="C46" s="249">
        <f ca="1">ROUND((C33+C39)*F27,0)</f>
        <v>13152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113201</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99617</v>
      </c>
      <c r="D51" s="232"/>
      <c r="E51" s="232"/>
      <c r="F51" s="264"/>
      <c r="G51" s="234" t="s">
        <v>1560</v>
      </c>
    </row>
    <row r="52" spans="1:7" s="208" customFormat="1" ht="16.5" thickBot="1">
      <c r="A52" s="265" t="s">
        <v>1561</v>
      </c>
      <c r="B52" s="266"/>
      <c r="C52" s="267">
        <f ca="1">C31+C51</f>
        <v>316401</v>
      </c>
      <c r="D52" s="266"/>
      <c r="E52" s="266"/>
      <c r="F52" s="266"/>
      <c r="G52" s="268"/>
    </row>
    <row r="55" spans="1:7" ht="15">
      <c r="B55" s="270" t="s">
        <v>1562</v>
      </c>
      <c r="C55" s="271"/>
    </row>
    <row r="56" spans="1:7">
      <c r="B56" s="273" t="s">
        <v>802</v>
      </c>
      <c r="C56" s="275">
        <f ca="1">1-C57</f>
        <v>0.68500000000000005</v>
      </c>
    </row>
    <row r="57" spans="1:7">
      <c r="B57" s="273" t="s">
        <v>803</v>
      </c>
      <c r="C57" s="274">
        <f ca="1">ROUND(C51/C52,3)</f>
        <v>0.315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108857.5773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33721276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33721276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33721276</v>
      </c>
      <c r="D10" s="845">
        <f ca="1">IF(B1="",'数据-汇总表'!E6,IF(INDIRECT("'数据-取费表'!c"&amp;$G$1)="住宅",INDIRECT("'数据-取费表'!s"&amp;$G$1),INDIRECT("'数据-取费表'!k"&amp;$G$1)+INDIRECT("'数据-取费表'!s"&amp;$G$1)))</f>
        <v>168606.38000000117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33721276</v>
      </c>
      <c r="D19" s="849">
        <f ca="1">D9+D10</f>
        <v>168606.38000000117</v>
      </c>
      <c r="E19" s="211">
        <f>'数据-取费表'!B31</f>
        <v>200</v>
      </c>
      <c r="F19" s="231"/>
      <c r="G19" s="1856"/>
    </row>
    <row r="20" spans="1:7" s="214" customFormat="1" ht="13.5" customHeight="1">
      <c r="A20" s="255" t="s">
        <v>1574</v>
      </c>
      <c r="B20" s="210" t="s">
        <v>1575</v>
      </c>
      <c r="C20" s="232">
        <f ca="1">ROUND((C5+C19)*F20,0)</f>
        <v>1686064</v>
      </c>
      <c r="D20" s="232"/>
      <c r="E20" s="232"/>
      <c r="F20" s="233">
        <f>'数据-取费表'!B37</f>
        <v>2.5000000000000001E-2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5783856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2856942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2856942</v>
      </c>
      <c r="D24" s="238"/>
      <c r="E24" s="238"/>
      <c r="F24" s="239"/>
      <c r="G24" s="240" t="s">
        <v>1586</v>
      </c>
    </row>
    <row r="25" spans="1:7" s="214" customFormat="1" ht="24">
      <c r="A25" s="780" t="s">
        <v>1476</v>
      </c>
      <c r="B25" s="215" t="s">
        <v>1587</v>
      </c>
      <c r="C25" s="1128">
        <f ca="1">ROUND(IF('数据-取费表'!B22&lt;=1,C20*F22*'数据-取费表'!B22/2,C20*(POWER((1+F22),'数据-取费表'!B22/2)-1)),0)</f>
        <v>69972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10369292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10369292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92406289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855435552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786329450</v>
      </c>
      <c r="D34" s="217"/>
      <c r="E34" s="220"/>
      <c r="F34" s="257"/>
      <c r="G34" s="219"/>
    </row>
    <row r="35" spans="1:7" ht="13.5" customHeight="1">
      <c r="A35" s="780" t="s">
        <v>351</v>
      </c>
      <c r="B35" s="215" t="s">
        <v>1527</v>
      </c>
      <c r="C35" s="220">
        <f ca="1">ROUND(C34*F35,0)</f>
        <v>23589884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33721276</v>
      </c>
      <c r="D37" s="217">
        <f ca="1">D19</f>
        <v>168606.38000000117</v>
      </c>
      <c r="E37" s="249">
        <f>'数据-取费表'!B35</f>
        <v>200</v>
      </c>
      <c r="F37" s="259"/>
      <c r="G37" s="261"/>
    </row>
    <row r="38" spans="1:7" ht="13.5" customHeight="1">
      <c r="A38" s="780" t="s">
        <v>354</v>
      </c>
      <c r="B38" s="215" t="s">
        <v>1533</v>
      </c>
      <c r="C38" s="220">
        <f ca="1">ROUND(C34*F38,0)</f>
        <v>11794942</v>
      </c>
      <c r="D38" s="220"/>
      <c r="E38" s="220"/>
      <c r="F38" s="259">
        <f>'数据-取费表'!B36</f>
        <v>1.4999999999999999E-2</v>
      </c>
      <c r="G38" s="219" t="s">
        <v>1528</v>
      </c>
    </row>
    <row r="39" spans="1:7" s="214" customFormat="1" ht="13.5" customHeight="1">
      <c r="A39" s="255" t="s">
        <v>1534</v>
      </c>
      <c r="B39" s="210" t="s">
        <v>1535</v>
      </c>
      <c r="C39" s="232">
        <f ca="1">ROUND(C33*F20,0)</f>
        <v>21385889</v>
      </c>
      <c r="D39" s="232"/>
      <c r="E39" s="232"/>
      <c r="F39" s="233">
        <f>F20</f>
        <v>2.5000000000000001E-2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36388089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35500575</v>
      </c>
      <c r="D42" s="238"/>
      <c r="E42" s="238"/>
      <c r="F42" s="239"/>
      <c r="G42" s="3687" t="s">
        <v>1591</v>
      </c>
    </row>
    <row r="43" spans="1:7" ht="13.5" customHeight="1">
      <c r="A43" s="780" t="s">
        <v>347</v>
      </c>
      <c r="B43" s="215" t="s">
        <v>1545</v>
      </c>
      <c r="C43" s="238">
        <f ca="1">ROUND(IF('数据-取费表'!B22&lt;=1,C39*F22*'数据-取费表'!B20/2,C39*(POWER((1+F22),'数据-取费表'!B20/2)-1)),0)</f>
        <v>887514</v>
      </c>
      <c r="D43" s="238"/>
      <c r="E43" s="238"/>
      <c r="F43" s="239"/>
      <c r="G43" s="3688"/>
    </row>
    <row r="44" spans="1:7" ht="13.5" customHeight="1">
      <c r="A44" s="780" t="s">
        <v>348</v>
      </c>
      <c r="B44" s="215" t="s">
        <v>1546</v>
      </c>
      <c r="C44" s="238">
        <f ca="1">ROUND(IF('数据-取费表'!B22&lt;=1,C40*F22*'数据-取费表'!B20/2,C40*(POWER((1+F22),'数据-取费表'!B20/2)-1)),4)</f>
        <v>8.0000000000000004E-4</v>
      </c>
      <c r="D44" s="238"/>
      <c r="E44" s="238"/>
      <c r="F44" s="239"/>
      <c r="G44" s="3689"/>
    </row>
    <row r="45" spans="1:7" s="214" customFormat="1" ht="13.5" customHeight="1">
      <c r="A45" s="255" t="s">
        <v>1547</v>
      </c>
      <c r="B45" s="244" t="s">
        <v>1513</v>
      </c>
      <c r="C45" s="245">
        <f ca="1">C46</f>
        <v>131523216</v>
      </c>
      <c r="D45" s="235">
        <f ca="1">C47</f>
        <v>3.0000000000000001E-3</v>
      </c>
      <c r="E45" s="236" t="s">
        <v>1539</v>
      </c>
      <c r="F45" s="246">
        <f ca="1">F27</f>
        <v>0.15</v>
      </c>
      <c r="G45" s="247" t="s">
        <v>1548</v>
      </c>
    </row>
    <row r="46" spans="1:7" s="214" customFormat="1" ht="13.5" customHeight="1">
      <c r="A46" s="780" t="s">
        <v>346</v>
      </c>
      <c r="B46" s="248" t="s">
        <v>1549</v>
      </c>
      <c r="C46" s="249">
        <f ca="1">ROUND((C33+C39)*F27,0)</f>
        <v>131523216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1132010777</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996169484</v>
      </c>
      <c r="D51" s="232"/>
      <c r="E51" s="232"/>
      <c r="F51" s="264"/>
      <c r="G51" s="234" t="s">
        <v>1560</v>
      </c>
    </row>
    <row r="52" spans="1:7" s="208" customFormat="1" ht="16.5" thickBot="1">
      <c r="A52" s="265" t="s">
        <v>1561</v>
      </c>
      <c r="B52" s="266"/>
      <c r="C52" s="267">
        <f ca="1">C31+C51</f>
        <v>1088575773</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168606.38000000117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168606.38000000117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3372</v>
      </c>
      <c r="D20" s="846">
        <f ca="1">IF(C1="",'数据-汇总表'!E6,IF(INDIRECT("'数据-取费表'!c"&amp;$K$1)="住宅",INDIRECT("'数据-取费表'!s"&amp;$K$1),INDIRECT("'数据-取费表'!k"&amp;$K$1)+INDIRECT("'数据-取费表'!s"&amp;$K$1)))</f>
        <v>168606.38000000117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G55" sqref="G5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168606.38000000117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150265</v>
      </c>
      <c r="C2" s="1999" t="s">
        <v>1935</v>
      </c>
      <c r="D2" s="2000" t="s">
        <v>1936</v>
      </c>
      <c r="E2" s="3422"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Ⅴ-17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21322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8912</v>
      </c>
      <c r="C3" s="1999" t="s">
        <v>1941</v>
      </c>
      <c r="D3" s="2000" t="s">
        <v>1942</v>
      </c>
      <c r="E3" s="3420" t="s">
        <v>4648</v>
      </c>
      <c r="F3" s="2004" t="s">
        <v>4649</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16806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97"/>
      <c r="B4" s="3698"/>
      <c r="C4" s="3698"/>
      <c r="D4" s="3699"/>
      <c r="E4" s="3699"/>
      <c r="F4" s="3699"/>
      <c r="G4" s="3699"/>
      <c r="H4" s="3699"/>
      <c r="I4" s="3699"/>
      <c r="J4" s="370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14204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13538</v>
      </c>
      <c r="D5" s="1339">
        <f>ROUND(C6*C17+C20,0)</f>
        <v>13538</v>
      </c>
      <c r="E5" s="1339"/>
      <c r="F5" s="2007"/>
      <c r="G5" s="2008"/>
      <c r="H5" s="2008"/>
      <c r="I5" s="2008"/>
      <c r="J5" s="2009"/>
      <c r="K5" s="2010"/>
      <c r="L5" s="2003" t="s">
        <v>1948</v>
      </c>
      <c r="M5" s="864">
        <f>SUMPRODUCT((区片价!B87:B126=I2)*(区片价!C3:G3=E2)*(区片价!C87:G126))</f>
        <v>14620</v>
      </c>
      <c r="N5" s="866">
        <f>SUMPRODUCT((因素修正幅度!B87:B126=I2)*(因素修正幅度!C3:G3=E2)*(因素修正幅度!C87:G126))</f>
        <v>0.1</v>
      </c>
      <c r="O5" s="1119"/>
      <c r="P5" s="1119"/>
      <c r="Q5" s="1119"/>
      <c r="R5" s="1212">
        <v>4</v>
      </c>
      <c r="S5" s="3361">
        <f>ROUND(SUMPRODUCT((B106:B110=R5)*(C105:N105=G2)*(C106:N110)),4)</f>
        <v>0.88239999999999996</v>
      </c>
      <c r="T5" s="3361">
        <f t="shared" si="0"/>
        <v>12527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12039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4</v>
      </c>
      <c r="AA7" s="1216"/>
      <c r="AB7" s="1216"/>
      <c r="AC7" s="1217"/>
      <c r="AD7" s="1218"/>
      <c r="AE7" s="1218"/>
      <c r="AF7" s="1218"/>
      <c r="AG7" s="1218"/>
      <c r="AH7" s="1218"/>
      <c r="AI7" s="1218"/>
      <c r="AJ7" s="1219"/>
    </row>
    <row r="8" spans="1:36" ht="25.5">
      <c r="A8" s="3299"/>
      <c r="B8" s="170" t="s">
        <v>1957</v>
      </c>
      <c r="C8" s="2026" t="s">
        <v>4650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94" t="s">
        <v>1960</v>
      </c>
      <c r="X8" s="369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96"/>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9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1.05</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476" t="s">
        <v>4666</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4651</v>
      </c>
      <c r="D15" s="2044" t="s">
        <v>4651</v>
      </c>
      <c r="E15" s="2045" t="s">
        <v>4652</v>
      </c>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1.1000000000000001</v>
      </c>
      <c r="F16" s="3318">
        <v>1.05</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0.92600000000000005</v>
      </c>
      <c r="D17" s="3322" t="s">
        <v>3254</v>
      </c>
      <c r="E17" s="3331">
        <f>ROUND(G18/I18,2)</f>
        <v>0.74</v>
      </c>
      <c r="F17" s="3322" t="s">
        <v>3257</v>
      </c>
      <c r="G17" s="3331">
        <f>ROUND(E19/G19,2)</f>
        <v>0.5</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v>20</v>
      </c>
      <c r="F18" s="3324" t="s">
        <v>3258</v>
      </c>
      <c r="G18" s="3328">
        <f>ROUND(1-(1/(POWER(1+G24,E18))),4)</f>
        <v>0.6573</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f>'数据-基础表'!B3/2</f>
        <v>84303.190000000584</v>
      </c>
      <c r="F19" s="3339" t="s">
        <v>3259</v>
      </c>
      <c r="G19" s="3338">
        <f>'数据-基础表'!B3</f>
        <v>168606.38000000117</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01" t="s">
        <v>3261</v>
      </c>
      <c r="B20" s="167" t="s">
        <v>1994</v>
      </c>
      <c r="C20" s="3325">
        <f>ROUND(IF(F21="与级别开发程度一致",0,(G21-E21)/C21),0)</f>
        <v>0</v>
      </c>
      <c r="D20" s="3341" t="s">
        <v>1998</v>
      </c>
      <c r="E20" s="3342"/>
      <c r="F20" s="3707" t="s">
        <v>1995</v>
      </c>
      <c r="G20" s="3708"/>
      <c r="H20" s="3326" t="s">
        <v>4653</v>
      </c>
      <c r="I20" s="3326" t="s">
        <v>4654</v>
      </c>
      <c r="J20" s="3327" t="s">
        <v>4655</v>
      </c>
      <c r="K20" s="2047" t="s">
        <v>4656</v>
      </c>
      <c r="L20" s="2047" t="s">
        <v>4657</v>
      </c>
      <c r="M20" s="2047" t="s">
        <v>4658</v>
      </c>
      <c r="N20" s="2047" t="s">
        <v>4659</v>
      </c>
      <c r="O20" s="2048" t="s">
        <v>4660</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0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4661</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44963</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v>
      </c>
      <c r="D24" s="2060" t="s">
        <v>2007</v>
      </c>
      <c r="E24" s="1335">
        <f>存贷款利率!E22/100</f>
        <v>4.3499999999999997E-2</v>
      </c>
      <c r="F24" s="2060" t="s">
        <v>1999</v>
      </c>
      <c r="G24" s="768">
        <f>SUMIF(M30:Q30,E2,M33:Q33)</f>
        <v>5.5E-2</v>
      </c>
      <c r="H24" s="2060" t="s">
        <v>2008</v>
      </c>
      <c r="I24" s="769">
        <f>SUMIF('数据-取费表'!C6:C15,E2,'数据-取费表'!F6:F15)/COUNTIF('数据-取费表'!C6:C15,E2)</f>
        <v>32.11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0.93540000000000001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0.93540000000000001</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0.93540000000000001</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0.93540000000000001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1.1000000000000001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150265</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7240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13280</v>
      </c>
      <c r="D33" s="2098">
        <f>'数据-汇总表'!F19</f>
        <v>91353.25</v>
      </c>
      <c r="E33" s="773">
        <f>ROUND(C33*D33/10000,0)</f>
        <v>121317</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3320</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5"/>
      <c r="B37" s="2113" t="s">
        <v>2036</v>
      </c>
      <c r="C37" s="175">
        <f>ROUND(D5*C22*C23*C24*C28*F37,0)</f>
        <v>8518</v>
      </c>
      <c r="D37" s="3843">
        <f>'数据-汇总表'!G19</f>
        <v>20550.680000000008</v>
      </c>
      <c r="E37" s="171">
        <f>ROUND(C37*D37/10000,0)</f>
        <v>17505</v>
      </c>
      <c r="F37" s="171">
        <f>SUMIF(修正!A57:A68,G2,修正!B57:B68)</f>
        <v>0.6</v>
      </c>
      <c r="G37" s="171">
        <f>ROUND(IF(E2="工业",C37*$M$42,C37*$M$41),0)</f>
        <v>2130</v>
      </c>
      <c r="H37" s="171">
        <f>D37</f>
        <v>20550.680000000008</v>
      </c>
      <c r="I37" s="171">
        <f>ROUND(G37*H37/10000,0)</f>
        <v>4377</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6"/>
      <c r="B38" s="2041" t="s">
        <v>2037</v>
      </c>
      <c r="C38" s="175">
        <f>ROUND(D5*C22*C23*C24*C28*F38,0)</f>
        <v>4259</v>
      </c>
      <c r="D38" s="2098"/>
      <c r="E38" s="171">
        <f t="shared" ref="E38:E42" si="4">ROUND(C38*D38/10000,0)</f>
        <v>0</v>
      </c>
      <c r="F38" s="171">
        <f>SUMIF(修正!A57:A68,G2,修正!C57:C68)</f>
        <v>0.3</v>
      </c>
      <c r="G38" s="171">
        <f>ROUND(IF(E2="工业",C38*$M$42,C38*$M$41),0)</f>
        <v>1065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06"/>
      <c r="B39" s="2041" t="s">
        <v>3266</v>
      </c>
      <c r="C39" s="175">
        <f>ROUND(D5*C22*C23*C24*C28*F39,0)</f>
        <v>3549</v>
      </c>
      <c r="D39" s="2098"/>
      <c r="E39" s="171">
        <f t="shared" si="4"/>
        <v>0</v>
      </c>
      <c r="F39" s="171">
        <f>SUMIF(修正!A57:A68,G2,修正!D57:D68)</f>
        <v>0.25</v>
      </c>
      <c r="G39" s="171">
        <f>ROUND(IF(E2="工业",C39*$M$42,C39*$M$41),0)</f>
        <v>887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3549</v>
      </c>
      <c r="D40" s="2098"/>
      <c r="E40" s="171">
        <f t="shared" si="4"/>
        <v>0</v>
      </c>
      <c r="F40" s="175">
        <f>SUMIF(修正!A57:A68,G2,修正!E57:E68)</f>
        <v>0.25</v>
      </c>
      <c r="G40" s="171">
        <f>ROUND(IF(E2="工业",C40*$M$42,C40*$M$41),0)</f>
        <v>887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3364</v>
      </c>
      <c r="D41" s="2098"/>
      <c r="E41" s="171">
        <f t="shared" si="4"/>
        <v>0</v>
      </c>
      <c r="F41" s="175">
        <f>SUMIF(修正!A57:A68,G2,修正!F57:F68)</f>
        <v>0.25</v>
      </c>
      <c r="G41" s="171">
        <f>ROUND(IF(E2="工业",C41*$M$42,C41*$M$41),0)</f>
        <v>841</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2018</v>
      </c>
      <c r="D42" s="2103">
        <f>'数据-汇总表'!G20</f>
        <v>56702.450000001169</v>
      </c>
      <c r="E42" s="187">
        <f t="shared" si="4"/>
        <v>11443</v>
      </c>
      <c r="F42" s="767">
        <f>SUMIF(修正!A57:A68,G2,修正!G57:G68)</f>
        <v>0.15</v>
      </c>
      <c r="G42" s="187">
        <f>ROUND(IF(E2="工业",C42*$M$42,C42*$M$41),0)</f>
        <v>505</v>
      </c>
      <c r="H42" s="187">
        <f t="shared" si="5"/>
        <v>56702.450000001169</v>
      </c>
      <c r="I42" s="187">
        <f t="shared" si="6"/>
        <v>2863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0.88139999999999996</v>
      </c>
      <c r="D44" s="171" t="s">
        <v>1999</v>
      </c>
      <c r="E44" s="2153">
        <f>G24</f>
        <v>5.5E-2</v>
      </c>
      <c r="F44" s="171" t="s">
        <v>2008</v>
      </c>
      <c r="G44" s="183">
        <f>项目基本情况!D15</f>
        <v>32.11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1.1000000000000001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4665</v>
      </c>
      <c r="D50" s="1065">
        <f t="shared" ref="D50:D58" si="7">SUMIF($J$49:$N$49,C50,J50:N50)</f>
        <v>0.03</v>
      </c>
      <c r="E50" s="744">
        <f>ROUND(SUM(D50:D58),4)</f>
        <v>0.1</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4665</v>
      </c>
      <c r="D51" s="1065">
        <f t="shared" si="7"/>
        <v>2.1999999999999999E-2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4665</v>
      </c>
      <c r="D52" s="1065">
        <f t="shared" si="7"/>
        <v>1.2E-2</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4665</v>
      </c>
      <c r="D53" s="1065">
        <f t="shared" si="7"/>
        <v>5.0000000000000001E-3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4665</v>
      </c>
      <c r="D54" s="1065">
        <f t="shared" si="7"/>
        <v>8.0000000000000002E-3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4665</v>
      </c>
      <c r="D55" s="1065">
        <f t="shared" si="7"/>
        <v>5.0000000000000001E-3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4665</v>
      </c>
      <c r="D56" s="1065">
        <f t="shared" si="7"/>
        <v>5.0000000000000001E-3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4665</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4665</v>
      </c>
      <c r="D58" s="1065">
        <f t="shared" si="7"/>
        <v>5.0000000000000001E-3</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03" t="s">
        <v>3301</v>
      </c>
      <c r="B103" s="3703"/>
      <c r="C103" s="3703"/>
      <c r="D103" s="3703"/>
      <c r="E103" s="3703"/>
      <c r="F103" s="3703"/>
      <c r="G103" s="3703"/>
      <c r="H103" s="3703"/>
      <c r="I103" s="3703"/>
      <c r="J103" s="3703"/>
      <c r="K103" s="3390"/>
      <c r="L103" s="3390"/>
      <c r="M103" s="3390"/>
      <c r="N103" s="3390"/>
    </row>
    <row r="104" spans="1:14">
      <c r="A104" s="3704" t="s">
        <v>3302</v>
      </c>
      <c r="B104" s="3704" t="s">
        <v>3303</v>
      </c>
      <c r="C104" s="3391" t="s">
        <v>3304</v>
      </c>
      <c r="D104" s="3392"/>
      <c r="E104" s="3392"/>
      <c r="F104" s="3392"/>
      <c r="G104" s="3392"/>
      <c r="H104" s="3392"/>
      <c r="I104" s="3392"/>
      <c r="J104" s="3393"/>
      <c r="K104" s="3394"/>
      <c r="L104" s="3394"/>
      <c r="M104" s="3394"/>
      <c r="N104" s="3394"/>
    </row>
    <row r="105" spans="1:14">
      <c r="A105" s="3704"/>
      <c r="B105" s="3704"/>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90"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1"/>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9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93" t="s">
        <v>3318</v>
      </c>
      <c r="B113" s="3693"/>
      <c r="C113" s="3693"/>
      <c r="D113" s="3693"/>
      <c r="E113" s="3693"/>
      <c r="F113" s="3693"/>
      <c r="G113" s="3693"/>
      <c r="H113" s="3693"/>
      <c r="I113" s="3693"/>
      <c r="J113" s="369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4</v>
      </c>
      <c r="C116" s="3400" t="s">
        <v>3320</v>
      </c>
      <c r="D116" s="3401">
        <f>SUMPRODUCT((A118:A122=F116)*(B117:M117=H116)*B118:M122)</f>
        <v>0.89300000000000002</v>
      </c>
      <c r="E116" s="2000" t="s">
        <v>3321</v>
      </c>
      <c r="F116" s="3402" t="str">
        <f>E2</f>
        <v>商业</v>
      </c>
      <c r="G116" s="2000" t="s">
        <v>3322</v>
      </c>
      <c r="H116" s="3402" t="str">
        <f>G2</f>
        <v>五级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0.95279999999999998</v>
      </c>
      <c r="C118" s="3388">
        <f>B118</f>
        <v>0.95279999999999998</v>
      </c>
      <c r="D118" s="3388">
        <f>ROUND(0.949-0.014*B116,4)</f>
        <v>0.89300000000000002</v>
      </c>
      <c r="E118" s="3388">
        <f>D118</f>
        <v>0.89300000000000002</v>
      </c>
      <c r="F118" s="3388">
        <f>E118</f>
        <v>0.89300000000000002</v>
      </c>
      <c r="G118" s="3388">
        <f>F118</f>
        <v>0.89300000000000002</v>
      </c>
      <c r="H118" s="3388">
        <f>G118</f>
        <v>0.89300000000000002</v>
      </c>
      <c r="I118" s="3388">
        <f>ROUND(0.8486-0.018*B116,4)</f>
        <v>0.77659999999999996</v>
      </c>
      <c r="J118" s="3388">
        <f t="shared" ref="J118:M122" si="36">I118</f>
        <v>0.77659999999999996</v>
      </c>
      <c r="K118" s="3388">
        <f t="shared" si="36"/>
        <v>0.77659999999999996</v>
      </c>
      <c r="L118" s="3388">
        <f t="shared" si="36"/>
        <v>0.77659999999999996</v>
      </c>
      <c r="M118" s="3411">
        <f t="shared" si="36"/>
        <v>0.77659999999999996</v>
      </c>
      <c r="N118" s="3398"/>
    </row>
    <row r="119" spans="1:14">
      <c r="A119" s="3410" t="s">
        <v>3336</v>
      </c>
      <c r="B119" s="3388">
        <f>ROUND(0.993-0.0112*B116,4)</f>
        <v>0.94820000000000004</v>
      </c>
      <c r="C119" s="3388">
        <f>B119</f>
        <v>0.94820000000000004</v>
      </c>
      <c r="D119" s="3388">
        <f>ROUND(0.9415-0.0142*B116,4)</f>
        <v>0.88470000000000004</v>
      </c>
      <c r="E119" s="3388">
        <f t="shared" ref="E119:H120" si="37">D119</f>
        <v>0.88470000000000004</v>
      </c>
      <c r="F119" s="3388">
        <f t="shared" si="37"/>
        <v>0.88470000000000004</v>
      </c>
      <c r="G119" s="3388">
        <f t="shared" si="37"/>
        <v>0.88470000000000004</v>
      </c>
      <c r="H119" s="3388">
        <f t="shared" si="37"/>
        <v>0.88470000000000004</v>
      </c>
      <c r="I119" s="3388">
        <f>ROUND(0.838-0.0182*B116,4)</f>
        <v>0.76519999999999999</v>
      </c>
      <c r="J119" s="3388">
        <f t="shared" si="36"/>
        <v>0.76519999999999999</v>
      </c>
      <c r="K119" s="3388">
        <f t="shared" si="36"/>
        <v>0.76519999999999999</v>
      </c>
      <c r="L119" s="3388">
        <f t="shared" si="36"/>
        <v>0.76519999999999999</v>
      </c>
      <c r="M119" s="3411">
        <f t="shared" si="36"/>
        <v>0.76519999999999999</v>
      </c>
      <c r="N119" s="3398"/>
    </row>
    <row r="120" spans="1:14">
      <c r="A120" s="3410" t="s">
        <v>3337</v>
      </c>
      <c r="B120" s="3388">
        <f>ROUND(0.9448-0.0115*B116,4)</f>
        <v>0.89880000000000004</v>
      </c>
      <c r="C120" s="3388">
        <f>B120</f>
        <v>0.89880000000000004</v>
      </c>
      <c r="D120" s="3388">
        <f>ROUND(0.937-0.0145*B116,4)</f>
        <v>0.879</v>
      </c>
      <c r="E120" s="3388">
        <f t="shared" si="37"/>
        <v>0.879</v>
      </c>
      <c r="F120" s="3388">
        <f t="shared" si="37"/>
        <v>0.879</v>
      </c>
      <c r="G120" s="3388">
        <f t="shared" si="37"/>
        <v>0.879</v>
      </c>
      <c r="H120" s="3388">
        <f t="shared" si="37"/>
        <v>0.879</v>
      </c>
      <c r="I120" s="3388">
        <f>ROUND(0.7965-0.0185*B116,4)</f>
        <v>0.72250000000000003</v>
      </c>
      <c r="J120" s="3388">
        <f t="shared" si="36"/>
        <v>0.72250000000000003</v>
      </c>
      <c r="K120" s="3388">
        <f t="shared" si="36"/>
        <v>0.72250000000000003</v>
      </c>
      <c r="L120" s="3388">
        <f t="shared" si="36"/>
        <v>0.72250000000000003</v>
      </c>
      <c r="M120" s="3411">
        <f t="shared" si="36"/>
        <v>0.72250000000000003</v>
      </c>
      <c r="N120" s="3398"/>
    </row>
    <row r="121" spans="1:14" ht="13.5" thickBot="1">
      <c r="A121" s="3412" t="s">
        <v>3338</v>
      </c>
      <c r="B121" s="3413">
        <f>ROUND(0.7836-0.012*B116,4)</f>
        <v>0.73560000000000003</v>
      </c>
      <c r="C121" s="3413">
        <f>B121</f>
        <v>0.73560000000000003</v>
      </c>
      <c r="D121" s="3413">
        <f>ROUND(0.753-0.015*B116,4)</f>
        <v>0.69299999999999995</v>
      </c>
      <c r="E121" s="3413">
        <f>D121</f>
        <v>0.69299999999999995</v>
      </c>
      <c r="F121" s="3413">
        <f>E121</f>
        <v>0.69299999999999995</v>
      </c>
      <c r="G121" s="3413">
        <f>ROUND(0.6612-0.018*B116,4)</f>
        <v>0.58919999999999995</v>
      </c>
      <c r="H121" s="3413">
        <f>G121</f>
        <v>0.58919999999999995</v>
      </c>
      <c r="I121" s="3413">
        <f>ROUND(0.5905-0.019*B116,4)</f>
        <v>0.51449999999999996</v>
      </c>
      <c r="J121" s="3413">
        <f t="shared" si="36"/>
        <v>0.51449999999999996</v>
      </c>
      <c r="K121" s="3413">
        <f t="shared" si="36"/>
        <v>0.51449999999999996</v>
      </c>
      <c r="L121" s="3413">
        <f t="shared" si="36"/>
        <v>0.51449999999999996</v>
      </c>
      <c r="M121" s="3414">
        <f t="shared" si="36"/>
        <v>0.51449999999999996</v>
      </c>
      <c r="N121" s="3398"/>
    </row>
    <row r="122" spans="1:14">
      <c r="A122" s="3415" t="s">
        <v>2615</v>
      </c>
      <c r="B122" s="3388">
        <f>ROUND(0.9404-0.0106*B116,4)</f>
        <v>0.89800000000000002</v>
      </c>
      <c r="C122" s="3388">
        <f>B122</f>
        <v>0.89800000000000002</v>
      </c>
      <c r="D122" s="3388">
        <f>ROUND(0.8955-0.0135*B116,4)</f>
        <v>0.84150000000000003</v>
      </c>
      <c r="E122" s="3388">
        <f t="shared" ref="E122:H122" si="38">D122</f>
        <v>0.84150000000000003</v>
      </c>
      <c r="F122" s="3388">
        <f t="shared" si="38"/>
        <v>0.84150000000000003</v>
      </c>
      <c r="G122" s="3388">
        <f t="shared" si="38"/>
        <v>0.84150000000000003</v>
      </c>
      <c r="H122" s="3388">
        <f t="shared" si="38"/>
        <v>0.84150000000000003</v>
      </c>
      <c r="I122" s="3388">
        <f>ROUND(0.7632-0.0166*B116,4)</f>
        <v>0.69679999999999997</v>
      </c>
      <c r="J122" s="3388">
        <f t="shared" si="36"/>
        <v>0.69679999999999997</v>
      </c>
      <c r="K122" s="3388">
        <f t="shared" si="36"/>
        <v>0.69679999999999997</v>
      </c>
      <c r="L122" s="3388">
        <f t="shared" si="36"/>
        <v>0.69679999999999997</v>
      </c>
      <c r="M122" s="3411">
        <f t="shared" si="36"/>
        <v>0.69679999999999997</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51" sqref="K5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32.11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392902</v>
      </c>
      <c r="C2" s="1387" t="s">
        <v>805</v>
      </c>
      <c r="D2" s="1387"/>
      <c r="E2" s="1388"/>
      <c r="F2" s="1389"/>
      <c r="G2" s="2706"/>
      <c r="H2" s="2695"/>
      <c r="I2" s="2695"/>
      <c r="J2" s="2695"/>
      <c r="K2" s="2696"/>
      <c r="L2" s="2695"/>
      <c r="M2" s="2695"/>
    </row>
    <row r="3" spans="1:37" ht="18" customHeight="1" thickBot="1">
      <c r="A3" s="1390" t="s">
        <v>806</v>
      </c>
      <c r="B3" s="1391">
        <f ca="1">IF(ISERROR(B2*10000/F43),0,ROUND(B2*10000/F43,0))</f>
        <v>35111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31302.516847400002</v>
      </c>
      <c r="D5" s="1364" t="s">
        <v>693</v>
      </c>
      <c r="E5" s="1071"/>
      <c r="F5" s="1072"/>
      <c r="G5" s="1384"/>
      <c r="H5" s="299">
        <v>1</v>
      </c>
      <c r="I5" s="300" t="s">
        <v>692</v>
      </c>
      <c r="J5" s="1070">
        <f ca="1">J6+J10+J12</f>
        <v>28781</v>
      </c>
      <c r="K5" s="1364" t="s">
        <v>693</v>
      </c>
      <c r="L5" s="1071"/>
      <c r="M5" s="1072"/>
    </row>
    <row r="6" spans="1:37" ht="18" customHeight="1">
      <c r="A6" s="1069" t="s">
        <v>398</v>
      </c>
      <c r="B6" s="3711" t="s">
        <v>694</v>
      </c>
      <c r="C6" s="1074">
        <f ca="1">ROUND(F6*F8*F7*(1-F9)/10000,0)</f>
        <v>23241</v>
      </c>
      <c r="D6" s="155" t="s">
        <v>2109</v>
      </c>
      <c r="E6" s="302" t="s">
        <v>696</v>
      </c>
      <c r="F6" s="303">
        <f ca="1">INDIRECT("'数据-取费表'!u"&amp;$G$1)</f>
        <v>5.69</v>
      </c>
      <c r="G6" s="1384"/>
      <c r="H6" s="1069" t="s">
        <v>398</v>
      </c>
      <c r="I6" s="3711" t="s">
        <v>694</v>
      </c>
      <c r="J6" s="301">
        <f ca="1">ROUND(M6*M8*M7*(1-M9)/10000,0)</f>
        <v>28781</v>
      </c>
      <c r="K6" s="155" t="s">
        <v>2108</v>
      </c>
      <c r="L6" s="302" t="s">
        <v>696</v>
      </c>
      <c r="M6" s="303">
        <f ca="1">INDIRECT("'数据-取费表'!z"&amp;$G$1)</f>
        <v>8.2899999999999991</v>
      </c>
    </row>
    <row r="7" spans="1:37" ht="18" customHeight="1">
      <c r="A7" s="1073"/>
      <c r="B7" s="3712"/>
      <c r="C7" s="1075"/>
      <c r="D7" s="307"/>
      <c r="E7" s="1076" t="s">
        <v>697</v>
      </c>
      <c r="F7" s="303">
        <f ca="1">IF(INDIRECT("'数据-取费表'!ah"&amp;$G$1)="",INDIRECT("'数据-取费表'!k"&amp;$G$1),INDIRECT("'数据-取费表'!ah"&amp;$G$1))</f>
        <v>111903.93000000001</v>
      </c>
      <c r="G7" s="1384"/>
      <c r="H7" s="304"/>
      <c r="I7" s="3712"/>
      <c r="J7" s="306"/>
      <c r="K7" s="307"/>
      <c r="L7" s="302" t="s">
        <v>697</v>
      </c>
      <c r="M7" s="303">
        <f ca="1">F7</f>
        <v>111903.93000000001</v>
      </c>
    </row>
    <row r="8" spans="1:37" ht="18" customHeight="1">
      <c r="A8" s="304"/>
      <c r="B8" s="3712"/>
      <c r="C8" s="306"/>
      <c r="D8" s="307"/>
      <c r="E8" s="302" t="s">
        <v>698</v>
      </c>
      <c r="F8" s="303">
        <f ca="1">INDIRECT("'数据-取费表'!ai"&amp;$G$1)</f>
        <v>365</v>
      </c>
      <c r="G8" s="1384"/>
      <c r="H8" s="304"/>
      <c r="I8" s="3712"/>
      <c r="J8" s="306"/>
      <c r="K8" s="307"/>
      <c r="L8" s="302" t="s">
        <v>698</v>
      </c>
      <c r="M8" s="303">
        <f ca="1">INDIRECT("'数据-取费表'!ai"&amp;$G$1)</f>
        <v>365</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0.15</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3485">
        <f>全年预估!C4+全年预估!C5+全年预估!C6+全年预估!C7+全年预估!C9</f>
        <v>8061.5168474000002</v>
      </c>
      <c r="D12" s="1085"/>
      <c r="E12" s="1090"/>
      <c r="F12" s="1086"/>
      <c r="G12" s="1384"/>
      <c r="H12" s="1083" t="s">
        <v>437</v>
      </c>
      <c r="I12" s="1369" t="s">
        <v>703</v>
      </c>
      <c r="J12" s="1084"/>
      <c r="K12" s="1098"/>
      <c r="L12" s="1090"/>
      <c r="M12" s="1099"/>
    </row>
    <row r="13" spans="1:37" ht="18" customHeight="1" thickTop="1">
      <c r="A13" s="1079">
        <v>2</v>
      </c>
      <c r="B13" s="1080" t="s">
        <v>704</v>
      </c>
      <c r="C13" s="310">
        <f ca="1">ROUND(C29*F13,0)</f>
        <v>73742</v>
      </c>
      <c r="D13" s="1081" t="s">
        <v>705</v>
      </c>
      <c r="E13" s="1081" t="s">
        <v>706</v>
      </c>
      <c r="F13" s="1082">
        <f ca="1">INDIRECT("'数据-取费表'!y"&amp;$G$1)</f>
        <v>0.88</v>
      </c>
      <c r="G13" s="1384"/>
      <c r="H13" s="1079">
        <v>2</v>
      </c>
      <c r="I13" s="1080" t="s">
        <v>704</v>
      </c>
      <c r="J13" s="1068">
        <f ca="1">ROUND(J14*J15,0)</f>
        <v>56145</v>
      </c>
      <c r="K13" s="1087" t="s">
        <v>705</v>
      </c>
      <c r="L13" s="1392"/>
      <c r="M13" s="1393"/>
    </row>
    <row r="14" spans="1:37" ht="18" customHeight="1">
      <c r="A14" s="982" t="s">
        <v>397</v>
      </c>
      <c r="B14" s="302" t="s">
        <v>707</v>
      </c>
      <c r="C14" s="318">
        <f ca="1">INDIRECT("'数据-取费表'!m"&amp;$G$1)+INDIRECT("'数据-取费表'!t"&amp;$G$1)</f>
        <v>55952</v>
      </c>
      <c r="D14" s="1345" t="s">
        <v>708</v>
      </c>
      <c r="E14" s="1342"/>
      <c r="F14" s="319"/>
      <c r="G14" s="1384"/>
      <c r="H14" s="982" t="s">
        <v>398</v>
      </c>
      <c r="I14" s="302" t="s">
        <v>709</v>
      </c>
      <c r="J14" s="21">
        <f ca="1">C29</f>
        <v>83798</v>
      </c>
      <c r="K14" s="12"/>
      <c r="L14" s="807"/>
      <c r="M14" s="808"/>
    </row>
    <row r="15" spans="1:37" s="1397" customFormat="1" ht="18" customHeight="1" thickBot="1">
      <c r="A15" s="982" t="s">
        <v>399</v>
      </c>
      <c r="B15" s="302" t="s">
        <v>710</v>
      </c>
      <c r="C15" s="21">
        <f ca="1">ROUND(C14*F15,0)</f>
        <v>1679</v>
      </c>
      <c r="D15" s="320" t="s">
        <v>711</v>
      </c>
      <c r="E15" s="320" t="s">
        <v>712</v>
      </c>
      <c r="F15" s="321">
        <f>'数据-取费表'!B33</f>
        <v>0.03</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6741</v>
      </c>
      <c r="K16" s="1087" t="s">
        <v>715</v>
      </c>
      <c r="L16" s="1088"/>
      <c r="M16" s="1072"/>
    </row>
    <row r="17" spans="1:37" s="1397" customFormat="1" ht="18" customHeight="1">
      <c r="A17" s="982" t="s">
        <v>681</v>
      </c>
      <c r="B17" s="302" t="s">
        <v>716</v>
      </c>
      <c r="C17" s="21">
        <f ca="1">ROUND(F17*(F43+INDIRECT("'数据-取费表'!S"&amp;$G$1))/10000,0)</f>
        <v>2238</v>
      </c>
      <c r="D17" s="302" t="s">
        <v>717</v>
      </c>
      <c r="E17" s="302" t="s">
        <v>718</v>
      </c>
      <c r="F17" s="23">
        <f>'数据-取费表'!B35</f>
        <v>200</v>
      </c>
      <c r="G17" s="1396"/>
      <c r="H17" s="982" t="s">
        <v>398</v>
      </c>
      <c r="I17" s="302" t="s">
        <v>719</v>
      </c>
      <c r="J17" s="2316">
        <f ca="1">ROUND(IF(AND(项目基本情况!B11="自然人",项目基本情况!B10="北京市"),J6*M17/(1+'数据-取费表'!C42),J18+J19+J20),2)</f>
        <v>4824.25</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839</v>
      </c>
      <c r="D18" s="302" t="s">
        <v>711</v>
      </c>
      <c r="E18" s="302" t="s">
        <v>712</v>
      </c>
      <c r="F18" s="322">
        <f>'数据-取费表'!B36</f>
        <v>1.4999999999999999E-2</v>
      </c>
      <c r="G18" s="1396"/>
      <c r="H18" s="982" t="s">
        <v>397</v>
      </c>
      <c r="I18" s="302" t="s">
        <v>723</v>
      </c>
      <c r="J18" s="21">
        <f ca="1">ROUND(J6*M18/(1+'数据-取费表'!C42),2)</f>
        <v>1534.99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60708</v>
      </c>
      <c r="D19" s="131" t="s">
        <v>726</v>
      </c>
      <c r="E19" s="1360"/>
      <c r="F19" s="23"/>
      <c r="G19" s="1384"/>
      <c r="H19" s="982" t="s">
        <v>399</v>
      </c>
      <c r="I19" s="302" t="s">
        <v>727</v>
      </c>
      <c r="J19" s="21">
        <f ca="1">IF(K19="按租金收入计税",ROUND(J6*M19/(1+'数据-取费表'!C42),2),ROUND(C29*M19*0.7,2))</f>
        <v>3289.26</v>
      </c>
      <c r="K19" s="1370" t="s">
        <v>3343</v>
      </c>
      <c r="L19" s="302" t="s">
        <v>712</v>
      </c>
      <c r="M19" s="322">
        <f>IF(K19="按租金收入计税",'数据-取费表'!B51,'数据-取费表'!B50)</f>
        <v>0.12</v>
      </c>
    </row>
    <row r="20" spans="1:37" s="1397" customFormat="1" ht="18" customHeight="1">
      <c r="A20" s="982" t="s">
        <v>402</v>
      </c>
      <c r="B20" s="302" t="s">
        <v>728</v>
      </c>
      <c r="C20" s="21">
        <f ca="1">ROUND(C19*F20,0)</f>
        <v>1518</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1256.97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2582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84.22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575.62</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22040</v>
      </c>
      <c r="K25" s="1095" t="s">
        <v>753</v>
      </c>
      <c r="L25" s="1096"/>
      <c r="M25" s="1097"/>
    </row>
    <row r="26" spans="1:37">
      <c r="A26" s="982" t="s">
        <v>397</v>
      </c>
      <c r="B26" s="302" t="s">
        <v>754</v>
      </c>
      <c r="C26" s="21">
        <f ca="1">ROUND((C19+C20)*F26,0)</f>
        <v>12445</v>
      </c>
      <c r="D26" s="323" t="s">
        <v>755</v>
      </c>
      <c r="E26" s="313" t="s">
        <v>756</v>
      </c>
      <c r="F26" s="312">
        <f ca="1">INDIRECT("'数据-取费表'!q"&amp;$G$1)</f>
        <v>0.2</v>
      </c>
      <c r="G26" s="1384"/>
      <c r="H26" s="299" t="s">
        <v>395</v>
      </c>
      <c r="I26" s="300" t="s">
        <v>757</v>
      </c>
      <c r="J26" s="301">
        <f ca="1">IF(J5&lt;&gt;0,ROUND(J25*(1-((1+M28)/(1+M26))^M27)/(M26-M28),0),0)</f>
        <v>312220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18.229999999999997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83798</v>
      </c>
      <c r="D29" s="1092"/>
      <c r="E29" s="1090"/>
      <c r="F29" s="1093"/>
      <c r="G29" s="1396"/>
      <c r="H29" s="334" t="s">
        <v>396</v>
      </c>
      <c r="I29" s="335" t="s">
        <v>768</v>
      </c>
      <c r="J29" s="336">
        <f ca="1">ROUND(J26/(1+F40)^F41,0)</f>
        <v>148497</v>
      </c>
      <c r="K29" s="337" t="s">
        <v>769</v>
      </c>
      <c r="L29" s="338"/>
      <c r="M29" s="339">
        <f ca="1">INDIRECT("'数据-取费表'!k"&amp;$G$1)</f>
        <v>111903.93000000001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5889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3895.63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1239.52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2656.11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1256.97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110.61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626.04999999999995</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25413.516847400002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242299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13.88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21652</v>
      </c>
      <c r="D43" s="337" t="s">
        <v>777</v>
      </c>
      <c r="E43" s="338" t="s">
        <v>778</v>
      </c>
      <c r="F43" s="339">
        <f ca="1">INDIRECT("'数据-取费表'!k"&amp;$G$1)</f>
        <v>111903.93000000001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-255342</v>
      </c>
      <c r="D46" s="1406" t="str">
        <f>C2</f>
        <v>万元</v>
      </c>
      <c r="E46" s="1400"/>
      <c r="F46" s="1400"/>
      <c r="I46" s="1407" t="s">
        <v>810</v>
      </c>
      <c r="J46" s="1408"/>
      <c r="K46" s="1409"/>
      <c r="L46" s="1410">
        <f ca="1">IF(M47="住宅",0,IF(L48&gt;J51,L60,J60))</f>
        <v>2106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4850</v>
      </c>
      <c r="K47" s="1416" t="s">
        <v>816</v>
      </c>
      <c r="L47" s="1417">
        <f ca="1">INDIRECT("'数据-取费表'!d"&amp;$G$1)</f>
        <v>40</v>
      </c>
      <c r="M47" s="1380" t="str">
        <f>IF(ISNUMBER(FIND("住宅",C1)),"住宅","非住宅")</f>
        <v>非住宅</v>
      </c>
      <c r="O47" s="1418" t="s">
        <v>403</v>
      </c>
      <c r="P47" s="1419" t="s">
        <v>817</v>
      </c>
      <c r="Q47" s="1420">
        <f ca="1">C40+J29</f>
        <v>390796</v>
      </c>
      <c r="R47" s="1420" t="s">
        <v>818</v>
      </c>
    </row>
    <row r="48" spans="1:18" s="1384" customFormat="1" ht="28.5" thickBot="1">
      <c r="A48" s="1110" t="s">
        <v>438</v>
      </c>
      <c r="B48" s="300" t="s">
        <v>692</v>
      </c>
      <c r="C48" s="1359">
        <f ca="1">C49+C53+C55</f>
        <v>0</v>
      </c>
      <c r="D48" s="1112"/>
      <c r="E48" s="1113"/>
      <c r="F48" s="962"/>
      <c r="G48" s="722"/>
      <c r="H48" s="723"/>
      <c r="I48" s="1421" t="s">
        <v>819</v>
      </c>
      <c r="J48" s="1422" t="s">
        <v>4851</v>
      </c>
      <c r="K48" s="1423" t="s">
        <v>820</v>
      </c>
      <c r="L48" s="1424">
        <f ca="1">INDIRECT("'数据-取费表'!f"&amp;$G$1)</f>
        <v>32.11</v>
      </c>
      <c r="O48" s="1418" t="s">
        <v>404</v>
      </c>
      <c r="P48" s="1419" t="s">
        <v>821</v>
      </c>
      <c r="Q48" s="1420">
        <f ca="1">J60</f>
        <v>2106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83798</v>
      </c>
      <c r="R49" s="1420" t="s">
        <v>818</v>
      </c>
    </row>
    <row r="50" spans="1:18" s="1384" customFormat="1" ht="13.5" thickBot="1">
      <c r="A50" s="976"/>
      <c r="B50" s="979"/>
      <c r="C50" s="1118"/>
      <c r="D50" s="953"/>
      <c r="E50" s="1056" t="s">
        <v>697</v>
      </c>
      <c r="F50" s="1057">
        <f ca="1">F7</f>
        <v>111903.93000000001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354064</v>
      </c>
      <c r="M51" s="1436"/>
      <c r="O51" s="1428" t="s">
        <v>407</v>
      </c>
      <c r="P51" s="1419" t="s">
        <v>831</v>
      </c>
      <c r="Q51" s="1431">
        <f>J52</f>
        <v>0.09</v>
      </c>
      <c r="R51" s="1420"/>
    </row>
    <row r="52" spans="1:18" s="1384" customFormat="1" ht="13.5" thickBot="1">
      <c r="A52" s="977"/>
      <c r="B52" s="979"/>
      <c r="C52" s="980"/>
      <c r="D52" s="953"/>
      <c r="E52" s="981" t="s">
        <v>699</v>
      </c>
      <c r="F52" s="1054"/>
      <c r="I52" s="1437" t="s">
        <v>832</v>
      </c>
      <c r="J52" s="1438">
        <v>0.09</v>
      </c>
      <c r="K52" s="1437" t="s">
        <v>833</v>
      </c>
      <c r="L52" s="1438"/>
      <c r="O52" s="1428" t="s">
        <v>408</v>
      </c>
      <c r="P52" s="1419" t="s">
        <v>834</v>
      </c>
      <c r="Q52" s="1420">
        <f ca="1">J53</f>
        <v>32.11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32.11</v>
      </c>
      <c r="K53" s="3709" t="s">
        <v>837</v>
      </c>
      <c r="L53" s="3710"/>
      <c r="O53" s="1418" t="s">
        <v>409</v>
      </c>
      <c r="P53" s="1419" t="s">
        <v>838</v>
      </c>
      <c r="Q53" s="1420">
        <f ca="1">Q47+Q48</f>
        <v>392902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0.34799999999999998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73742</v>
      </c>
      <c r="D56" s="1447"/>
      <c r="E56" s="1448"/>
      <c r="F56" s="1440"/>
      <c r="I56" s="1449" t="s">
        <v>842</v>
      </c>
      <c r="J56" s="1450" t="s">
        <v>4852</v>
      </c>
      <c r="K56" s="1421" t="s">
        <v>843</v>
      </c>
      <c r="L56" s="1424" t="str">
        <f ca="1">IF(L48&lt;J51,"——",L48-J53)</f>
        <v>——</v>
      </c>
      <c r="O56" s="1418" t="s">
        <v>403</v>
      </c>
      <c r="P56" s="1419" t="s">
        <v>817</v>
      </c>
      <c r="Q56" s="1420">
        <f ca="1">C40+J29</f>
        <v>390796</v>
      </c>
      <c r="R56" s="1420" t="s">
        <v>818</v>
      </c>
    </row>
    <row r="57" spans="1:18" s="1384" customFormat="1" ht="24.75" thickBot="1">
      <c r="A57" s="1451"/>
      <c r="B57" s="950" t="s">
        <v>767</v>
      </c>
      <c r="C57" s="238">
        <f ca="1">C29</f>
        <v>83798</v>
      </c>
      <c r="D57" s="1452"/>
      <c r="E57" s="1453"/>
      <c r="F57" s="1454"/>
      <c r="I57" s="1455" t="s">
        <v>844</v>
      </c>
      <c r="J57" s="1456">
        <f ca="1">IF(OR(M47="住宅",J51&lt;L48,J56="是"),"——",J51-L48)</f>
        <v>20.89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1368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33519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390796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1256.97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110.61</v>
      </c>
      <c r="D65" s="964" t="s">
        <v>743</v>
      </c>
      <c r="E65" s="950" t="s">
        <v>744</v>
      </c>
      <c r="F65" s="330">
        <f t="shared" ca="1" si="0"/>
        <v>1.5E-3</v>
      </c>
      <c r="I65" s="1462" t="s">
        <v>867</v>
      </c>
      <c r="J65" s="1463">
        <v>40</v>
      </c>
      <c r="K65" s="1463">
        <v>30</v>
      </c>
      <c r="L65" s="1463">
        <v>50</v>
      </c>
      <c r="M65" s="1465">
        <v>0.02</v>
      </c>
      <c r="O65" s="1418" t="s">
        <v>403</v>
      </c>
      <c r="P65" s="1419" t="s">
        <v>868</v>
      </c>
      <c r="Q65" s="1420">
        <f ca="1">C40+J29</f>
        <v>390796</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-1368</v>
      </c>
      <c r="D67" s="963" t="s">
        <v>753</v>
      </c>
      <c r="E67" s="968"/>
      <c r="F67" s="969"/>
      <c r="O67" s="1428" t="s">
        <v>405</v>
      </c>
      <c r="P67" s="1419" t="s">
        <v>850</v>
      </c>
      <c r="Q67" s="1466">
        <f ca="1">L51</f>
        <v>354064</v>
      </c>
      <c r="R67" s="1420" t="s">
        <v>870</v>
      </c>
    </row>
    <row r="68" spans="1:18" s="1384" customFormat="1" ht="16.5" thickBot="1">
      <c r="A68" s="947" t="s">
        <v>395</v>
      </c>
      <c r="B68" s="948" t="s">
        <v>774</v>
      </c>
      <c r="C68" s="301">
        <f ca="1">ROUND(C67*(1-((1+F70)/(1+F68))^F69)/(F68-F70),0)</f>
        <v>-13043</v>
      </c>
      <c r="D68" s="965" t="s">
        <v>758</v>
      </c>
      <c r="E68" s="950" t="s">
        <v>759</v>
      </c>
      <c r="F68" s="312">
        <f ca="1">F40</f>
        <v>5.5E-2</v>
      </c>
      <c r="O68" s="1428" t="s">
        <v>406</v>
      </c>
      <c r="P68" s="1467" t="s">
        <v>871</v>
      </c>
      <c r="Q68" s="1420">
        <f ca="1">ROUND(Q69-Q70*Q71,0)</f>
        <v>19145</v>
      </c>
      <c r="R68" s="1420" t="s">
        <v>414</v>
      </c>
    </row>
    <row r="69" spans="1:18" s="1384" customFormat="1" ht="13.5" thickBot="1">
      <c r="A69" s="951"/>
      <c r="B69" s="952"/>
      <c r="C69" s="306"/>
      <c r="D69" s="970" t="s">
        <v>762</v>
      </c>
      <c r="E69" s="950" t="s">
        <v>763</v>
      </c>
      <c r="F69" s="333">
        <f ca="1">F41</f>
        <v>13.88</v>
      </c>
      <c r="O69" s="1428" t="s">
        <v>411</v>
      </c>
      <c r="P69" s="1467" t="s">
        <v>872</v>
      </c>
      <c r="Q69" s="1420">
        <f ca="1">C39</f>
        <v>25413.516847400002</v>
      </c>
      <c r="R69" s="1420" t="s">
        <v>818</v>
      </c>
    </row>
    <row r="70" spans="1:18" s="1384" customFormat="1" ht="13.5" thickBot="1">
      <c r="A70" s="954"/>
      <c r="B70" s="955"/>
      <c r="C70" s="310"/>
      <c r="D70" s="966"/>
      <c r="E70" s="950" t="s">
        <v>766</v>
      </c>
      <c r="F70" s="1054"/>
      <c r="O70" s="1428" t="s">
        <v>412</v>
      </c>
      <c r="P70" s="1467" t="s">
        <v>873</v>
      </c>
      <c r="Q70" s="1420">
        <f ca="1">C13</f>
        <v>73742</v>
      </c>
      <c r="R70" s="1420" t="s">
        <v>818</v>
      </c>
    </row>
    <row r="71" spans="1:18" s="1384" customFormat="1" ht="13.5" thickBot="1">
      <c r="A71" s="971" t="s">
        <v>396</v>
      </c>
      <c r="B71" s="972" t="s">
        <v>776</v>
      </c>
      <c r="C71" s="336">
        <f ca="1">ROUND(C68*10000/F71,0)</f>
        <v>-1166</v>
      </c>
      <c r="D71" s="973" t="s">
        <v>777</v>
      </c>
      <c r="E71" s="974" t="s">
        <v>778</v>
      </c>
      <c r="F71" s="339">
        <f ca="1">F43</f>
        <v>111903.93000000001</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6268</v>
      </c>
      <c r="D75" s="1384"/>
      <c r="E75" s="1384"/>
      <c r="F75" s="1384"/>
      <c r="K75" s="1402"/>
      <c r="L75" s="1384"/>
      <c r="O75" s="1418" t="s">
        <v>409</v>
      </c>
      <c r="P75" s="1419" t="s">
        <v>838</v>
      </c>
      <c r="Q75" s="1420">
        <f ca="1">Q65+Q66</f>
        <v>390796</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0.753</v>
      </c>
    </row>
    <row r="80" spans="1:18">
      <c r="B80" s="340" t="s">
        <v>800</v>
      </c>
      <c r="C80" s="274">
        <f ca="1">ROUND(C75/C39,3)</f>
        <v>0.247</v>
      </c>
    </row>
    <row r="81" spans="2:3">
      <c r="B81" s="270" t="s">
        <v>801</v>
      </c>
      <c r="C81" s="238"/>
    </row>
    <row r="82" spans="2:3">
      <c r="B82" s="273" t="s">
        <v>802</v>
      </c>
      <c r="C82" s="275">
        <f ca="1">1-C83</f>
        <v>0.69599999999999995</v>
      </c>
    </row>
    <row r="83" spans="2:3">
      <c r="B83" s="273" t="s">
        <v>803</v>
      </c>
      <c r="C83" s="274">
        <f ca="1">ROUND(C13/C40,3)</f>
        <v>0.30399999999999999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2106</v>
      </c>
      <c r="E6" s="302" t="s">
        <v>696</v>
      </c>
      <c r="F6" s="303">
        <f ca="1">INDIRECT("'数据-取费表'!u"&amp;$G$1)</f>
        <v>0</v>
      </c>
      <c r="G6" s="1384"/>
      <c r="H6" s="1069" t="s">
        <v>398</v>
      </c>
      <c r="I6" s="3711" t="s">
        <v>694</v>
      </c>
      <c r="J6" s="301">
        <f ca="1">ROUND(M6*M8*M7*(1-M9),0)</f>
        <v>0</v>
      </c>
      <c r="K6" s="1376"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20" t="s">
        <v>2320</v>
      </c>
      <c r="K2" s="372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2" t="s">
        <v>2330</v>
      </c>
      <c r="K3" s="372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2" t="s">
        <v>2332</v>
      </c>
      <c r="K4" s="372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8" t="s">
        <v>2336</v>
      </c>
      <c r="B6" s="3729"/>
      <c r="C6" s="3730"/>
      <c r="D6" s="2870"/>
      <c r="E6" s="2871"/>
      <c r="F6" s="2872"/>
      <c r="G6" s="2873"/>
      <c r="H6" s="2848"/>
      <c r="I6" s="2849"/>
      <c r="J6" s="3714">
        <v>1</v>
      </c>
      <c r="K6" s="371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4"/>
      <c r="K7" s="371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1" t="s">
        <v>2350</v>
      </c>
      <c r="C8" s="3732"/>
      <c r="D8" s="2889" t="s">
        <v>2351</v>
      </c>
      <c r="E8" s="2890" t="s">
        <v>2352</v>
      </c>
      <c r="F8" s="2891" t="s">
        <v>2353</v>
      </c>
      <c r="G8" s="2892"/>
      <c r="H8" s="2848"/>
      <c r="I8" s="2849"/>
      <c r="J8" s="3714"/>
      <c r="K8" s="371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1" t="s">
        <v>2356</v>
      </c>
      <c r="C9" s="3732"/>
      <c r="D9" s="2889">
        <f>ROUND(D6*E9,0)</f>
        <v>0</v>
      </c>
      <c r="E9" s="2893"/>
      <c r="F9" s="2894" t="s">
        <v>2357</v>
      </c>
      <c r="G9" s="2873"/>
      <c r="H9" s="2848"/>
      <c r="I9" s="2849"/>
      <c r="J9" s="3714"/>
      <c r="K9" s="3716"/>
      <c r="L9" s="2883" t="s">
        <v>2358</v>
      </c>
      <c r="M9" s="2884"/>
      <c r="N9" s="2860"/>
      <c r="O9" s="2885"/>
      <c r="P9" s="2885"/>
      <c r="Q9" s="2886">
        <v>365</v>
      </c>
      <c r="R9" s="2887">
        <f t="shared" si="0"/>
        <v>0</v>
      </c>
      <c r="S9" s="2841"/>
      <c r="T9" s="2841"/>
      <c r="U9" s="2841"/>
      <c r="V9" s="2849"/>
    </row>
    <row r="10" spans="1:22" s="2853" customFormat="1" ht="13.15" customHeight="1">
      <c r="A10" s="2888">
        <v>2</v>
      </c>
      <c r="B10" s="3731" t="s">
        <v>2359</v>
      </c>
      <c r="C10" s="3732"/>
      <c r="D10" s="2889">
        <f>ROUND(D6*E10,0)</f>
        <v>0</v>
      </c>
      <c r="E10" s="2893"/>
      <c r="F10" s="2894" t="s">
        <v>2360</v>
      </c>
      <c r="G10" s="2873"/>
      <c r="H10" s="2848"/>
      <c r="I10" s="2849"/>
      <c r="J10" s="3714"/>
      <c r="K10" s="3716"/>
      <c r="L10" s="2883" t="s">
        <v>2361</v>
      </c>
      <c r="M10" s="2884"/>
      <c r="N10" s="2860"/>
      <c r="O10" s="2885"/>
      <c r="P10" s="2885"/>
      <c r="Q10" s="2886">
        <v>365</v>
      </c>
      <c r="R10" s="2887">
        <f t="shared" si="0"/>
        <v>0</v>
      </c>
      <c r="S10" s="2841"/>
      <c r="T10" s="2841"/>
      <c r="U10" s="2841"/>
      <c r="V10" s="2849"/>
    </row>
    <row r="11" spans="1:22" s="2853" customFormat="1" ht="13.15" customHeight="1">
      <c r="A11" s="2888">
        <v>3</v>
      </c>
      <c r="B11" s="3731" t="s">
        <v>2362</v>
      </c>
      <c r="C11" s="3732"/>
      <c r="D11" s="2889">
        <f>D12+D14+D15+D16</f>
        <v>0</v>
      </c>
      <c r="E11" s="2895" t="e">
        <f>D11/D6</f>
        <v>#DIV/0!</v>
      </c>
      <c r="F11" s="2891"/>
      <c r="G11" s="2892"/>
      <c r="H11" s="2848"/>
      <c r="I11" s="2849"/>
      <c r="J11" s="3714"/>
      <c r="K11" s="371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4" t="s">
        <v>2365</v>
      </c>
      <c r="C12" s="3725"/>
      <c r="D12" s="2897">
        <f>ROUND(D13*1.2%*(1-30%),0)</f>
        <v>0</v>
      </c>
      <c r="E12" s="2898">
        <v>1.2E-2</v>
      </c>
      <c r="F12" s="2891" t="s">
        <v>2366</v>
      </c>
      <c r="G12" s="2892"/>
      <c r="H12" s="2848"/>
      <c r="I12" s="2849"/>
      <c r="J12" s="3714"/>
      <c r="K12" s="371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4"/>
      <c r="K13" s="371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4" t="s">
        <v>2371</v>
      </c>
      <c r="C14" s="3725"/>
      <c r="D14" s="2897">
        <f>ROUND(E14*B5/10000,0)</f>
        <v>0</v>
      </c>
      <c r="E14" s="2886"/>
      <c r="F14" s="2891" t="s">
        <v>2372</v>
      </c>
      <c r="G14" s="2892"/>
      <c r="H14" s="2848"/>
      <c r="I14" s="2849"/>
      <c r="J14" s="3714"/>
      <c r="K14" s="371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4" t="s">
        <v>2375</v>
      </c>
      <c r="C15" s="3725"/>
      <c r="D15" s="2897">
        <f>ROUND(D6*E15,0)</f>
        <v>0</v>
      </c>
      <c r="E15" s="2898">
        <v>5.5E-2</v>
      </c>
      <c r="F15" s="2891" t="s">
        <v>2376</v>
      </c>
      <c r="G15" s="2873"/>
      <c r="H15" s="2848"/>
      <c r="I15" s="2849"/>
      <c r="J15" s="3714">
        <v>2</v>
      </c>
      <c r="K15" s="371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4" t="s">
        <v>2384</v>
      </c>
      <c r="C16" s="3725"/>
      <c r="D16" s="2908">
        <f>D6*E16</f>
        <v>0</v>
      </c>
      <c r="E16" s="2909"/>
      <c r="F16" s="2894" t="s">
        <v>2385</v>
      </c>
      <c r="G16" s="2873"/>
      <c r="H16" s="2848"/>
      <c r="I16" s="2849"/>
      <c r="J16" s="3714"/>
      <c r="K16" s="371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2387</v>
      </c>
      <c r="C17" s="3727"/>
      <c r="D17" s="2911">
        <f>ROUND(D6*E17,0)</f>
        <v>0</v>
      </c>
      <c r="E17" s="2912"/>
      <c r="F17" s="2913" t="s">
        <v>2388</v>
      </c>
      <c r="G17" s="2873"/>
      <c r="H17" s="2848"/>
      <c r="I17" s="2849"/>
      <c r="J17" s="3714"/>
      <c r="K17" s="371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4"/>
      <c r="K18" s="371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4"/>
      <c r="K19" s="371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4"/>
      <c r="K21" s="371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4"/>
      <c r="K22" s="371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4"/>
      <c r="K23" s="371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4"/>
      <c r="K24" s="371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0" t="s">
        <v>2320</v>
      </c>
      <c r="K32" s="372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2" t="s">
        <v>2330</v>
      </c>
      <c r="K33" s="372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2" t="s">
        <v>2332</v>
      </c>
      <c r="K34" s="372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4">
        <v>1</v>
      </c>
      <c r="K36" s="371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4"/>
      <c r="K40" s="371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0"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4644</v>
      </c>
      <c r="D1" s="1362" t="s">
        <v>43</v>
      </c>
      <c r="E1" s="1363" t="s">
        <v>678</v>
      </c>
      <c r="F1" s="1062">
        <f ca="1">J53</f>
        <v>42.12</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22226</v>
      </c>
      <c r="C2" s="1387" t="s">
        <v>805</v>
      </c>
      <c r="D2" s="1387"/>
      <c r="E2" s="1388"/>
      <c r="F2" s="1389"/>
      <c r="G2" s="2706"/>
      <c r="H2" s="2695"/>
      <c r="I2" s="2695"/>
      <c r="J2" s="2695"/>
      <c r="K2" s="2696"/>
      <c r="L2" s="2695"/>
      <c r="M2" s="2695"/>
    </row>
    <row r="3" spans="1:37" ht="18" customHeight="1" thickBot="1">
      <c r="A3" s="1390" t="s">
        <v>806</v>
      </c>
      <c r="B3" s="1391">
        <f ca="1">IF(ISERROR(B2*10000/F43),0,ROUND(B2*10000/F43,0))</f>
        <v>3920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1304</v>
      </c>
      <c r="D5" s="1364" t="s">
        <v>693</v>
      </c>
      <c r="E5" s="1071"/>
      <c r="F5" s="1072"/>
      <c r="G5" s="1384"/>
      <c r="H5" s="299">
        <v>1</v>
      </c>
      <c r="I5" s="300" t="s">
        <v>692</v>
      </c>
      <c r="J5" s="1070">
        <f ca="1">J6+J10+J12</f>
        <v>1302</v>
      </c>
      <c r="K5" s="1364" t="s">
        <v>693</v>
      </c>
      <c r="L5" s="1071"/>
      <c r="M5" s="1072"/>
    </row>
    <row r="6" spans="1:37" ht="18" customHeight="1">
      <c r="A6" s="1069" t="s">
        <v>398</v>
      </c>
      <c r="B6" s="3711" t="s">
        <v>694</v>
      </c>
      <c r="C6" s="1074">
        <f ca="1">ROUND(F6*F8*F7*(1-F9)/10000,0)</f>
        <v>1304</v>
      </c>
      <c r="D6" s="155" t="s">
        <v>2109</v>
      </c>
      <c r="E6" s="302" t="s">
        <v>696</v>
      </c>
      <c r="F6" s="303">
        <f ca="1">INDIRECT("'数据-取费表'!u"&amp;$G$1)</f>
        <v>0.63</v>
      </c>
      <c r="G6" s="1384"/>
      <c r="H6" s="1069" t="s">
        <v>398</v>
      </c>
      <c r="I6" s="3711" t="s">
        <v>694</v>
      </c>
      <c r="J6" s="301">
        <f ca="1">ROUND(M6*M8*M7*(1-M9)/10000,0)</f>
        <v>1302</v>
      </c>
      <c r="K6" s="155" t="s">
        <v>2108</v>
      </c>
      <c r="L6" s="302" t="s">
        <v>696</v>
      </c>
      <c r="M6" s="303">
        <f ca="1">INDIRECT("'数据-取费表'!z"&amp;$G$1)</f>
        <v>0.74</v>
      </c>
    </row>
    <row r="7" spans="1:37" ht="18" customHeight="1">
      <c r="A7" s="1073"/>
      <c r="B7" s="3712"/>
      <c r="C7" s="1075"/>
      <c r="D7" s="307"/>
      <c r="E7" s="3458" t="s">
        <v>697</v>
      </c>
      <c r="F7" s="303">
        <f ca="1">IF(INDIRECT("'数据-取费表'!ah"&amp;$G$1)="",INDIRECT("'数据-取费表'!k"&amp;$G$1),INDIRECT("'数据-取费表'!ah"&amp;$G$1))</f>
        <v>56702.450000001169</v>
      </c>
      <c r="G7" s="1384"/>
      <c r="H7" s="304"/>
      <c r="I7" s="3712"/>
      <c r="J7" s="306"/>
      <c r="K7" s="307"/>
      <c r="L7" s="302" t="s">
        <v>697</v>
      </c>
      <c r="M7" s="303">
        <f ca="1">F7</f>
        <v>56702.450000001169</v>
      </c>
    </row>
    <row r="8" spans="1:37" ht="18" customHeight="1">
      <c r="A8" s="304"/>
      <c r="B8" s="3712"/>
      <c r="C8" s="306"/>
      <c r="D8" s="307"/>
      <c r="E8" s="302" t="s">
        <v>698</v>
      </c>
      <c r="F8" s="303">
        <f ca="1">INDIRECT("'数据-取费表'!ai"&amp;$G$1)</f>
        <v>365</v>
      </c>
      <c r="G8" s="1384"/>
      <c r="H8" s="304"/>
      <c r="I8" s="3712"/>
      <c r="J8" s="306"/>
      <c r="K8" s="307"/>
      <c r="L8" s="302" t="s">
        <v>698</v>
      </c>
      <c r="M8" s="303">
        <f ca="1">INDIRECT("'数据-取费表'!ai"&amp;$G$1)</f>
        <v>365</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0.15</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26437</v>
      </c>
      <c r="D13" s="3450" t="s">
        <v>705</v>
      </c>
      <c r="E13" s="3450" t="s">
        <v>706</v>
      </c>
      <c r="F13" s="1082">
        <f ca="1">INDIRECT("'数据-取费表'!y"&amp;$G$1)</f>
        <v>0.88</v>
      </c>
      <c r="G13" s="1384"/>
      <c r="H13" s="1079">
        <v>2</v>
      </c>
      <c r="I13" s="1080" t="s">
        <v>704</v>
      </c>
      <c r="J13" s="1068">
        <f ca="1">ROUND(J14*J15,0)</f>
        <v>20128</v>
      </c>
      <c r="K13" s="1087" t="s">
        <v>705</v>
      </c>
      <c r="L13" s="1392"/>
      <c r="M13" s="1393"/>
    </row>
    <row r="14" spans="1:37" ht="18" customHeight="1">
      <c r="A14" s="982" t="s">
        <v>397</v>
      </c>
      <c r="B14" s="302" t="s">
        <v>707</v>
      </c>
      <c r="C14" s="318">
        <f ca="1">INDIRECT("'数据-取费表'!m"&amp;$G$1)+INDIRECT("'数据-取费表'!t"&amp;$G$1)</f>
        <v>22681</v>
      </c>
      <c r="D14" s="3454" t="s">
        <v>708</v>
      </c>
      <c r="E14" s="3452"/>
      <c r="F14" s="319"/>
      <c r="G14" s="1384"/>
      <c r="H14" s="982" t="s">
        <v>398</v>
      </c>
      <c r="I14" s="302" t="s">
        <v>709</v>
      </c>
      <c r="J14" s="21">
        <f ca="1">C29</f>
        <v>30042</v>
      </c>
      <c r="K14" s="3457"/>
      <c r="L14" s="807"/>
      <c r="M14" s="808"/>
    </row>
    <row r="15" spans="1:37" s="1397" customFormat="1" ht="18" customHeight="1" thickBot="1">
      <c r="A15" s="982" t="s">
        <v>399</v>
      </c>
      <c r="B15" s="302" t="s">
        <v>710</v>
      </c>
      <c r="C15" s="21">
        <f ca="1">ROUND(C14*F15,0)</f>
        <v>680</v>
      </c>
      <c r="D15" s="3451" t="s">
        <v>711</v>
      </c>
      <c r="E15" s="3451" t="s">
        <v>712</v>
      </c>
      <c r="F15" s="321">
        <f>'数据-取费表'!B33</f>
        <v>0.03</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712</v>
      </c>
      <c r="K16" s="1087" t="s">
        <v>715</v>
      </c>
      <c r="L16" s="3455"/>
      <c r="M16" s="1072"/>
    </row>
    <row r="17" spans="1:37" s="1397" customFormat="1" ht="18" customHeight="1">
      <c r="A17" s="982" t="s">
        <v>681</v>
      </c>
      <c r="B17" s="302" t="s">
        <v>716</v>
      </c>
      <c r="C17" s="21">
        <f ca="1">ROUND(F17*(F43+INDIRECT("'数据-取费表'!S"&amp;$G$1))/10000,0)</f>
        <v>1134</v>
      </c>
      <c r="D17" s="302" t="s">
        <v>717</v>
      </c>
      <c r="E17" s="302" t="s">
        <v>718</v>
      </c>
      <c r="F17" s="23">
        <f>'数据-取费表'!B35</f>
        <v>200</v>
      </c>
      <c r="G17" s="1396"/>
      <c r="H17" s="982" t="s">
        <v>398</v>
      </c>
      <c r="I17" s="302" t="s">
        <v>719</v>
      </c>
      <c r="J17" s="2316">
        <f ca="1">ROUND(IF(AND(项目基本情况!B11="自然人",项目基本情况!B10="北京市"),J6*M17/(1+'数据-取费表'!C42),J18+J19+J20),2)</f>
        <v>218.24</v>
      </c>
      <c r="K17" s="3454" t="s">
        <v>720</v>
      </c>
      <c r="L17" s="3453"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340</v>
      </c>
      <c r="D18" s="302" t="s">
        <v>711</v>
      </c>
      <c r="E18" s="302" t="s">
        <v>712</v>
      </c>
      <c r="F18" s="322">
        <f>'数据-取费表'!B36</f>
        <v>1.4999999999999999E-2</v>
      </c>
      <c r="G18" s="1396"/>
      <c r="H18" s="982" t="s">
        <v>397</v>
      </c>
      <c r="I18" s="302" t="s">
        <v>723</v>
      </c>
      <c r="J18" s="21">
        <f ca="1">ROUND(J6*M18/(1+'数据-取费表'!C42),2)</f>
        <v>69.44</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24835</v>
      </c>
      <c r="D19" s="131" t="s">
        <v>726</v>
      </c>
      <c r="E19" s="3460"/>
      <c r="F19" s="23"/>
      <c r="G19" s="1384"/>
      <c r="H19" s="982" t="s">
        <v>399</v>
      </c>
      <c r="I19" s="302" t="s">
        <v>727</v>
      </c>
      <c r="J19" s="21">
        <f ca="1">IF(K19="按租金收入计税",ROUND(J6*M19/(1+'数据-取费表'!C42),2),ROUND(C29*M19*0.7,2))</f>
        <v>148.80000000000001</v>
      </c>
      <c r="K19" s="1370" t="s">
        <v>3343</v>
      </c>
      <c r="L19" s="302" t="s">
        <v>712</v>
      </c>
      <c r="M19" s="322">
        <f>IF(K19="按租金收入计税",'数据-取费表'!B51,'数据-取费表'!B50)</f>
        <v>0.12</v>
      </c>
    </row>
    <row r="20" spans="1:37" s="1397" customFormat="1" ht="18" customHeight="1">
      <c r="A20" s="982" t="s">
        <v>402</v>
      </c>
      <c r="B20" s="302" t="s">
        <v>728</v>
      </c>
      <c r="C20" s="21">
        <f ca="1">ROUND(C19*F20,0)</f>
        <v>621</v>
      </c>
      <c r="D20" s="2428"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450.63</v>
      </c>
      <c r="K22" s="3453"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1057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30.19</v>
      </c>
      <c r="K23" s="3453"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13.02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590</v>
      </c>
      <c r="K25" s="1095" t="s">
        <v>753</v>
      </c>
      <c r="L25" s="1096"/>
      <c r="M25" s="1097"/>
    </row>
    <row r="26" spans="1:37">
      <c r="A26" s="982" t="s">
        <v>397</v>
      </c>
      <c r="B26" s="302" t="s">
        <v>754</v>
      </c>
      <c r="C26" s="21">
        <f ca="1">ROUND((C19+C20)*F26,0)</f>
        <v>1273</v>
      </c>
      <c r="D26" s="2428" t="s">
        <v>755</v>
      </c>
      <c r="E26" s="313" t="s">
        <v>756</v>
      </c>
      <c r="F26" s="312">
        <f ca="1">INDIRECT("'数据-取费表'!q"&amp;$G$1)</f>
        <v>0.05</v>
      </c>
      <c r="G26" s="1384"/>
      <c r="H26" s="299" t="s">
        <v>395</v>
      </c>
      <c r="I26" s="300" t="s">
        <v>757</v>
      </c>
      <c r="J26" s="301">
        <f ca="1">IF(J5&lt;&gt;0,ROUND(J25*(1-((1+M28)/(1+M26))^M27)/(M26-M28),0),0)</f>
        <v>9798</v>
      </c>
      <c r="K26" s="324" t="s">
        <v>758</v>
      </c>
      <c r="L26" s="302" t="s">
        <v>759</v>
      </c>
      <c r="M26" s="312">
        <f ca="1">INDIRECT("'数据-取费表'!I"&amp;$G$1)</f>
        <v>5.5E-2</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28.239999999999995</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30042</v>
      </c>
      <c r="D29" s="1092"/>
      <c r="E29" s="1090"/>
      <c r="F29" s="1093"/>
      <c r="G29" s="1396"/>
      <c r="H29" s="334" t="s">
        <v>396</v>
      </c>
      <c r="I29" s="335" t="s">
        <v>768</v>
      </c>
      <c r="J29" s="336">
        <f ca="1">ROUND(J26/(1+F40)^F41,0)</f>
        <v>4660</v>
      </c>
      <c r="K29" s="337" t="s">
        <v>769</v>
      </c>
      <c r="L29" s="338"/>
      <c r="M29" s="339">
        <f ca="1">INDIRECT("'数据-取费表'!k"&amp;$G$1)</f>
        <v>56702.450000001169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722</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218.58</v>
      </c>
      <c r="D31" s="3454" t="s">
        <v>720</v>
      </c>
      <c r="E31" s="3453"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69.55</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149.03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450.63</v>
      </c>
      <c r="D36" s="3453"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39.659999999999997</v>
      </c>
      <c r="D37" s="3453" t="s">
        <v>743</v>
      </c>
      <c r="E37" s="302" t="s">
        <v>744</v>
      </c>
      <c r="F37" s="330">
        <f ca="1">INDIRECT("'数据-取费表'!Al"&amp;$G$1)</f>
        <v>1.5E-3</v>
      </c>
      <c r="G37" s="1384"/>
      <c r="H37" s="2700"/>
      <c r="I37" s="1398"/>
      <c r="J37" s="1399"/>
      <c r="K37" s="2544"/>
      <c r="L37" s="2700"/>
      <c r="M37" s="2700"/>
    </row>
    <row r="38" spans="1:18" ht="18" customHeight="1" thickBot="1">
      <c r="A38" s="1089" t="s">
        <v>683</v>
      </c>
      <c r="B38" s="1090" t="s">
        <v>728</v>
      </c>
      <c r="C38" s="1091">
        <f ca="1">ROUND(C5*F38,2)</f>
        <v>13.04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582</v>
      </c>
      <c r="D39" s="1095" t="s">
        <v>773</v>
      </c>
      <c r="E39" s="1096"/>
      <c r="F39" s="1097"/>
      <c r="G39" s="1384"/>
      <c r="H39" s="2700"/>
      <c r="I39" s="1398"/>
      <c r="J39" s="1399"/>
      <c r="K39" s="2704"/>
      <c r="L39" s="2700"/>
      <c r="M39" s="2700"/>
    </row>
    <row r="40" spans="1:18" ht="18" customHeight="1">
      <c r="A40" s="299" t="s">
        <v>395</v>
      </c>
      <c r="B40" s="300" t="s">
        <v>774</v>
      </c>
      <c r="C40" s="301">
        <f ca="1">ROUND(C39*(1-((1+F42)/(1+F40))^F41)/(F40-F42),0)</f>
        <v>5549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13.88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979</v>
      </c>
      <c r="D43" s="337" t="s">
        <v>777</v>
      </c>
      <c r="E43" s="338" t="s">
        <v>778</v>
      </c>
      <c r="F43" s="339">
        <f ca="1">INDIRECT("'数据-取费表'!k"&amp;$G$1)</f>
        <v>56702.450000001169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-10221</v>
      </c>
      <c r="D46" s="1406" t="str">
        <f>C2</f>
        <v>万元</v>
      </c>
      <c r="E46" s="1400"/>
      <c r="F46" s="1400"/>
      <c r="I46" s="1407" t="s">
        <v>810</v>
      </c>
      <c r="J46" s="1408"/>
      <c r="K46" s="1409"/>
      <c r="L46" s="1410">
        <f ca="1">IF(M47="住宅",0,IF(L48&gt;J51,L60,J60))</f>
        <v>12017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4850</v>
      </c>
      <c r="K47" s="1416" t="s">
        <v>816</v>
      </c>
      <c r="L47" s="1417">
        <f ca="1">INDIRECT("'数据-取费表'!d"&amp;$G$1)</f>
        <v>50</v>
      </c>
      <c r="M47" s="1380" t="str">
        <f>IF(ISNUMBER(FIND("住宅",C1)),"住宅","非住宅")</f>
        <v>非住宅</v>
      </c>
      <c r="O47" s="1418" t="s">
        <v>403</v>
      </c>
      <c r="P47" s="1419" t="s">
        <v>817</v>
      </c>
      <c r="Q47" s="1420">
        <f ca="1">C40+J29</f>
        <v>10209</v>
      </c>
      <c r="R47" s="1420" t="s">
        <v>818</v>
      </c>
    </row>
    <row r="48" spans="1:18" s="1384" customFormat="1" ht="28.5" thickBot="1">
      <c r="A48" s="1110" t="s">
        <v>438</v>
      </c>
      <c r="B48" s="300" t="s">
        <v>692</v>
      </c>
      <c r="C48" s="3459">
        <f ca="1">C49+C53+C55</f>
        <v>0</v>
      </c>
      <c r="D48" s="1112"/>
      <c r="E48" s="1113"/>
      <c r="F48" s="962"/>
      <c r="G48" s="722"/>
      <c r="H48" s="723"/>
      <c r="I48" s="1421" t="s">
        <v>819</v>
      </c>
      <c r="J48" s="1422" t="s">
        <v>4851</v>
      </c>
      <c r="K48" s="1423" t="s">
        <v>820</v>
      </c>
      <c r="L48" s="1424">
        <f ca="1">INDIRECT("'数据-取费表'!f"&amp;$G$1)</f>
        <v>42.12</v>
      </c>
      <c r="O48" s="1418" t="s">
        <v>404</v>
      </c>
      <c r="P48" s="1419" t="s">
        <v>821</v>
      </c>
      <c r="Q48" s="1420">
        <f ca="1">J60</f>
        <v>12017</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2016</v>
      </c>
      <c r="K49" s="1423" t="s">
        <v>824</v>
      </c>
      <c r="L49" s="1427"/>
      <c r="O49" s="1428" t="s">
        <v>405</v>
      </c>
      <c r="P49" s="1419" t="s">
        <v>825</v>
      </c>
      <c r="Q49" s="1420">
        <f ca="1">C29</f>
        <v>30042</v>
      </c>
      <c r="R49" s="1420" t="s">
        <v>818</v>
      </c>
    </row>
    <row r="50" spans="1:18" s="1384" customFormat="1" ht="13.5" thickBot="1">
      <c r="A50" s="976"/>
      <c r="B50" s="979"/>
      <c r="C50" s="1118"/>
      <c r="D50" s="953"/>
      <c r="E50" s="1056" t="s">
        <v>697</v>
      </c>
      <c r="F50" s="1057">
        <f ca="1">F7</f>
        <v>56702.450000001169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-30794</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42.12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42.12</v>
      </c>
      <c r="K53" s="3709" t="s">
        <v>837</v>
      </c>
      <c r="L53" s="3710"/>
      <c r="O53" s="1418" t="s">
        <v>409</v>
      </c>
      <c r="P53" s="1419" t="s">
        <v>838</v>
      </c>
      <c r="Q53" s="1420">
        <f ca="1">Q47+Q48</f>
        <v>22226</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0.18099999999999999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26437</v>
      </c>
      <c r="D56" s="1447"/>
      <c r="E56" s="1448"/>
      <c r="F56" s="1440"/>
      <c r="I56" s="1449" t="s">
        <v>842</v>
      </c>
      <c r="J56" s="1450" t="s">
        <v>4852</v>
      </c>
      <c r="K56" s="1421" t="s">
        <v>843</v>
      </c>
      <c r="L56" s="1424" t="str">
        <f ca="1">IF(L48&lt;J51,"——",L48-J53)</f>
        <v>——</v>
      </c>
      <c r="O56" s="1418" t="s">
        <v>403</v>
      </c>
      <c r="P56" s="1419" t="s">
        <v>817</v>
      </c>
      <c r="Q56" s="1420">
        <f ca="1">C40+J29</f>
        <v>10209</v>
      </c>
      <c r="R56" s="1420" t="s">
        <v>818</v>
      </c>
    </row>
    <row r="57" spans="1:18" s="1384" customFormat="1" ht="24.75" thickBot="1">
      <c r="A57" s="1451"/>
      <c r="B57" s="950" t="s">
        <v>767</v>
      </c>
      <c r="C57" s="238">
        <f ca="1">C29</f>
        <v>30042</v>
      </c>
      <c r="D57" s="1452"/>
      <c r="E57" s="1453"/>
      <c r="F57" s="1454"/>
      <c r="I57" s="1455" t="s">
        <v>844</v>
      </c>
      <c r="J57" s="1456">
        <f ca="1">IF(OR(M47="住宅",J51&lt;L48,J56="是"),"——",J51-L48)</f>
        <v>10.880000000000003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490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12017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12017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838</v>
      </c>
      <c r="Q62" s="1420">
        <f ca="1">Q56+Q57</f>
        <v>10209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450.63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39.659999999999997</v>
      </c>
      <c r="D65" s="964" t="s">
        <v>743</v>
      </c>
      <c r="E65" s="950" t="s">
        <v>744</v>
      </c>
      <c r="F65" s="330">
        <f t="shared" ca="1" si="0"/>
        <v>1.5E-3</v>
      </c>
      <c r="I65" s="1462" t="s">
        <v>867</v>
      </c>
      <c r="J65" s="1463">
        <v>40</v>
      </c>
      <c r="K65" s="1463">
        <v>30</v>
      </c>
      <c r="L65" s="1463">
        <v>50</v>
      </c>
      <c r="M65" s="1465">
        <v>0.02</v>
      </c>
      <c r="O65" s="1418" t="s">
        <v>403</v>
      </c>
      <c r="P65" s="1419" t="s">
        <v>817</v>
      </c>
      <c r="Q65" s="1420">
        <f ca="1">C40+J29</f>
        <v>10209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-490</v>
      </c>
      <c r="D67" s="963" t="s">
        <v>753</v>
      </c>
      <c r="E67" s="968"/>
      <c r="F67" s="969"/>
      <c r="O67" s="1428" t="s">
        <v>405</v>
      </c>
      <c r="P67" s="1419" t="s">
        <v>850</v>
      </c>
      <c r="Q67" s="1466">
        <f ca="1">L51</f>
        <v>-30794</v>
      </c>
      <c r="R67" s="1420" t="s">
        <v>870</v>
      </c>
    </row>
    <row r="68" spans="1:18" s="1384" customFormat="1" ht="16.5" thickBot="1">
      <c r="A68" s="947" t="s">
        <v>395</v>
      </c>
      <c r="B68" s="948" t="s">
        <v>774</v>
      </c>
      <c r="C68" s="301">
        <f ca="1">ROUND(C67*(1-((1+F70)/(1+F68))^F69)/(F68-F70),0)</f>
        <v>-4672</v>
      </c>
      <c r="D68" s="965" t="s">
        <v>758</v>
      </c>
      <c r="E68" s="950" t="s">
        <v>759</v>
      </c>
      <c r="F68" s="312">
        <f ca="1">F40</f>
        <v>5.5E-2</v>
      </c>
      <c r="O68" s="1428" t="s">
        <v>406</v>
      </c>
      <c r="P68" s="1467" t="s">
        <v>871</v>
      </c>
      <c r="Q68" s="1420">
        <f ca="1">ROUND(Q69-Q70*Q71,0)</f>
        <v>-1665</v>
      </c>
      <c r="R68" s="1420" t="s">
        <v>414</v>
      </c>
    </row>
    <row r="69" spans="1:18" s="1384" customFormat="1" ht="13.5" thickBot="1">
      <c r="A69" s="951"/>
      <c r="B69" s="952"/>
      <c r="C69" s="306"/>
      <c r="D69" s="970" t="s">
        <v>762</v>
      </c>
      <c r="E69" s="950" t="s">
        <v>763</v>
      </c>
      <c r="F69" s="333">
        <f ca="1">F41</f>
        <v>13.88</v>
      </c>
      <c r="O69" s="1428" t="s">
        <v>411</v>
      </c>
      <c r="P69" s="1467" t="s">
        <v>872</v>
      </c>
      <c r="Q69" s="1420">
        <f ca="1">C39</f>
        <v>582</v>
      </c>
      <c r="R69" s="1420" t="s">
        <v>818</v>
      </c>
    </row>
    <row r="70" spans="1:18" s="1384" customFormat="1" ht="13.5" thickBot="1">
      <c r="A70" s="954"/>
      <c r="B70" s="955"/>
      <c r="C70" s="310"/>
      <c r="D70" s="966"/>
      <c r="E70" s="950" t="s">
        <v>766</v>
      </c>
      <c r="F70" s="1054"/>
      <c r="O70" s="1428" t="s">
        <v>412</v>
      </c>
      <c r="P70" s="1467" t="s">
        <v>873</v>
      </c>
      <c r="Q70" s="1420">
        <f ca="1">C13</f>
        <v>26437</v>
      </c>
      <c r="R70" s="1420" t="s">
        <v>818</v>
      </c>
    </row>
    <row r="71" spans="1:18" s="1384" customFormat="1" ht="13.5" thickBot="1">
      <c r="A71" s="971" t="s">
        <v>396</v>
      </c>
      <c r="B71" s="972" t="s">
        <v>776</v>
      </c>
      <c r="C71" s="336">
        <f ca="1">ROUND(C68*10000/F71,0)</f>
        <v>-824</v>
      </c>
      <c r="D71" s="973" t="s">
        <v>777</v>
      </c>
      <c r="E71" s="974" t="s">
        <v>778</v>
      </c>
      <c r="F71" s="339">
        <f ca="1">F43</f>
        <v>56702.450000001169</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2247</v>
      </c>
      <c r="D75" s="1384"/>
      <c r="E75" s="1384"/>
      <c r="F75" s="1384"/>
      <c r="K75" s="1402"/>
      <c r="L75" s="1384"/>
      <c r="O75" s="1418" t="s">
        <v>409</v>
      </c>
      <c r="P75" s="1419" t="s">
        <v>838</v>
      </c>
      <c r="Q75" s="1420">
        <f ca="1">Q65+Q66</f>
        <v>10209</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-2.8610000000000002</v>
      </c>
    </row>
    <row r="80" spans="1:18">
      <c r="B80" s="340" t="s">
        <v>800</v>
      </c>
      <c r="C80" s="274">
        <f ca="1">ROUND(C75/C39,3)</f>
        <v>3.8610000000000002</v>
      </c>
    </row>
    <row r="81" spans="2:3">
      <c r="B81" s="270" t="s">
        <v>801</v>
      </c>
      <c r="C81" s="238"/>
    </row>
    <row r="82" spans="2:3">
      <c r="B82" s="273" t="s">
        <v>802</v>
      </c>
      <c r="C82" s="275">
        <f ca="1">1-C83</f>
        <v>-3.7640000000000002</v>
      </c>
    </row>
    <row r="83" spans="2:3">
      <c r="B83" s="273" t="s">
        <v>803</v>
      </c>
      <c r="C83" s="274">
        <f ca="1">ROUND(C13/C40,3)</f>
        <v>4.7640000000000002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9" sqref="F2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415128</v>
      </c>
      <c r="C2" s="1872" t="s">
        <v>1651</v>
      </c>
      <c r="D2" s="1873" t="s">
        <v>1652</v>
      </c>
      <c r="E2" s="2607">
        <f>SUM(E6:E13)</f>
        <v>168606.38000000117</v>
      </c>
      <c r="F2" s="2707"/>
      <c r="G2" s="1489"/>
      <c r="H2" s="1489"/>
      <c r="I2" s="1489"/>
      <c r="J2" s="1489"/>
      <c r="K2" s="1489"/>
      <c r="L2" s="1489"/>
      <c r="M2" s="1489"/>
      <c r="N2" s="1489"/>
      <c r="O2" s="1489"/>
      <c r="P2" s="1489"/>
      <c r="Q2" s="1489"/>
      <c r="R2" s="1489"/>
      <c r="S2" s="1489"/>
    </row>
    <row r="3" spans="1:22" ht="15.75">
      <c r="A3" s="1870" t="s">
        <v>686</v>
      </c>
      <c r="B3" s="2601">
        <f ca="1">ROUND(B2*10000/E2,0)</f>
        <v>24621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392902</v>
      </c>
      <c r="C6" s="1872" t="s">
        <v>1651</v>
      </c>
      <c r="D6" s="2709"/>
      <c r="E6" s="2606">
        <f>IF(OR(A6=0,F6="否"),0,'数据-取费表'!K6+'数据-取费表'!S6)</f>
        <v>111903.93000000001</v>
      </c>
      <c r="F6" s="1876" t="s">
        <v>1657</v>
      </c>
      <c r="G6" s="1489"/>
      <c r="H6" s="1489"/>
      <c r="I6" s="1489"/>
      <c r="J6" s="1489"/>
      <c r="K6" s="1489"/>
      <c r="L6" s="1489"/>
      <c r="M6" s="1489"/>
      <c r="N6" s="1489"/>
      <c r="O6" s="1489"/>
      <c r="P6" s="1489"/>
      <c r="Q6" s="1489"/>
      <c r="R6" s="1489"/>
      <c r="S6" s="1489"/>
    </row>
    <row r="7" spans="1:22">
      <c r="A7" s="2604" t="str">
        <f>'数据-取费表'!AN7</f>
        <v>地下车库收益法</v>
      </c>
      <c r="B7" s="2602">
        <f ca="1">IF(F7="是",'数据-取费表'!AO7,0)</f>
        <v>22226</v>
      </c>
      <c r="C7" s="1872" t="s">
        <v>1651</v>
      </c>
      <c r="D7" s="2709"/>
      <c r="E7" s="2606">
        <f>IF(OR(A7=0,F7="否"),0,'数据-取费表'!K7+'数据-取费表'!S7)</f>
        <v>56702.450000001169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f ca="1">B6/B2*结果表!G19</f>
        <v>346181.90059451543</v>
      </c>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f ca="1">B21/'数据-汇总表'!E19</f>
        <v>3.0935633859732667</v>
      </c>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f>0.7*'数据-汇总表'!G19+'数据-汇总表'!F19</f>
        <v>105738.72600000001</v>
      </c>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f ca="1">B21/B24</f>
        <v>3.2739367466420526</v>
      </c>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3500"/>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disablePrompts="1"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估价对象为房地产，为所有。根据《国有土地使用证》[]，估价对象（分摊）出让国有建设用地使用权面积为0平方米，建筑面积为168606.380000001平方米。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估价对象为房地产,属开发建设的，该项目尚在开发建设中。根据《国有土地使用证》[]，估价对象（分摊）出让国有建设用地使用权面积为0平方米，规划建筑面积为168606.380000001平方米。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168606.38000000117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3" t="s">
        <v>1667</v>
      </c>
      <c r="D4" s="3754"/>
      <c r="E4" s="3755" t="s">
        <v>1668</v>
      </c>
      <c r="F4" s="3756"/>
      <c r="G4" s="3753" t="s">
        <v>1669</v>
      </c>
      <c r="H4" s="3754"/>
      <c r="I4" s="3753" t="s">
        <v>1670</v>
      </c>
      <c r="J4" s="3754"/>
      <c r="K4" s="1889" t="s">
        <v>1671</v>
      </c>
      <c r="L4" s="2715"/>
      <c r="M4" s="2716"/>
      <c r="N4" s="2716"/>
      <c r="O4" s="2716"/>
      <c r="P4" s="3757" t="s">
        <v>1672</v>
      </c>
      <c r="Q4" s="3758"/>
      <c r="R4" s="3763" t="s">
        <v>1668</v>
      </c>
      <c r="S4" s="3764"/>
      <c r="T4" s="3763" t="s">
        <v>1669</v>
      </c>
      <c r="U4" s="3764"/>
      <c r="V4" s="3769" t="s">
        <v>1670</v>
      </c>
      <c r="W4" s="3769"/>
      <c r="X4" s="1355"/>
      <c r="Y4" s="3763" t="s">
        <v>1672</v>
      </c>
      <c r="Z4" s="3764"/>
      <c r="AA4" s="3750" t="s">
        <v>1668</v>
      </c>
      <c r="AB4" s="3750" t="s">
        <v>1669</v>
      </c>
      <c r="AC4" s="3750" t="s">
        <v>1670</v>
      </c>
    </row>
    <row r="5" spans="1:29" ht="15">
      <c r="A5" s="358"/>
      <c r="B5" s="359"/>
      <c r="C5" s="3772" t="s">
        <v>1673</v>
      </c>
      <c r="D5" s="3773"/>
      <c r="E5" s="3779" t="s">
        <v>1674</v>
      </c>
      <c r="F5" s="3780"/>
      <c r="G5" s="3772" t="s">
        <v>1675</v>
      </c>
      <c r="H5" s="3773"/>
      <c r="I5" s="3772" t="s">
        <v>1676</v>
      </c>
      <c r="J5" s="3773"/>
      <c r="K5" s="1890"/>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1890"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44963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4" t="s">
        <v>1680</v>
      </c>
      <c r="Q7" s="3776"/>
      <c r="R7" s="701" t="s">
        <v>20</v>
      </c>
      <c r="S7" s="702">
        <f t="shared" ref="S7:S15" si="0">F7</f>
        <v>0</v>
      </c>
      <c r="T7" s="701" t="s">
        <v>20</v>
      </c>
      <c r="U7" s="702">
        <f t="shared" ref="U7:U15" si="1">H7</f>
        <v>0</v>
      </c>
      <c r="V7" s="701" t="s">
        <v>20</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4" t="s">
        <v>1683</v>
      </c>
      <c r="Q8" s="3775"/>
      <c r="R8" s="701" t="s">
        <v>20</v>
      </c>
      <c r="S8" s="702">
        <f t="shared" si="0"/>
        <v>100</v>
      </c>
      <c r="T8" s="701" t="s">
        <v>20</v>
      </c>
      <c r="U8" s="702">
        <f t="shared" si="1"/>
        <v>100</v>
      </c>
      <c r="V8" s="701" t="s">
        <v>20</v>
      </c>
      <c r="W8" s="702">
        <f t="shared" si="2"/>
        <v>100</v>
      </c>
      <c r="X8" s="703"/>
      <c r="Y8" s="3774" t="s">
        <v>1683</v>
      </c>
      <c r="Z8" s="37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9"/>
      <c r="Q11" s="1343" t="str">
        <f t="shared" si="6"/>
        <v>容积率</v>
      </c>
      <c r="R11" s="701" t="s">
        <v>18</v>
      </c>
      <c r="S11" s="702" t="e">
        <f t="shared" si="0"/>
        <v>#N/A</v>
      </c>
      <c r="T11" s="701" t="s">
        <v>18</v>
      </c>
      <c r="U11" s="702" t="e">
        <f t="shared" si="1"/>
        <v>#N/A</v>
      </c>
      <c r="V11" s="701" t="s">
        <v>18</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9"/>
      <c r="Q12" s="1343">
        <f t="shared" si="6"/>
        <v>111</v>
      </c>
      <c r="R12" s="701" t="s">
        <v>18</v>
      </c>
      <c r="S12" s="702">
        <f t="shared" si="0"/>
        <v>100</v>
      </c>
      <c r="T12" s="701" t="s">
        <v>18</v>
      </c>
      <c r="U12" s="702">
        <f t="shared" si="1"/>
        <v>100</v>
      </c>
      <c r="V12" s="701" t="s">
        <v>18</v>
      </c>
      <c r="W12" s="702">
        <f t="shared" si="2"/>
        <v>100</v>
      </c>
      <c r="X12" s="703"/>
      <c r="Y12" s="359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9"/>
      <c r="Q13" s="1343">
        <f t="shared" si="6"/>
        <v>111</v>
      </c>
      <c r="R13" s="701" t="s">
        <v>18</v>
      </c>
      <c r="S13" s="702">
        <f t="shared" si="0"/>
        <v>100</v>
      </c>
      <c r="T13" s="701" t="s">
        <v>18</v>
      </c>
      <c r="U13" s="702">
        <f t="shared" si="1"/>
        <v>100</v>
      </c>
      <c r="V13" s="701" t="s">
        <v>18</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9"/>
      <c r="Q14" s="1343">
        <f t="shared" si="6"/>
        <v>111</v>
      </c>
      <c r="R14" s="701" t="s">
        <v>18</v>
      </c>
      <c r="S14" s="702">
        <f t="shared" si="0"/>
        <v>100</v>
      </c>
      <c r="T14" s="701" t="s">
        <v>18</v>
      </c>
      <c r="U14" s="702">
        <f t="shared" si="1"/>
        <v>100</v>
      </c>
      <c r="V14" s="701" t="s">
        <v>18</v>
      </c>
      <c r="W14" s="702">
        <f t="shared" si="2"/>
        <v>100</v>
      </c>
      <c r="X14" s="703"/>
      <c r="Y14" s="359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7" t="s">
        <v>1691</v>
      </c>
      <c r="Q15" s="1352" t="str">
        <f t="shared" si="6"/>
        <v>居住社区成熟度</v>
      </c>
      <c r="R15" s="705" t="s">
        <v>18</v>
      </c>
      <c r="S15" s="706">
        <f t="shared" si="0"/>
        <v>100</v>
      </c>
      <c r="T15" s="705" t="s">
        <v>18</v>
      </c>
      <c r="U15" s="706">
        <f t="shared" si="1"/>
        <v>100</v>
      </c>
      <c r="V15" s="705" t="s">
        <v>18</v>
      </c>
      <c r="W15" s="706">
        <f t="shared" si="2"/>
        <v>100</v>
      </c>
      <c r="X15" s="1355"/>
      <c r="Y15" s="374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8"/>
      <c r="Q16" s="1352"/>
      <c r="R16" s="705"/>
      <c r="S16" s="706"/>
      <c r="T16" s="705"/>
      <c r="U16" s="706"/>
      <c r="V16" s="705"/>
      <c r="W16" s="706"/>
      <c r="X16" s="1355"/>
      <c r="Y16" s="374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8"/>
      <c r="Q17" s="1352" t="str">
        <f>B17</f>
        <v>交通便捷度</v>
      </c>
      <c r="R17" s="705" t="s">
        <v>18</v>
      </c>
      <c r="S17" s="706">
        <f>F17</f>
        <v>100</v>
      </c>
      <c r="T17" s="705" t="s">
        <v>18</v>
      </c>
      <c r="U17" s="706">
        <f>H17</f>
        <v>100</v>
      </c>
      <c r="V17" s="705" t="s">
        <v>18</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8"/>
      <c r="Q18" s="1352"/>
      <c r="R18" s="705"/>
      <c r="S18" s="706"/>
      <c r="T18" s="705"/>
      <c r="U18" s="706"/>
      <c r="V18" s="705"/>
      <c r="W18" s="706"/>
      <c r="X18" s="1355"/>
      <c r="Y18" s="374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8"/>
      <c r="Q19" s="1352" t="str">
        <f>B19</f>
        <v>公共配套设施</v>
      </c>
      <c r="R19" s="705" t="s">
        <v>18</v>
      </c>
      <c r="S19" s="706">
        <f>F19</f>
        <v>100</v>
      </c>
      <c r="T19" s="705" t="s">
        <v>18</v>
      </c>
      <c r="U19" s="706">
        <f>H19</f>
        <v>100</v>
      </c>
      <c r="V19" s="705" t="s">
        <v>18</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8"/>
      <c r="Q20" s="1352"/>
      <c r="R20" s="705"/>
      <c r="S20" s="706"/>
      <c r="T20" s="705"/>
      <c r="U20" s="706"/>
      <c r="V20" s="705"/>
      <c r="W20" s="706"/>
      <c r="X20" s="1355"/>
      <c r="Y20" s="374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8"/>
      <c r="Q22" s="1352"/>
      <c r="R22" s="705"/>
      <c r="S22" s="706"/>
      <c r="T22" s="705"/>
      <c r="U22" s="706"/>
      <c r="V22" s="705"/>
      <c r="W22" s="706"/>
      <c r="X22" s="1355"/>
      <c r="Y22" s="374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8"/>
      <c r="Q23" s="1352" t="str">
        <f>B23</f>
        <v>自然及人文环境</v>
      </c>
      <c r="R23" s="705" t="s">
        <v>18</v>
      </c>
      <c r="S23" s="706">
        <f>F23</f>
        <v>100</v>
      </c>
      <c r="T23" s="705" t="s">
        <v>18</v>
      </c>
      <c r="U23" s="706">
        <f>H23</f>
        <v>100</v>
      </c>
      <c r="V23" s="705" t="s">
        <v>18</v>
      </c>
      <c r="W23" s="706">
        <f>J23</f>
        <v>100</v>
      </c>
      <c r="X23" s="1355"/>
      <c r="Y23" s="37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8"/>
      <c r="Q26" s="1352" t="str">
        <f t="shared" si="11"/>
        <v>朝向</v>
      </c>
      <c r="R26" s="705" t="s">
        <v>18</v>
      </c>
      <c r="S26" s="706">
        <f t="shared" si="12"/>
        <v>100</v>
      </c>
      <c r="T26" s="705" t="s">
        <v>18</v>
      </c>
      <c r="U26" s="706">
        <f t="shared" si="13"/>
        <v>100</v>
      </c>
      <c r="V26" s="705" t="s">
        <v>18</v>
      </c>
      <c r="W26" s="706">
        <f t="shared" si="14"/>
        <v>100</v>
      </c>
      <c r="X26" s="1355"/>
      <c r="Y26" s="37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8"/>
      <c r="Q27" s="1343">
        <f t="shared" si="11"/>
        <v>111</v>
      </c>
      <c r="R27" s="701" t="s">
        <v>18</v>
      </c>
      <c r="S27" s="702">
        <f t="shared" si="12"/>
        <v>100</v>
      </c>
      <c r="T27" s="701" t="s">
        <v>18</v>
      </c>
      <c r="U27" s="702">
        <f t="shared" si="13"/>
        <v>100</v>
      </c>
      <c r="V27" s="701" t="s">
        <v>18</v>
      </c>
      <c r="W27" s="702">
        <f t="shared" si="14"/>
        <v>100</v>
      </c>
      <c r="X27" s="703"/>
      <c r="Y27" s="37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8"/>
      <c r="Q28" s="1352">
        <f t="shared" si="11"/>
        <v>111</v>
      </c>
      <c r="R28" s="705" t="s">
        <v>18</v>
      </c>
      <c r="S28" s="706">
        <f t="shared" si="12"/>
        <v>100</v>
      </c>
      <c r="T28" s="705" t="s">
        <v>18</v>
      </c>
      <c r="U28" s="706">
        <f t="shared" si="13"/>
        <v>100</v>
      </c>
      <c r="V28" s="705" t="s">
        <v>18</v>
      </c>
      <c r="W28" s="706">
        <f t="shared" si="14"/>
        <v>100</v>
      </c>
      <c r="X28" s="1355"/>
      <c r="Y28" s="37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8"/>
      <c r="Q29" s="1352">
        <f t="shared" si="11"/>
        <v>111</v>
      </c>
      <c r="R29" s="705" t="s">
        <v>18</v>
      </c>
      <c r="S29" s="706">
        <f t="shared" si="12"/>
        <v>100</v>
      </c>
      <c r="T29" s="705" t="s">
        <v>18</v>
      </c>
      <c r="U29" s="706">
        <f t="shared" si="13"/>
        <v>100</v>
      </c>
      <c r="V29" s="705" t="s">
        <v>18</v>
      </c>
      <c r="W29" s="706">
        <f t="shared" si="14"/>
        <v>100</v>
      </c>
      <c r="X29" s="1355"/>
      <c r="Y29" s="37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8"/>
      <c r="Q30" s="1352">
        <f t="shared" si="11"/>
        <v>111</v>
      </c>
      <c r="R30" s="705" t="s">
        <v>18</v>
      </c>
      <c r="S30" s="706">
        <f t="shared" si="12"/>
        <v>100</v>
      </c>
      <c r="T30" s="705" t="s">
        <v>18</v>
      </c>
      <c r="U30" s="706">
        <f t="shared" si="13"/>
        <v>100</v>
      </c>
      <c r="V30" s="705" t="s">
        <v>18</v>
      </c>
      <c r="W30" s="706">
        <f t="shared" si="14"/>
        <v>100</v>
      </c>
      <c r="X30" s="1355"/>
      <c r="Y30" s="374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8"/>
      <c r="Q31" s="1352">
        <f t="shared" si="11"/>
        <v>111</v>
      </c>
      <c r="R31" s="705" t="s">
        <v>18</v>
      </c>
      <c r="S31" s="706">
        <f t="shared" si="12"/>
        <v>100</v>
      </c>
      <c r="T31" s="705" t="s">
        <v>18</v>
      </c>
      <c r="U31" s="706">
        <f t="shared" si="13"/>
        <v>100</v>
      </c>
      <c r="V31" s="705" t="s">
        <v>18</v>
      </c>
      <c r="W31" s="706">
        <f t="shared" si="14"/>
        <v>100</v>
      </c>
      <c r="X31" s="1355"/>
      <c r="Y31" s="374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2" t="s">
        <v>1696</v>
      </c>
      <c r="Q32" s="1352" t="str">
        <f t="shared" si="11"/>
        <v>建筑类型</v>
      </c>
      <c r="R32" s="705" t="s">
        <v>18</v>
      </c>
      <c r="S32" s="706">
        <f t="shared" si="12"/>
        <v>100</v>
      </c>
      <c r="T32" s="705" t="s">
        <v>18</v>
      </c>
      <c r="U32" s="706">
        <f t="shared" si="13"/>
        <v>100</v>
      </c>
      <c r="V32" s="705" t="s">
        <v>18</v>
      </c>
      <c r="W32" s="706">
        <f t="shared" si="14"/>
        <v>100</v>
      </c>
      <c r="X32" s="1355"/>
      <c r="Y32" s="374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3"/>
      <c r="Q33" s="707" t="str">
        <f t="shared" si="11"/>
        <v>项目建筑规模</v>
      </c>
      <c r="R33" s="708" t="s">
        <v>18</v>
      </c>
      <c r="S33" s="709" t="e">
        <f t="shared" si="12"/>
        <v>#N/A</v>
      </c>
      <c r="T33" s="708" t="s">
        <v>18</v>
      </c>
      <c r="U33" s="709" t="e">
        <f t="shared" si="13"/>
        <v>#N/A</v>
      </c>
      <c r="V33" s="708" t="s">
        <v>18</v>
      </c>
      <c r="W33" s="709" t="e">
        <f t="shared" si="14"/>
        <v>#N/A</v>
      </c>
      <c r="X33" s="710"/>
      <c r="Y33" s="374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3"/>
      <c r="Q34" s="1352" t="str">
        <f t="shared" si="11"/>
        <v>建筑结构</v>
      </c>
      <c r="R34" s="705" t="s">
        <v>18</v>
      </c>
      <c r="S34" s="706">
        <f t="shared" si="12"/>
        <v>100</v>
      </c>
      <c r="T34" s="705" t="s">
        <v>18</v>
      </c>
      <c r="U34" s="706">
        <f t="shared" si="13"/>
        <v>100</v>
      </c>
      <c r="V34" s="705" t="s">
        <v>18</v>
      </c>
      <c r="W34" s="706">
        <f t="shared" si="14"/>
        <v>100</v>
      </c>
      <c r="X34" s="1355"/>
      <c r="Y34" s="374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3"/>
      <c r="Q35" s="1352" t="str">
        <f t="shared" si="11"/>
        <v>建筑品质</v>
      </c>
      <c r="R35" s="705" t="s">
        <v>18</v>
      </c>
      <c r="S35" s="706">
        <f t="shared" si="12"/>
        <v>100</v>
      </c>
      <c r="T35" s="705" t="s">
        <v>18</v>
      </c>
      <c r="U35" s="706">
        <f t="shared" si="13"/>
        <v>100</v>
      </c>
      <c r="V35" s="705" t="s">
        <v>18</v>
      </c>
      <c r="W35" s="706">
        <f t="shared" si="14"/>
        <v>100</v>
      </c>
      <c r="X35" s="1355"/>
      <c r="Y35" s="374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3"/>
      <c r="Q36" s="1352" t="str">
        <f t="shared" si="11"/>
        <v>公共部分装修</v>
      </c>
      <c r="R36" s="705" t="s">
        <v>18</v>
      </c>
      <c r="S36" s="706">
        <f t="shared" si="12"/>
        <v>100</v>
      </c>
      <c r="T36" s="705" t="s">
        <v>18</v>
      </c>
      <c r="U36" s="706">
        <f t="shared" si="13"/>
        <v>100</v>
      </c>
      <c r="V36" s="705" t="s">
        <v>18</v>
      </c>
      <c r="W36" s="706">
        <f t="shared" si="14"/>
        <v>100</v>
      </c>
      <c r="X36" s="1355"/>
      <c r="Y36" s="374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3"/>
      <c r="Q37" s="1343" t="str">
        <f t="shared" si="11"/>
        <v>成新度</v>
      </c>
      <c r="R37" s="701" t="s">
        <v>18</v>
      </c>
      <c r="S37" s="702" t="e">
        <f t="shared" si="12"/>
        <v>#N/A</v>
      </c>
      <c r="T37" s="701" t="s">
        <v>18</v>
      </c>
      <c r="U37" s="702" t="e">
        <f t="shared" si="13"/>
        <v>#N/A</v>
      </c>
      <c r="V37" s="701" t="s">
        <v>18</v>
      </c>
      <c r="W37" s="702" t="e">
        <f t="shared" si="14"/>
        <v>#N/A</v>
      </c>
      <c r="X37" s="703"/>
      <c r="Y37" s="374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3" t="s">
        <v>1696</v>
      </c>
      <c r="Q38" s="1352" t="str">
        <f t="shared" si="11"/>
        <v>物业管理</v>
      </c>
      <c r="R38" s="705" t="s">
        <v>18</v>
      </c>
      <c r="S38" s="706">
        <f t="shared" si="12"/>
        <v>100</v>
      </c>
      <c r="T38" s="705" t="s">
        <v>18</v>
      </c>
      <c r="U38" s="706">
        <f t="shared" si="13"/>
        <v>100</v>
      </c>
      <c r="V38" s="705" t="s">
        <v>18</v>
      </c>
      <c r="W38" s="706">
        <f t="shared" si="14"/>
        <v>100</v>
      </c>
      <c r="X38" s="1355"/>
      <c r="Y38" s="374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3"/>
      <c r="Q39" s="1352" t="str">
        <f t="shared" si="11"/>
        <v>市政基础设施</v>
      </c>
      <c r="R39" s="705" t="s">
        <v>18</v>
      </c>
      <c r="S39" s="706">
        <f t="shared" si="12"/>
        <v>100</v>
      </c>
      <c r="T39" s="705" t="s">
        <v>18</v>
      </c>
      <c r="U39" s="706">
        <f t="shared" si="13"/>
        <v>100</v>
      </c>
      <c r="V39" s="705" t="s">
        <v>18</v>
      </c>
      <c r="W39" s="706">
        <f t="shared" si="14"/>
        <v>100</v>
      </c>
      <c r="X39" s="1355"/>
      <c r="Y39" s="374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3"/>
      <c r="Q40" s="1352" t="str">
        <f t="shared" si="11"/>
        <v>房型</v>
      </c>
      <c r="R40" s="705" t="s">
        <v>18</v>
      </c>
      <c r="S40" s="706">
        <f t="shared" si="12"/>
        <v>100</v>
      </c>
      <c r="T40" s="705" t="s">
        <v>18</v>
      </c>
      <c r="U40" s="706">
        <f t="shared" si="13"/>
        <v>100</v>
      </c>
      <c r="V40" s="705" t="s">
        <v>18</v>
      </c>
      <c r="W40" s="706">
        <f t="shared" si="14"/>
        <v>100</v>
      </c>
      <c r="X40" s="1355"/>
      <c r="Y40" s="374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3"/>
      <c r="Q41" s="707" t="str">
        <f t="shared" si="11"/>
        <v>单套/主力户型建筑面积</v>
      </c>
      <c r="R41" s="708" t="s">
        <v>18</v>
      </c>
      <c r="S41" s="709">
        <f t="shared" si="12"/>
        <v>100</v>
      </c>
      <c r="T41" s="708" t="s">
        <v>18</v>
      </c>
      <c r="U41" s="709">
        <f t="shared" si="13"/>
        <v>100</v>
      </c>
      <c r="V41" s="708" t="s">
        <v>18</v>
      </c>
      <c r="W41" s="709">
        <f t="shared" si="14"/>
        <v>100</v>
      </c>
      <c r="X41" s="710"/>
      <c r="Y41" s="374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3"/>
      <c r="Q42" s="1352" t="str">
        <f t="shared" si="11"/>
        <v>内部装修</v>
      </c>
      <c r="R42" s="705" t="s">
        <v>18</v>
      </c>
      <c r="S42" s="706">
        <f t="shared" si="12"/>
        <v>100</v>
      </c>
      <c r="T42" s="705" t="s">
        <v>18</v>
      </c>
      <c r="U42" s="706">
        <f t="shared" si="13"/>
        <v>100</v>
      </c>
      <c r="V42" s="705" t="s">
        <v>18</v>
      </c>
      <c r="W42" s="706">
        <f t="shared" si="14"/>
        <v>100</v>
      </c>
      <c r="X42" s="1355"/>
      <c r="Y42" s="374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3"/>
      <c r="Q43" s="1352" t="str">
        <f t="shared" si="11"/>
        <v>内部装修维护情况</v>
      </c>
      <c r="R43" s="705" t="s">
        <v>18</v>
      </c>
      <c r="S43" s="706">
        <f t="shared" si="12"/>
        <v>100</v>
      </c>
      <c r="T43" s="705" t="s">
        <v>18</v>
      </c>
      <c r="U43" s="706">
        <f t="shared" si="13"/>
        <v>100</v>
      </c>
      <c r="V43" s="705" t="s">
        <v>18</v>
      </c>
      <c r="W43" s="706">
        <f t="shared" si="14"/>
        <v>100</v>
      </c>
      <c r="X43" s="1355"/>
      <c r="Y43" s="374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3"/>
      <c r="Q44" s="1343">
        <f t="shared" si="11"/>
        <v>111</v>
      </c>
      <c r="R44" s="701" t="s">
        <v>18</v>
      </c>
      <c r="S44" s="702">
        <f t="shared" si="12"/>
        <v>100</v>
      </c>
      <c r="T44" s="701" t="s">
        <v>18</v>
      </c>
      <c r="U44" s="702">
        <f t="shared" si="13"/>
        <v>100</v>
      </c>
      <c r="V44" s="701" t="s">
        <v>18</v>
      </c>
      <c r="W44" s="702">
        <f t="shared" si="14"/>
        <v>100</v>
      </c>
      <c r="X44" s="703"/>
      <c r="Y44" s="37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3"/>
      <c r="Q45" s="1352">
        <f t="shared" si="11"/>
        <v>111</v>
      </c>
      <c r="R45" s="705" t="s">
        <v>18</v>
      </c>
      <c r="S45" s="706">
        <f t="shared" si="12"/>
        <v>100</v>
      </c>
      <c r="T45" s="705" t="s">
        <v>18</v>
      </c>
      <c r="U45" s="706">
        <f t="shared" si="13"/>
        <v>100</v>
      </c>
      <c r="V45" s="705" t="s">
        <v>18</v>
      </c>
      <c r="W45" s="706">
        <f t="shared" si="14"/>
        <v>100</v>
      </c>
      <c r="X45" s="1355"/>
      <c r="Y45" s="374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4"/>
      <c r="Q46" s="1352">
        <f t="shared" si="11"/>
        <v>111</v>
      </c>
      <c r="R46" s="705" t="s">
        <v>17</v>
      </c>
      <c r="S46" s="706">
        <f t="shared" si="12"/>
        <v>100</v>
      </c>
      <c r="T46" s="705" t="s">
        <v>17</v>
      </c>
      <c r="U46" s="706">
        <f t="shared" si="13"/>
        <v>100</v>
      </c>
      <c r="V46" s="705" t="s">
        <v>17</v>
      </c>
      <c r="W46" s="706">
        <f t="shared" si="14"/>
        <v>100</v>
      </c>
      <c r="X46" s="1355"/>
      <c r="Y46" s="374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168606.38000000117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69"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69"/>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69"/>
      <c r="AC6" s="3752"/>
    </row>
    <row r="7" spans="1:29" s="108" customFormat="1" ht="15.75" thickBot="1">
      <c r="A7" s="362" t="s">
        <v>1679</v>
      </c>
      <c r="B7" s="363"/>
      <c r="C7" s="364">
        <f>'数据-取费表'!B2</f>
        <v>44963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9"/>
      <c r="Q11" s="1343"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7" t="s">
        <v>1691</v>
      </c>
      <c r="Q15" s="1352" t="str">
        <f t="shared" si="6"/>
        <v>商业繁华度</v>
      </c>
      <c r="R15" s="705" t="s">
        <v>14</v>
      </c>
      <c r="S15" s="706">
        <f t="shared" si="0"/>
        <v>100</v>
      </c>
      <c r="T15" s="705" t="s">
        <v>14</v>
      </c>
      <c r="U15" s="706">
        <f t="shared" si="1"/>
        <v>100</v>
      </c>
      <c r="V15" s="705" t="s">
        <v>14</v>
      </c>
      <c r="W15" s="706">
        <f t="shared" si="2"/>
        <v>100</v>
      </c>
      <c r="X15" s="1355"/>
      <c r="Y15" s="374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8"/>
      <c r="Q22" s="1352"/>
      <c r="R22" s="705"/>
      <c r="S22" s="706"/>
      <c r="T22" s="705"/>
      <c r="U22" s="706"/>
      <c r="V22" s="705"/>
      <c r="W22" s="706"/>
      <c r="X22" s="1355"/>
      <c r="Y22" s="374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8"/>
      <c r="Q23" s="1352" t="str">
        <f>B23</f>
        <v>自然及人文环境</v>
      </c>
      <c r="R23" s="705" t="s">
        <v>14</v>
      </c>
      <c r="S23" s="706">
        <f>F23</f>
        <v>100</v>
      </c>
      <c r="T23" s="705" t="s">
        <v>14</v>
      </c>
      <c r="U23" s="706">
        <f>H23</f>
        <v>100</v>
      </c>
      <c r="V23" s="705" t="s">
        <v>14</v>
      </c>
      <c r="W23" s="706">
        <f>J23</f>
        <v>100</v>
      </c>
      <c r="X23" s="1355"/>
      <c r="Y23" s="374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8"/>
      <c r="Q25" s="1352" t="str">
        <f t="shared" ref="Q25:Q46" si="11">B25</f>
        <v>临街状况</v>
      </c>
      <c r="R25" s="705" t="s">
        <v>14</v>
      </c>
      <c r="S25" s="706">
        <f>F25</f>
        <v>100</v>
      </c>
      <c r="T25" s="705" t="s">
        <v>14</v>
      </c>
      <c r="U25" s="706">
        <f>H25</f>
        <v>100</v>
      </c>
      <c r="V25" s="705" t="s">
        <v>14</v>
      </c>
      <c r="W25" s="706">
        <f>J25</f>
        <v>100</v>
      </c>
      <c r="X25" s="1355"/>
      <c r="Y25" s="374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8"/>
      <c r="Q26" s="1352" t="str">
        <f t="shared" si="11"/>
        <v>平面位置/可视性</v>
      </c>
      <c r="R26" s="705" t="s">
        <v>14</v>
      </c>
      <c r="S26" s="706">
        <f>F26</f>
        <v>100</v>
      </c>
      <c r="T26" s="705" t="s">
        <v>14</v>
      </c>
      <c r="U26" s="706">
        <f>H26</f>
        <v>100</v>
      </c>
      <c r="V26" s="705" t="s">
        <v>14</v>
      </c>
      <c r="W26" s="706">
        <f>J26</f>
        <v>100</v>
      </c>
      <c r="X26" s="1355"/>
      <c r="Y26" s="374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8"/>
      <c r="Q27" s="1343" t="str">
        <f t="shared" si="11"/>
        <v>人流量</v>
      </c>
      <c r="R27" s="701" t="s">
        <v>14</v>
      </c>
      <c r="S27" s="702">
        <f>F27</f>
        <v>100</v>
      </c>
      <c r="T27" s="701" t="s">
        <v>14</v>
      </c>
      <c r="U27" s="702">
        <f>H27</f>
        <v>100</v>
      </c>
      <c r="V27" s="701" t="s">
        <v>14</v>
      </c>
      <c r="W27" s="702">
        <f>J27</f>
        <v>100</v>
      </c>
      <c r="X27" s="703"/>
      <c r="Y27" s="374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8"/>
      <c r="Q29" s="1352">
        <f t="shared" si="11"/>
        <v>111</v>
      </c>
      <c r="R29" s="705" t="s">
        <v>14</v>
      </c>
      <c r="S29" s="706">
        <f t="shared" si="12"/>
        <v>100</v>
      </c>
      <c r="T29" s="705" t="s">
        <v>14</v>
      </c>
      <c r="U29" s="706">
        <f t="shared" si="13"/>
        <v>100</v>
      </c>
      <c r="V29" s="705" t="s">
        <v>14</v>
      </c>
      <c r="W29" s="706">
        <f t="shared" si="14"/>
        <v>100</v>
      </c>
      <c r="X29" s="1355"/>
      <c r="Y29" s="37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2" t="s">
        <v>1696</v>
      </c>
      <c r="Q32" s="1352" t="str">
        <f t="shared" si="11"/>
        <v>商业类型</v>
      </c>
      <c r="R32" s="705" t="s">
        <v>14</v>
      </c>
      <c r="S32" s="706">
        <f t="shared" si="12"/>
        <v>100</v>
      </c>
      <c r="T32" s="705" t="s">
        <v>14</v>
      </c>
      <c r="U32" s="706">
        <f t="shared" si="13"/>
        <v>100</v>
      </c>
      <c r="V32" s="705" t="s">
        <v>14</v>
      </c>
      <c r="W32" s="706">
        <f t="shared" si="14"/>
        <v>100</v>
      </c>
      <c r="X32" s="1355"/>
      <c r="Y32" s="374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3"/>
      <c r="Q33" s="707" t="str">
        <f t="shared" si="11"/>
        <v>项目建筑规模</v>
      </c>
      <c r="R33" s="708" t="s">
        <v>14</v>
      </c>
      <c r="S33" s="709" t="e">
        <f t="shared" si="12"/>
        <v>#N/A</v>
      </c>
      <c r="T33" s="708" t="s">
        <v>14</v>
      </c>
      <c r="U33" s="709" t="e">
        <f t="shared" si="13"/>
        <v>#N/A</v>
      </c>
      <c r="V33" s="708" t="s">
        <v>14</v>
      </c>
      <c r="W33" s="709" t="e">
        <f t="shared" si="14"/>
        <v>#N/A</v>
      </c>
      <c r="X33" s="710"/>
      <c r="Y33" s="374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3"/>
      <c r="Q34" s="1352" t="str">
        <f t="shared" si="11"/>
        <v>建筑结构</v>
      </c>
      <c r="R34" s="705" t="s">
        <v>14</v>
      </c>
      <c r="S34" s="706">
        <f t="shared" si="12"/>
        <v>100</v>
      </c>
      <c r="T34" s="705" t="s">
        <v>14</v>
      </c>
      <c r="U34" s="706">
        <f t="shared" si="13"/>
        <v>100</v>
      </c>
      <c r="V34" s="705" t="s">
        <v>14</v>
      </c>
      <c r="W34" s="706">
        <f t="shared" si="14"/>
        <v>100</v>
      </c>
      <c r="X34" s="1355"/>
      <c r="Y34" s="374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3"/>
      <c r="Q35" s="1352" t="str">
        <f t="shared" si="11"/>
        <v>公共部分装修</v>
      </c>
      <c r="R35" s="705" t="s">
        <v>14</v>
      </c>
      <c r="S35" s="706">
        <f t="shared" si="12"/>
        <v>100</v>
      </c>
      <c r="T35" s="705" t="s">
        <v>14</v>
      </c>
      <c r="U35" s="706">
        <f t="shared" si="13"/>
        <v>100</v>
      </c>
      <c r="V35" s="705" t="s">
        <v>14</v>
      </c>
      <c r="W35" s="706">
        <f t="shared" si="14"/>
        <v>100</v>
      </c>
      <c r="X35" s="1355"/>
      <c r="Y35" s="374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3"/>
      <c r="Q36" s="1352" t="str">
        <f t="shared" si="11"/>
        <v>成新度</v>
      </c>
      <c r="R36" s="705" t="s">
        <v>14</v>
      </c>
      <c r="S36" s="706" t="e">
        <f t="shared" si="12"/>
        <v>#N/A</v>
      </c>
      <c r="T36" s="705" t="s">
        <v>14</v>
      </c>
      <c r="U36" s="706" t="e">
        <f t="shared" si="13"/>
        <v>#N/A</v>
      </c>
      <c r="V36" s="705" t="s">
        <v>14</v>
      </c>
      <c r="W36" s="706" t="e">
        <f t="shared" si="14"/>
        <v>#N/A</v>
      </c>
      <c r="X36" s="1355"/>
      <c r="Y36" s="374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3"/>
      <c r="Q37" s="1343" t="str">
        <f t="shared" si="11"/>
        <v>市政基础设施</v>
      </c>
      <c r="R37" s="701" t="s">
        <v>14</v>
      </c>
      <c r="S37" s="702">
        <f t="shared" si="12"/>
        <v>100</v>
      </c>
      <c r="T37" s="701" t="s">
        <v>14</v>
      </c>
      <c r="U37" s="702">
        <f t="shared" si="13"/>
        <v>100</v>
      </c>
      <c r="V37" s="701" t="s">
        <v>14</v>
      </c>
      <c r="W37" s="702">
        <f t="shared" si="14"/>
        <v>100</v>
      </c>
      <c r="X37" s="703"/>
      <c r="Y37" s="374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3" t="s">
        <v>1696</v>
      </c>
      <c r="Q38" s="1352" t="str">
        <f t="shared" si="11"/>
        <v>业态</v>
      </c>
      <c r="R38" s="705" t="s">
        <v>14</v>
      </c>
      <c r="S38" s="706">
        <f t="shared" si="12"/>
        <v>100</v>
      </c>
      <c r="T38" s="705" t="s">
        <v>14</v>
      </c>
      <c r="U38" s="706">
        <f t="shared" si="13"/>
        <v>100</v>
      </c>
      <c r="V38" s="705" t="s">
        <v>14</v>
      </c>
      <c r="W38" s="706">
        <f t="shared" si="14"/>
        <v>100</v>
      </c>
      <c r="X38" s="1355"/>
      <c r="Y38" s="374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3"/>
      <c r="Q39" s="1352" t="str">
        <f t="shared" si="11"/>
        <v>层高</v>
      </c>
      <c r="R39" s="705" t="s">
        <v>14</v>
      </c>
      <c r="S39" s="706">
        <f t="shared" si="12"/>
        <v>100</v>
      </c>
      <c r="T39" s="705" t="s">
        <v>14</v>
      </c>
      <c r="U39" s="706">
        <f t="shared" si="13"/>
        <v>100</v>
      </c>
      <c r="V39" s="705" t="s">
        <v>14</v>
      </c>
      <c r="W39" s="706">
        <f t="shared" si="14"/>
        <v>100</v>
      </c>
      <c r="X39" s="1355"/>
      <c r="Y39" s="374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3"/>
      <c r="Q40" s="1352" t="str">
        <f t="shared" si="11"/>
        <v>单套建筑面积</v>
      </c>
      <c r="R40" s="705" t="s">
        <v>14</v>
      </c>
      <c r="S40" s="706">
        <f t="shared" si="12"/>
        <v>100</v>
      </c>
      <c r="T40" s="705" t="s">
        <v>14</v>
      </c>
      <c r="U40" s="706">
        <f t="shared" si="13"/>
        <v>100</v>
      </c>
      <c r="V40" s="705" t="s">
        <v>14</v>
      </c>
      <c r="W40" s="706">
        <f t="shared" si="14"/>
        <v>100</v>
      </c>
      <c r="X40" s="1355"/>
      <c r="Y40" s="374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3"/>
      <c r="Q41" s="707" t="str">
        <f t="shared" si="11"/>
        <v>进深比</v>
      </c>
      <c r="R41" s="708" t="s">
        <v>14</v>
      </c>
      <c r="S41" s="709">
        <f t="shared" si="12"/>
        <v>100</v>
      </c>
      <c r="T41" s="708" t="s">
        <v>14</v>
      </c>
      <c r="U41" s="709">
        <f t="shared" si="13"/>
        <v>100</v>
      </c>
      <c r="V41" s="708" t="s">
        <v>14</v>
      </c>
      <c r="W41" s="709">
        <f t="shared" si="14"/>
        <v>100</v>
      </c>
      <c r="X41" s="710"/>
      <c r="Y41" s="374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3"/>
      <c r="Q42" s="1352" t="str">
        <f t="shared" si="11"/>
        <v>内部装修</v>
      </c>
      <c r="R42" s="705" t="s">
        <v>14</v>
      </c>
      <c r="S42" s="706">
        <f t="shared" si="12"/>
        <v>100</v>
      </c>
      <c r="T42" s="705" t="s">
        <v>14</v>
      </c>
      <c r="U42" s="706">
        <f t="shared" si="13"/>
        <v>100</v>
      </c>
      <c r="V42" s="705" t="s">
        <v>14</v>
      </c>
      <c r="W42" s="706">
        <f t="shared" si="14"/>
        <v>100</v>
      </c>
      <c r="X42" s="1355"/>
      <c r="Y42" s="374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3"/>
      <c r="Q43" s="1352" t="str">
        <f t="shared" si="11"/>
        <v>内部装修维护情况</v>
      </c>
      <c r="R43" s="705" t="s">
        <v>14</v>
      </c>
      <c r="S43" s="706">
        <f t="shared" si="12"/>
        <v>100</v>
      </c>
      <c r="T43" s="705" t="s">
        <v>14</v>
      </c>
      <c r="U43" s="706">
        <f t="shared" si="13"/>
        <v>100</v>
      </c>
      <c r="V43" s="705" t="s">
        <v>14</v>
      </c>
      <c r="W43" s="706">
        <f t="shared" si="14"/>
        <v>100</v>
      </c>
      <c r="X43" s="1355"/>
      <c r="Y43" s="374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3"/>
      <c r="Q44" s="1343">
        <f t="shared" si="11"/>
        <v>111</v>
      </c>
      <c r="R44" s="701" t="s">
        <v>14</v>
      </c>
      <c r="S44" s="702">
        <f t="shared" si="12"/>
        <v>100</v>
      </c>
      <c r="T44" s="701" t="s">
        <v>14</v>
      </c>
      <c r="U44" s="702">
        <f t="shared" si="13"/>
        <v>100</v>
      </c>
      <c r="V44" s="701" t="s">
        <v>14</v>
      </c>
      <c r="W44" s="702">
        <f t="shared" si="14"/>
        <v>100</v>
      </c>
      <c r="X44" s="703"/>
      <c r="Y44" s="374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3"/>
      <c r="Q45" s="1352">
        <f t="shared" si="11"/>
        <v>111</v>
      </c>
      <c r="R45" s="705" t="s">
        <v>14</v>
      </c>
      <c r="S45" s="706">
        <f t="shared" si="12"/>
        <v>100</v>
      </c>
      <c r="T45" s="705" t="s">
        <v>14</v>
      </c>
      <c r="U45" s="706">
        <f t="shared" si="13"/>
        <v>100</v>
      </c>
      <c r="V45" s="705" t="s">
        <v>14</v>
      </c>
      <c r="W45" s="706">
        <f t="shared" si="14"/>
        <v>100</v>
      </c>
      <c r="X45" s="1355"/>
      <c r="Y45" s="374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8" t="str">
        <f>A47</f>
        <v>成交单价（元/平方米）</v>
      </c>
      <c r="Q47" s="3738"/>
      <c r="R47" s="3769">
        <f>E47</f>
        <v>0</v>
      </c>
      <c r="S47" s="3769"/>
      <c r="T47" s="3769">
        <f>G47</f>
        <v>0</v>
      </c>
      <c r="U47" s="3769"/>
      <c r="V47" s="3769">
        <f>I47</f>
        <v>0</v>
      </c>
      <c r="W47" s="376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168606.38000000117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87" t="s">
        <v>1775</v>
      </c>
      <c r="Q4" s="3788"/>
      <c r="R4" s="3791" t="s">
        <v>1771</v>
      </c>
      <c r="S4" s="3792"/>
      <c r="T4" s="3791" t="s">
        <v>1772</v>
      </c>
      <c r="U4" s="3792"/>
      <c r="V4" s="3793" t="s">
        <v>1773</v>
      </c>
      <c r="W4" s="3793"/>
      <c r="X4" s="1958"/>
      <c r="Y4" s="3791" t="s">
        <v>1775</v>
      </c>
      <c r="Z4" s="3792"/>
      <c r="AA4" s="3795" t="s">
        <v>1771</v>
      </c>
      <c r="AB4" s="3795" t="s">
        <v>1772</v>
      </c>
      <c r="AC4" s="3784" t="s">
        <v>1773</v>
      </c>
    </row>
    <row r="5" spans="1:29" ht="15">
      <c r="A5" s="358"/>
      <c r="B5" s="359"/>
      <c r="C5" s="3772" t="s">
        <v>1673</v>
      </c>
      <c r="D5" s="3773"/>
      <c r="E5" s="3779" t="s">
        <v>1674</v>
      </c>
      <c r="F5" s="3780"/>
      <c r="G5" s="3772" t="s">
        <v>1675</v>
      </c>
      <c r="H5" s="3773"/>
      <c r="I5" s="3772" t="s">
        <v>1676</v>
      </c>
      <c r="J5" s="3773"/>
      <c r="K5" s="559"/>
      <c r="L5" s="2715"/>
      <c r="M5" s="2716"/>
      <c r="N5" s="2716"/>
      <c r="O5" s="2716"/>
      <c r="P5" s="3789"/>
      <c r="Q5" s="3760"/>
      <c r="R5" s="3765"/>
      <c r="S5" s="3766"/>
      <c r="T5" s="3765"/>
      <c r="U5" s="3766"/>
      <c r="V5" s="3769"/>
      <c r="W5" s="3769"/>
      <c r="X5" s="1355"/>
      <c r="Y5" s="3765"/>
      <c r="Z5" s="3766"/>
      <c r="AA5" s="3751"/>
      <c r="AB5" s="3751"/>
      <c r="AC5" s="3785"/>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90"/>
      <c r="Q6" s="3762"/>
      <c r="R6" s="3765"/>
      <c r="S6" s="3766"/>
      <c r="T6" s="3767"/>
      <c r="U6" s="3768"/>
      <c r="V6" s="3769"/>
      <c r="W6" s="3769"/>
      <c r="X6" s="1355"/>
      <c r="Y6" s="3767"/>
      <c r="Z6" s="3768"/>
      <c r="AA6" s="3752"/>
      <c r="AB6" s="3752"/>
      <c r="AC6" s="3786"/>
    </row>
    <row r="7" spans="1:29" s="108" customFormat="1" ht="15.75" thickBot="1">
      <c r="A7" s="362" t="s">
        <v>1679</v>
      </c>
      <c r="B7" s="363"/>
      <c r="C7" s="364">
        <f>'数据-取费表'!B2</f>
        <v>44963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4" t="s">
        <v>1683</v>
      </c>
      <c r="Q8" s="3775"/>
      <c r="R8" s="701" t="s">
        <v>14</v>
      </c>
      <c r="S8" s="702">
        <f t="shared" si="0"/>
        <v>100</v>
      </c>
      <c r="T8" s="701" t="s">
        <v>14</v>
      </c>
      <c r="U8" s="702">
        <f t="shared" si="1"/>
        <v>100</v>
      </c>
      <c r="V8" s="701" t="s">
        <v>14</v>
      </c>
      <c r="W8" s="702">
        <f t="shared" si="2"/>
        <v>100</v>
      </c>
      <c r="X8" s="703"/>
      <c r="Y8" s="3774" t="s">
        <v>1683</v>
      </c>
      <c r="Z8" s="37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9" t="s">
        <v>1686</v>
      </c>
      <c r="Q9" s="1343"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9"/>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9"/>
      <c r="Q11" s="1343"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9"/>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9"/>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9"/>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7" t="s">
        <v>1691</v>
      </c>
      <c r="Q15" s="1352" t="str">
        <f t="shared" si="6"/>
        <v>办公集聚程度</v>
      </c>
      <c r="R15" s="705" t="s">
        <v>14</v>
      </c>
      <c r="S15" s="706">
        <f t="shared" si="0"/>
        <v>100</v>
      </c>
      <c r="T15" s="705" t="s">
        <v>14</v>
      </c>
      <c r="U15" s="706">
        <f t="shared" si="1"/>
        <v>100</v>
      </c>
      <c r="V15" s="705" t="s">
        <v>14</v>
      </c>
      <c r="W15" s="706">
        <f t="shared" si="2"/>
        <v>100</v>
      </c>
      <c r="X15" s="1355"/>
      <c r="Y15" s="374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8"/>
      <c r="Q22" s="1352"/>
      <c r="R22" s="705"/>
      <c r="S22" s="706"/>
      <c r="T22" s="705"/>
      <c r="U22" s="706"/>
      <c r="V22" s="705"/>
      <c r="W22" s="706"/>
      <c r="X22" s="1355"/>
      <c r="Y22" s="374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8"/>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8"/>
      <c r="Q25" s="1352" t="str">
        <f>B25</f>
        <v>毗邻道路的类型与等级</v>
      </c>
      <c r="R25" s="705" t="s">
        <v>14</v>
      </c>
      <c r="S25" s="706">
        <f>F25</f>
        <v>100</v>
      </c>
      <c r="T25" s="705" t="s">
        <v>14</v>
      </c>
      <c r="U25" s="706">
        <f>H25</f>
        <v>100</v>
      </c>
      <c r="V25" s="705" t="s">
        <v>14</v>
      </c>
      <c r="W25" s="706">
        <f>J25</f>
        <v>100</v>
      </c>
      <c r="X25" s="1355"/>
      <c r="Y25" s="37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8"/>
      <c r="Q26" s="1352"/>
      <c r="R26" s="705"/>
      <c r="S26" s="706"/>
      <c r="T26" s="705"/>
      <c r="U26" s="706"/>
      <c r="V26" s="705"/>
      <c r="W26" s="706"/>
      <c r="X26" s="1355"/>
      <c r="Y26" s="374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8"/>
      <c r="Q27" s="1352" t="str">
        <f t="shared" ref="Q27:Q47" si="11">B27</f>
        <v>楼层</v>
      </c>
      <c r="R27" s="705" t="s">
        <v>14</v>
      </c>
      <c r="S27" s="706">
        <f>F27</f>
        <v>100</v>
      </c>
      <c r="T27" s="705" t="s">
        <v>14</v>
      </c>
      <c r="U27" s="706">
        <f>H27</f>
        <v>100</v>
      </c>
      <c r="V27" s="705" t="s">
        <v>14</v>
      </c>
      <c r="W27" s="706">
        <f>J27</f>
        <v>100</v>
      </c>
      <c r="X27" s="1355"/>
      <c r="Y27" s="374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8"/>
      <c r="Q28" s="1343" t="str">
        <f t="shared" si="11"/>
        <v>朝向</v>
      </c>
      <c r="R28" s="701" t="s">
        <v>14</v>
      </c>
      <c r="S28" s="702">
        <f>F28</f>
        <v>100</v>
      </c>
      <c r="T28" s="701" t="s">
        <v>14</v>
      </c>
      <c r="U28" s="702">
        <f>H28</f>
        <v>100</v>
      </c>
      <c r="V28" s="701" t="s">
        <v>14</v>
      </c>
      <c r="W28" s="702">
        <f>J28</f>
        <v>100</v>
      </c>
      <c r="X28" s="703"/>
      <c r="Y28" s="37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8"/>
      <c r="Q29" s="1352">
        <f t="shared" si="11"/>
        <v>111</v>
      </c>
      <c r="R29" s="705" t="s">
        <v>14</v>
      </c>
      <c r="S29" s="706">
        <f t="shared" ref="S29:S47" si="12">F29</f>
        <v>100</v>
      </c>
      <c r="T29" s="705" t="s">
        <v>14</v>
      </c>
      <c r="U29" s="706">
        <f t="shared" ref="U29:U47" si="13">H29</f>
        <v>100</v>
      </c>
      <c r="V29" s="705" t="s">
        <v>14</v>
      </c>
      <c r="W29" s="706">
        <f t="shared" ref="W29:W47" si="14">J29</f>
        <v>100</v>
      </c>
      <c r="X29" s="1355"/>
      <c r="Y29" s="37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8"/>
      <c r="Q32" s="1352">
        <f t="shared" si="11"/>
        <v>111</v>
      </c>
      <c r="R32" s="705" t="s">
        <v>14</v>
      </c>
      <c r="S32" s="706">
        <f t="shared" si="12"/>
        <v>100</v>
      </c>
      <c r="T32" s="705" t="s">
        <v>14</v>
      </c>
      <c r="U32" s="706">
        <f t="shared" si="13"/>
        <v>100</v>
      </c>
      <c r="V32" s="705" t="s">
        <v>14</v>
      </c>
      <c r="W32" s="706">
        <f t="shared" si="14"/>
        <v>100</v>
      </c>
      <c r="X32" s="1355"/>
      <c r="Y32" s="374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2" t="s">
        <v>1696</v>
      </c>
      <c r="Q33" s="1352" t="str">
        <f t="shared" si="11"/>
        <v>建筑类型</v>
      </c>
      <c r="R33" s="705" t="s">
        <v>14</v>
      </c>
      <c r="S33" s="706">
        <f t="shared" si="12"/>
        <v>100</v>
      </c>
      <c r="T33" s="705" t="s">
        <v>14</v>
      </c>
      <c r="U33" s="706">
        <f t="shared" si="13"/>
        <v>100</v>
      </c>
      <c r="V33" s="705" t="s">
        <v>14</v>
      </c>
      <c r="W33" s="706">
        <f t="shared" si="14"/>
        <v>100</v>
      </c>
      <c r="X33" s="1355"/>
      <c r="Y33" s="374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3"/>
      <c r="Q34" s="707" t="str">
        <f t="shared" si="11"/>
        <v>项目建筑规模</v>
      </c>
      <c r="R34" s="708" t="s">
        <v>14</v>
      </c>
      <c r="S34" s="709" t="e">
        <f t="shared" si="12"/>
        <v>#N/A</v>
      </c>
      <c r="T34" s="708" t="s">
        <v>14</v>
      </c>
      <c r="U34" s="709" t="e">
        <f t="shared" si="13"/>
        <v>#N/A</v>
      </c>
      <c r="V34" s="708" t="s">
        <v>14</v>
      </c>
      <c r="W34" s="709" t="e">
        <f t="shared" si="14"/>
        <v>#N/A</v>
      </c>
      <c r="X34" s="710"/>
      <c r="Y34" s="374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3"/>
      <c r="Q35" s="1352" t="str">
        <f t="shared" si="11"/>
        <v>建筑结构</v>
      </c>
      <c r="R35" s="705" t="s">
        <v>14</v>
      </c>
      <c r="S35" s="706">
        <f t="shared" si="12"/>
        <v>100</v>
      </c>
      <c r="T35" s="705" t="s">
        <v>14</v>
      </c>
      <c r="U35" s="706">
        <f t="shared" si="13"/>
        <v>100</v>
      </c>
      <c r="V35" s="705" t="s">
        <v>14</v>
      </c>
      <c r="W35" s="706">
        <f t="shared" si="14"/>
        <v>100</v>
      </c>
      <c r="X35" s="1355"/>
      <c r="Y35" s="374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3"/>
      <c r="Q36" s="1352" t="str">
        <f t="shared" si="11"/>
        <v>公共部分装修</v>
      </c>
      <c r="R36" s="705" t="s">
        <v>14</v>
      </c>
      <c r="S36" s="706">
        <f t="shared" si="12"/>
        <v>100</v>
      </c>
      <c r="T36" s="705" t="s">
        <v>14</v>
      </c>
      <c r="U36" s="706">
        <f t="shared" si="13"/>
        <v>100</v>
      </c>
      <c r="V36" s="705" t="s">
        <v>14</v>
      </c>
      <c r="W36" s="706">
        <f t="shared" si="14"/>
        <v>100</v>
      </c>
      <c r="X36" s="1355"/>
      <c r="Y36" s="374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3"/>
      <c r="Q37" s="1352" t="str">
        <f t="shared" si="11"/>
        <v>成新度</v>
      </c>
      <c r="R37" s="705" t="s">
        <v>14</v>
      </c>
      <c r="S37" s="706" t="e">
        <f t="shared" si="12"/>
        <v>#N/A</v>
      </c>
      <c r="T37" s="705" t="s">
        <v>14</v>
      </c>
      <c r="U37" s="706" t="e">
        <f t="shared" si="13"/>
        <v>#N/A</v>
      </c>
      <c r="V37" s="705" t="s">
        <v>14</v>
      </c>
      <c r="W37" s="706" t="e">
        <f t="shared" si="14"/>
        <v>#N/A</v>
      </c>
      <c r="X37" s="1355"/>
      <c r="Y37" s="374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3"/>
      <c r="Q38" s="1343" t="str">
        <f t="shared" si="11"/>
        <v>写字楼等级</v>
      </c>
      <c r="R38" s="701" t="s">
        <v>14</v>
      </c>
      <c r="S38" s="702">
        <f t="shared" si="12"/>
        <v>100</v>
      </c>
      <c r="T38" s="701" t="s">
        <v>14</v>
      </c>
      <c r="U38" s="702">
        <f t="shared" si="13"/>
        <v>100</v>
      </c>
      <c r="V38" s="701" t="s">
        <v>14</v>
      </c>
      <c r="W38" s="702">
        <f t="shared" si="14"/>
        <v>100</v>
      </c>
      <c r="X38" s="703"/>
      <c r="Y38" s="374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3" t="s">
        <v>1696</v>
      </c>
      <c r="Q39" s="1352" t="str">
        <f t="shared" si="11"/>
        <v>物业管理</v>
      </c>
      <c r="R39" s="705" t="s">
        <v>14</v>
      </c>
      <c r="S39" s="706">
        <f t="shared" si="12"/>
        <v>100</v>
      </c>
      <c r="T39" s="705" t="s">
        <v>14</v>
      </c>
      <c r="U39" s="706">
        <f t="shared" si="13"/>
        <v>100</v>
      </c>
      <c r="V39" s="705" t="s">
        <v>14</v>
      </c>
      <c r="W39" s="706">
        <f t="shared" si="14"/>
        <v>100</v>
      </c>
      <c r="X39" s="1355"/>
      <c r="Y39" s="374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3"/>
      <c r="Q40" s="1352" t="str">
        <f t="shared" si="11"/>
        <v>市政基础设施</v>
      </c>
      <c r="R40" s="705" t="s">
        <v>14</v>
      </c>
      <c r="S40" s="706">
        <f t="shared" si="12"/>
        <v>100</v>
      </c>
      <c r="T40" s="705" t="s">
        <v>14</v>
      </c>
      <c r="U40" s="706">
        <f t="shared" si="13"/>
        <v>100</v>
      </c>
      <c r="V40" s="705" t="s">
        <v>14</v>
      </c>
      <c r="W40" s="706">
        <f t="shared" si="14"/>
        <v>100</v>
      </c>
      <c r="X40" s="1355"/>
      <c r="Y40" s="374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3"/>
      <c r="Q41" s="1352" t="str">
        <f t="shared" si="11"/>
        <v>层高</v>
      </c>
      <c r="R41" s="705" t="s">
        <v>14</v>
      </c>
      <c r="S41" s="706">
        <f t="shared" si="12"/>
        <v>100</v>
      </c>
      <c r="T41" s="705" t="s">
        <v>14</v>
      </c>
      <c r="U41" s="706">
        <f t="shared" si="13"/>
        <v>100</v>
      </c>
      <c r="V41" s="705" t="s">
        <v>14</v>
      </c>
      <c r="W41" s="706">
        <f t="shared" si="14"/>
        <v>100</v>
      </c>
      <c r="X41" s="1355"/>
      <c r="Y41" s="374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3"/>
      <c r="Q42" s="707" t="str">
        <f t="shared" si="11"/>
        <v>单套建筑面积</v>
      </c>
      <c r="R42" s="708" t="s">
        <v>14</v>
      </c>
      <c r="S42" s="709">
        <f t="shared" si="12"/>
        <v>100</v>
      </c>
      <c r="T42" s="708" t="s">
        <v>14</v>
      </c>
      <c r="U42" s="709">
        <f t="shared" si="13"/>
        <v>100</v>
      </c>
      <c r="V42" s="708" t="s">
        <v>14</v>
      </c>
      <c r="W42" s="709">
        <f t="shared" si="14"/>
        <v>100</v>
      </c>
      <c r="X42" s="710"/>
      <c r="Y42" s="374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3"/>
      <c r="Q43" s="1352" t="str">
        <f t="shared" si="11"/>
        <v>内部装修</v>
      </c>
      <c r="R43" s="705" t="s">
        <v>14</v>
      </c>
      <c r="S43" s="706">
        <f t="shared" si="12"/>
        <v>100</v>
      </c>
      <c r="T43" s="705" t="s">
        <v>14</v>
      </c>
      <c r="U43" s="706">
        <f t="shared" si="13"/>
        <v>100</v>
      </c>
      <c r="V43" s="705" t="s">
        <v>14</v>
      </c>
      <c r="W43" s="706">
        <f t="shared" si="14"/>
        <v>100</v>
      </c>
      <c r="X43" s="1355"/>
      <c r="Y43" s="374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3"/>
      <c r="Q44" s="1352" t="str">
        <f t="shared" si="11"/>
        <v>内部装修维护情况</v>
      </c>
      <c r="R44" s="705" t="s">
        <v>14</v>
      </c>
      <c r="S44" s="706">
        <f t="shared" si="12"/>
        <v>100</v>
      </c>
      <c r="T44" s="705" t="s">
        <v>14</v>
      </c>
      <c r="U44" s="706">
        <f t="shared" si="13"/>
        <v>100</v>
      </c>
      <c r="V44" s="705" t="s">
        <v>14</v>
      </c>
      <c r="W44" s="706">
        <f t="shared" si="14"/>
        <v>100</v>
      </c>
      <c r="X44" s="1355"/>
      <c r="Y44" s="374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3"/>
      <c r="Q45" s="1343">
        <f t="shared" si="11"/>
        <v>111</v>
      </c>
      <c r="R45" s="701" t="s">
        <v>14</v>
      </c>
      <c r="S45" s="702">
        <f t="shared" si="12"/>
        <v>100</v>
      </c>
      <c r="T45" s="701" t="s">
        <v>14</v>
      </c>
      <c r="U45" s="702">
        <f t="shared" si="13"/>
        <v>100</v>
      </c>
      <c r="V45" s="701" t="s">
        <v>14</v>
      </c>
      <c r="W45" s="702">
        <f t="shared" si="14"/>
        <v>100</v>
      </c>
      <c r="X45" s="703"/>
      <c r="Y45" s="374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4"/>
      <c r="Q47" s="1352">
        <f t="shared" si="11"/>
        <v>111</v>
      </c>
      <c r="R47" s="705" t="s">
        <v>14</v>
      </c>
      <c r="S47" s="706">
        <f t="shared" si="12"/>
        <v>100</v>
      </c>
      <c r="T47" s="705" t="s">
        <v>14</v>
      </c>
      <c r="U47" s="706">
        <f t="shared" si="13"/>
        <v>100</v>
      </c>
      <c r="V47" s="705" t="s">
        <v>14</v>
      </c>
      <c r="W47" s="706">
        <f t="shared" si="14"/>
        <v>100</v>
      </c>
      <c r="X47" s="1355"/>
      <c r="Y47" s="374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49"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9"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1" t="str">
        <f>A50</f>
        <v>估价对象XX用房的比较价值（楼面单价，元/平方米）</v>
      </c>
      <c r="Q50" s="3782"/>
      <c r="R50" s="3783" t="e">
        <f>IF(F1="售价",ROUND(IF(D49="简单平均",AVERAGE(R49:V49),R49*F49+T49*H49+V49*J49),0),ROUND(IF(D49="简单平均",AVERAGE(R49:V49),R49*F49+T49*H49+V49*J49),1))</f>
        <v>#DIV/0!</v>
      </c>
      <c r="S50" s="3783"/>
      <c r="T50" s="3783"/>
      <c r="U50" s="3783"/>
      <c r="V50" s="3783"/>
      <c r="W50" s="378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168606.38000000117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913"/>
      <c r="M4" s="914"/>
      <c r="N4" s="914"/>
      <c r="O4" s="914"/>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913"/>
      <c r="M5" s="914"/>
      <c r="N5" s="914"/>
      <c r="O5" s="914"/>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913"/>
      <c r="M6" s="914"/>
      <c r="N6" s="914"/>
      <c r="O6" s="914"/>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44963</v>
      </c>
      <c r="D7" s="365">
        <v>100</v>
      </c>
      <c r="E7" s="366"/>
      <c r="F7" s="367">
        <f>SUMIF(52:52,YEAR(E7)&amp;"-"&amp;MONTH(E7),53:53)</f>
        <v>0</v>
      </c>
      <c r="G7" s="366"/>
      <c r="H7" s="365">
        <f>SUMIF(52:52,YEAR(G7)&amp;"-"&amp;MONTH(G7),53:53)</f>
        <v>0</v>
      </c>
      <c r="I7" s="366"/>
      <c r="J7" s="365">
        <f>SUMIF(52:52,YEAR(I7)&amp;"-"&amp;MONTH(I7),53:53)</f>
        <v>0</v>
      </c>
      <c r="K7" s="560"/>
      <c r="L7" s="915"/>
      <c r="M7" s="916"/>
      <c r="N7" s="916"/>
      <c r="O7" s="916"/>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4" t="s">
        <v>1683</v>
      </c>
      <c r="Q8" s="3775"/>
      <c r="R8" s="701" t="s">
        <v>14</v>
      </c>
      <c r="S8" s="702">
        <f t="shared" si="0"/>
        <v>100</v>
      </c>
      <c r="T8" s="701" t="s">
        <v>14</v>
      </c>
      <c r="U8" s="702">
        <f t="shared" si="1"/>
        <v>100</v>
      </c>
      <c r="V8" s="701" t="s">
        <v>14</v>
      </c>
      <c r="W8" s="702">
        <f t="shared" si="2"/>
        <v>100</v>
      </c>
      <c r="X8" s="703"/>
      <c r="Y8" s="3774" t="s">
        <v>1683</v>
      </c>
      <c r="Z8" s="37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1686</v>
      </c>
      <c r="Q9" s="1343"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1"/>
      <c r="Q16" s="1352"/>
      <c r="R16" s="705"/>
      <c r="S16" s="706"/>
      <c r="T16" s="705"/>
      <c r="U16" s="706"/>
      <c r="V16" s="705"/>
      <c r="W16" s="706"/>
      <c r="X16" s="1355"/>
      <c r="Y16" s="374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1"/>
      <c r="Q18" s="1352"/>
      <c r="R18" s="705"/>
      <c r="S18" s="706"/>
      <c r="T18" s="705"/>
      <c r="U18" s="706"/>
      <c r="V18" s="705"/>
      <c r="W18" s="706"/>
      <c r="X18" s="1355"/>
      <c r="Y18" s="374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1"/>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1"/>
      <c r="Q20" s="1352"/>
      <c r="R20" s="705"/>
      <c r="S20" s="706"/>
      <c r="T20" s="705"/>
      <c r="U20" s="706"/>
      <c r="V20" s="705"/>
      <c r="W20" s="706"/>
      <c r="X20" s="1355"/>
      <c r="Y20" s="374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1"/>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1"/>
      <c r="Q22" s="1352"/>
      <c r="R22" s="705"/>
      <c r="S22" s="706"/>
      <c r="T22" s="705"/>
      <c r="U22" s="706"/>
      <c r="V22" s="705"/>
      <c r="W22" s="706"/>
      <c r="X22" s="1355"/>
      <c r="Y22" s="374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1"/>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1"/>
      <c r="Q24" s="1352"/>
      <c r="R24" s="705"/>
      <c r="S24" s="706"/>
      <c r="T24" s="705"/>
      <c r="U24" s="706"/>
      <c r="V24" s="705"/>
      <c r="W24" s="706"/>
      <c r="X24" s="1355"/>
      <c r="Y24" s="374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1"/>
      <c r="Q25" s="1352">
        <f>B25</f>
        <v>111</v>
      </c>
      <c r="R25" s="705" t="s">
        <v>14</v>
      </c>
      <c r="S25" s="706">
        <f>F25</f>
        <v>100</v>
      </c>
      <c r="T25" s="705" t="s">
        <v>14</v>
      </c>
      <c r="U25" s="706">
        <f>H25</f>
        <v>100</v>
      </c>
      <c r="V25" s="705" t="s">
        <v>14</v>
      </c>
      <c r="W25" s="706">
        <f>J25</f>
        <v>100</v>
      </c>
      <c r="X25" s="1355"/>
      <c r="Y25" s="374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1"/>
      <c r="Q26" s="1352">
        <f t="shared" ref="Q26:Q40" si="11">B26</f>
        <v>111</v>
      </c>
      <c r="R26" s="705" t="s">
        <v>14</v>
      </c>
      <c r="S26" s="706">
        <f>F26</f>
        <v>100</v>
      </c>
      <c r="T26" s="705" t="s">
        <v>14</v>
      </c>
      <c r="U26" s="706">
        <f>H26</f>
        <v>100</v>
      </c>
      <c r="V26" s="705" t="s">
        <v>14</v>
      </c>
      <c r="W26" s="706">
        <f>J26</f>
        <v>100</v>
      </c>
      <c r="X26" s="1355"/>
      <c r="Y26" s="374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1"/>
      <c r="Q27" s="1343">
        <f t="shared" si="11"/>
        <v>111</v>
      </c>
      <c r="R27" s="701" t="s">
        <v>14</v>
      </c>
      <c r="S27" s="702">
        <f>F27</f>
        <v>100</v>
      </c>
      <c r="T27" s="701" t="s">
        <v>14</v>
      </c>
      <c r="U27" s="702">
        <f>H27</f>
        <v>100</v>
      </c>
      <c r="V27" s="701" t="s">
        <v>14</v>
      </c>
      <c r="W27" s="702">
        <f>J27</f>
        <v>100</v>
      </c>
      <c r="X27" s="703"/>
      <c r="Y27" s="374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1"/>
      <c r="Q28" s="1352">
        <f t="shared" si="11"/>
        <v>111</v>
      </c>
      <c r="R28" s="705" t="s">
        <v>14</v>
      </c>
      <c r="S28" s="706">
        <f t="shared" ref="S28:S40" si="12">F28</f>
        <v>100</v>
      </c>
      <c r="T28" s="705" t="s">
        <v>14</v>
      </c>
      <c r="U28" s="706">
        <f t="shared" ref="U28:U40" si="13">H28</f>
        <v>100</v>
      </c>
      <c r="V28" s="705" t="s">
        <v>14</v>
      </c>
      <c r="W28" s="706">
        <f t="shared" ref="W28:W40" si="14">J28</f>
        <v>100</v>
      </c>
      <c r="X28" s="1355"/>
      <c r="Y28" s="374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6" t="s">
        <v>1696</v>
      </c>
      <c r="Q29" s="1352" t="str">
        <f t="shared" si="11"/>
        <v>建筑类型</v>
      </c>
      <c r="R29" s="705" t="s">
        <v>14</v>
      </c>
      <c r="S29" s="706">
        <f t="shared" si="12"/>
        <v>100</v>
      </c>
      <c r="T29" s="705" t="s">
        <v>14</v>
      </c>
      <c r="U29" s="706">
        <f t="shared" si="13"/>
        <v>100</v>
      </c>
      <c r="V29" s="705" t="s">
        <v>14</v>
      </c>
      <c r="W29" s="706">
        <f t="shared" si="14"/>
        <v>100</v>
      </c>
      <c r="X29" s="1355"/>
      <c r="Y29" s="374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5"/>
      <c r="Q30" s="707" t="str">
        <f t="shared" si="11"/>
        <v>项目建筑规模</v>
      </c>
      <c r="R30" s="708" t="s">
        <v>14</v>
      </c>
      <c r="S30" s="709" t="e">
        <f t="shared" si="12"/>
        <v>#N/A</v>
      </c>
      <c r="T30" s="708" t="s">
        <v>14</v>
      </c>
      <c r="U30" s="709" t="e">
        <f t="shared" si="13"/>
        <v>#N/A</v>
      </c>
      <c r="V30" s="708" t="s">
        <v>14</v>
      </c>
      <c r="W30" s="709" t="e">
        <f t="shared" si="14"/>
        <v>#N/A</v>
      </c>
      <c r="X30" s="710"/>
      <c r="Y30" s="374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5"/>
      <c r="Q31" s="1352" t="str">
        <f t="shared" si="11"/>
        <v>建筑结构</v>
      </c>
      <c r="R31" s="705" t="s">
        <v>14</v>
      </c>
      <c r="S31" s="706">
        <f t="shared" si="12"/>
        <v>100</v>
      </c>
      <c r="T31" s="705" t="s">
        <v>14</v>
      </c>
      <c r="U31" s="706">
        <f t="shared" si="13"/>
        <v>100</v>
      </c>
      <c r="V31" s="705" t="s">
        <v>14</v>
      </c>
      <c r="W31" s="706">
        <f t="shared" si="14"/>
        <v>100</v>
      </c>
      <c r="X31" s="1355"/>
      <c r="Y31" s="374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5"/>
      <c r="Q32" s="1352" t="str">
        <f t="shared" si="11"/>
        <v>公共部分装修</v>
      </c>
      <c r="R32" s="705" t="s">
        <v>14</v>
      </c>
      <c r="S32" s="706">
        <f t="shared" si="12"/>
        <v>100</v>
      </c>
      <c r="T32" s="705" t="s">
        <v>14</v>
      </c>
      <c r="U32" s="706">
        <f t="shared" si="13"/>
        <v>100</v>
      </c>
      <c r="V32" s="705" t="s">
        <v>14</v>
      </c>
      <c r="W32" s="706">
        <f t="shared" si="14"/>
        <v>100</v>
      </c>
      <c r="X32" s="1355"/>
      <c r="Y32" s="374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5"/>
      <c r="Q33" s="1352" t="str">
        <f t="shared" si="11"/>
        <v>成新度</v>
      </c>
      <c r="R33" s="705" t="s">
        <v>14</v>
      </c>
      <c r="S33" s="706" t="e">
        <f t="shared" si="12"/>
        <v>#N/A</v>
      </c>
      <c r="T33" s="705" t="s">
        <v>14</v>
      </c>
      <c r="U33" s="706" t="e">
        <f t="shared" si="13"/>
        <v>#N/A</v>
      </c>
      <c r="V33" s="705" t="s">
        <v>14</v>
      </c>
      <c r="W33" s="706" t="e">
        <f t="shared" si="14"/>
        <v>#N/A</v>
      </c>
      <c r="X33" s="1355"/>
      <c r="Y33" s="374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5"/>
      <c r="Q34" s="1343" t="str">
        <f t="shared" si="11"/>
        <v>物业管理</v>
      </c>
      <c r="R34" s="701" t="s">
        <v>14</v>
      </c>
      <c r="S34" s="702">
        <f t="shared" si="12"/>
        <v>100</v>
      </c>
      <c r="T34" s="701" t="s">
        <v>14</v>
      </c>
      <c r="U34" s="702">
        <f t="shared" si="13"/>
        <v>100</v>
      </c>
      <c r="V34" s="701" t="s">
        <v>14</v>
      </c>
      <c r="W34" s="702">
        <f t="shared" si="14"/>
        <v>100</v>
      </c>
      <c r="X34" s="703"/>
      <c r="Y34" s="374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5" t="s">
        <v>1696</v>
      </c>
      <c r="Q35" s="1352" t="str">
        <f t="shared" si="11"/>
        <v>市政基础设施</v>
      </c>
      <c r="R35" s="705" t="s">
        <v>14</v>
      </c>
      <c r="S35" s="706">
        <f t="shared" si="12"/>
        <v>100</v>
      </c>
      <c r="T35" s="705" t="s">
        <v>14</v>
      </c>
      <c r="U35" s="706">
        <f t="shared" si="13"/>
        <v>100</v>
      </c>
      <c r="V35" s="705" t="s">
        <v>14</v>
      </c>
      <c r="W35" s="706">
        <f t="shared" si="14"/>
        <v>100</v>
      </c>
      <c r="X35" s="1355"/>
      <c r="Y35" s="374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5"/>
      <c r="Q36" s="1352" t="str">
        <f t="shared" si="11"/>
        <v>内部装修</v>
      </c>
      <c r="R36" s="705" t="s">
        <v>14</v>
      </c>
      <c r="S36" s="706">
        <f t="shared" si="12"/>
        <v>100</v>
      </c>
      <c r="T36" s="705" t="s">
        <v>14</v>
      </c>
      <c r="U36" s="706">
        <f t="shared" si="13"/>
        <v>100</v>
      </c>
      <c r="V36" s="705" t="s">
        <v>14</v>
      </c>
      <c r="W36" s="706">
        <f t="shared" si="14"/>
        <v>100</v>
      </c>
      <c r="X36" s="1355"/>
      <c r="Y36" s="374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5"/>
      <c r="Q37" s="1352" t="str">
        <f t="shared" si="11"/>
        <v>内部装修状况</v>
      </c>
      <c r="R37" s="705" t="s">
        <v>14</v>
      </c>
      <c r="S37" s="706">
        <f t="shared" si="12"/>
        <v>100</v>
      </c>
      <c r="T37" s="705" t="s">
        <v>14</v>
      </c>
      <c r="U37" s="706">
        <f t="shared" si="13"/>
        <v>100</v>
      </c>
      <c r="V37" s="705" t="s">
        <v>14</v>
      </c>
      <c r="W37" s="706">
        <f t="shared" si="14"/>
        <v>100</v>
      </c>
      <c r="X37" s="1355"/>
      <c r="Y37" s="374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5"/>
      <c r="Q38" s="707">
        <f t="shared" si="11"/>
        <v>111</v>
      </c>
      <c r="R38" s="708" t="s">
        <v>14</v>
      </c>
      <c r="S38" s="709">
        <f t="shared" si="12"/>
        <v>100</v>
      </c>
      <c r="T38" s="708" t="s">
        <v>14</v>
      </c>
      <c r="U38" s="709">
        <f t="shared" si="13"/>
        <v>100</v>
      </c>
      <c r="V38" s="708" t="s">
        <v>14</v>
      </c>
      <c r="W38" s="709">
        <f t="shared" si="14"/>
        <v>100</v>
      </c>
      <c r="X38" s="710"/>
      <c r="Y38" s="374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5"/>
      <c r="Q39" s="1352">
        <f t="shared" si="11"/>
        <v>111</v>
      </c>
      <c r="R39" s="705" t="s">
        <v>14</v>
      </c>
      <c r="S39" s="706">
        <f t="shared" si="12"/>
        <v>100</v>
      </c>
      <c r="T39" s="705" t="s">
        <v>14</v>
      </c>
      <c r="U39" s="706">
        <f t="shared" si="13"/>
        <v>100</v>
      </c>
      <c r="V39" s="705" t="s">
        <v>14</v>
      </c>
      <c r="W39" s="706">
        <f t="shared" si="14"/>
        <v>100</v>
      </c>
      <c r="X39" s="1355"/>
      <c r="Y39" s="374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6"/>
      <c r="Q40" s="1352">
        <f t="shared" si="11"/>
        <v>111</v>
      </c>
      <c r="R40" s="705" t="s">
        <v>14</v>
      </c>
      <c r="S40" s="706">
        <f t="shared" si="12"/>
        <v>100</v>
      </c>
      <c r="T40" s="705" t="s">
        <v>14</v>
      </c>
      <c r="U40" s="706">
        <f t="shared" si="13"/>
        <v>100</v>
      </c>
      <c r="V40" s="705" t="s">
        <v>14</v>
      </c>
      <c r="W40" s="706">
        <f t="shared" si="14"/>
        <v>100</v>
      </c>
      <c r="X40" s="1355"/>
      <c r="Y40" s="374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44963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8" t="s">
        <v>1686</v>
      </c>
      <c r="Q9" s="1343" t="str">
        <f t="shared" ref="Q9:Q14" si="6">B9</f>
        <v>用途</v>
      </c>
      <c r="R9" s="701" t="s">
        <v>14</v>
      </c>
      <c r="S9" s="702">
        <f t="shared" si="0"/>
        <v>100</v>
      </c>
      <c r="T9" s="701" t="s">
        <v>14</v>
      </c>
      <c r="U9" s="702">
        <f t="shared" si="1"/>
        <v>100</v>
      </c>
      <c r="V9" s="701" t="s">
        <v>14</v>
      </c>
      <c r="W9" s="702">
        <f t="shared" si="2"/>
        <v>100</v>
      </c>
      <c r="X9" s="703"/>
      <c r="Y9" s="359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8"/>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8"/>
      <c r="Q11" s="1343">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8"/>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8"/>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1"/>
      <c r="Q15" s="1352"/>
      <c r="R15" s="705"/>
      <c r="S15" s="706"/>
      <c r="T15" s="705"/>
      <c r="U15" s="706"/>
      <c r="V15" s="705"/>
      <c r="W15" s="706"/>
      <c r="X15" s="1355"/>
      <c r="Y15" s="374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1"/>
      <c r="Q17" s="1352"/>
      <c r="R17" s="705"/>
      <c r="S17" s="706"/>
      <c r="T17" s="705"/>
      <c r="U17" s="706"/>
      <c r="V17" s="705"/>
      <c r="W17" s="706"/>
      <c r="X17" s="1355"/>
      <c r="Y17" s="374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1"/>
      <c r="Q19" s="1352"/>
      <c r="R19" s="705"/>
      <c r="S19" s="706"/>
      <c r="T19" s="705"/>
      <c r="U19" s="706"/>
      <c r="V19" s="705"/>
      <c r="W19" s="706"/>
      <c r="X19" s="1355"/>
      <c r="Y19" s="374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1"/>
      <c r="Q21" s="1352"/>
      <c r="R21" s="705"/>
      <c r="S21" s="706"/>
      <c r="T21" s="705"/>
      <c r="U21" s="706"/>
      <c r="V21" s="705"/>
      <c r="W21" s="706"/>
      <c r="X21" s="1355"/>
      <c r="Y21" s="374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1"/>
      <c r="Q24" s="1352">
        <f t="shared" ref="Q24:Q36"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5"/>
      <c r="Q27" s="707" t="str">
        <f t="shared" si="11"/>
        <v>项目停车位配比</v>
      </c>
      <c r="R27" s="708" t="s">
        <v>14</v>
      </c>
      <c r="S27" s="709">
        <f t="shared" si="12"/>
        <v>100</v>
      </c>
      <c r="T27" s="708" t="s">
        <v>14</v>
      </c>
      <c r="U27" s="709">
        <f t="shared" si="13"/>
        <v>100</v>
      </c>
      <c r="V27" s="708" t="s">
        <v>14</v>
      </c>
      <c r="W27" s="709">
        <f t="shared" si="14"/>
        <v>100</v>
      </c>
      <c r="X27" s="710"/>
      <c r="Y27" s="374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5"/>
      <c r="Q28" s="1352" t="str">
        <f t="shared" si="11"/>
        <v>公共部分装修</v>
      </c>
      <c r="R28" s="705" t="s">
        <v>14</v>
      </c>
      <c r="S28" s="706">
        <f t="shared" si="12"/>
        <v>100</v>
      </c>
      <c r="T28" s="705" t="s">
        <v>14</v>
      </c>
      <c r="U28" s="706">
        <f t="shared" si="13"/>
        <v>100</v>
      </c>
      <c r="V28" s="705" t="s">
        <v>14</v>
      </c>
      <c r="W28" s="706">
        <f t="shared" si="14"/>
        <v>100</v>
      </c>
      <c r="X28" s="1355"/>
      <c r="Y28" s="374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5"/>
      <c r="Q29" s="1352" t="str">
        <f t="shared" si="11"/>
        <v>成新率</v>
      </c>
      <c r="R29" s="705" t="s">
        <v>14</v>
      </c>
      <c r="S29" s="706" t="e">
        <f t="shared" si="12"/>
        <v>#N/A</v>
      </c>
      <c r="T29" s="705" t="s">
        <v>14</v>
      </c>
      <c r="U29" s="706" t="e">
        <f t="shared" si="13"/>
        <v>#N/A</v>
      </c>
      <c r="V29" s="705" t="s">
        <v>14</v>
      </c>
      <c r="W29" s="706" t="e">
        <f t="shared" si="14"/>
        <v>#N/A</v>
      </c>
      <c r="X29" s="1355"/>
      <c r="Y29" s="374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5"/>
      <c r="Q30" s="1352" t="str">
        <f t="shared" si="11"/>
        <v>物业等级</v>
      </c>
      <c r="R30" s="705" t="s">
        <v>14</v>
      </c>
      <c r="S30" s="706">
        <f t="shared" si="12"/>
        <v>100</v>
      </c>
      <c r="T30" s="705" t="s">
        <v>14</v>
      </c>
      <c r="U30" s="706">
        <f t="shared" si="13"/>
        <v>100</v>
      </c>
      <c r="V30" s="705" t="s">
        <v>14</v>
      </c>
      <c r="W30" s="706">
        <f t="shared" si="14"/>
        <v>100</v>
      </c>
      <c r="X30" s="1355"/>
      <c r="Y30" s="374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5"/>
      <c r="Q31" s="1343" t="str">
        <f t="shared" si="11"/>
        <v>停车位面积</v>
      </c>
      <c r="R31" s="701" t="s">
        <v>14</v>
      </c>
      <c r="S31" s="702" t="e">
        <f t="shared" si="12"/>
        <v>#N/A</v>
      </c>
      <c r="T31" s="701" t="s">
        <v>14</v>
      </c>
      <c r="U31" s="702" t="e">
        <f t="shared" si="13"/>
        <v>#N/A</v>
      </c>
      <c r="V31" s="701" t="s">
        <v>14</v>
      </c>
      <c r="W31" s="702" t="e">
        <f t="shared" si="14"/>
        <v>#N/A</v>
      </c>
      <c r="X31" s="703"/>
      <c r="Y31" s="374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5" t="s">
        <v>1696</v>
      </c>
      <c r="Q32" s="1352" t="str">
        <f t="shared" si="11"/>
        <v>车位类型</v>
      </c>
      <c r="R32" s="705" t="s">
        <v>14</v>
      </c>
      <c r="S32" s="706">
        <f t="shared" si="12"/>
        <v>100</v>
      </c>
      <c r="T32" s="705" t="s">
        <v>14</v>
      </c>
      <c r="U32" s="706">
        <f t="shared" si="13"/>
        <v>100</v>
      </c>
      <c r="V32" s="705" t="s">
        <v>14</v>
      </c>
      <c r="W32" s="706">
        <f t="shared" si="14"/>
        <v>100</v>
      </c>
      <c r="X32" s="1355"/>
      <c r="Y32" s="374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5"/>
      <c r="Q33" s="1352" t="str">
        <f t="shared" si="11"/>
        <v>是否直接入户</v>
      </c>
      <c r="R33" s="705" t="s">
        <v>14</v>
      </c>
      <c r="S33" s="706">
        <f t="shared" si="12"/>
        <v>100</v>
      </c>
      <c r="T33" s="705" t="s">
        <v>14</v>
      </c>
      <c r="U33" s="706">
        <f t="shared" si="13"/>
        <v>100</v>
      </c>
      <c r="V33" s="705" t="s">
        <v>14</v>
      </c>
      <c r="W33" s="706">
        <f t="shared" si="14"/>
        <v>100</v>
      </c>
      <c r="X33" s="1355"/>
      <c r="Y33" s="374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5"/>
      <c r="Q35" s="707">
        <f t="shared" si="11"/>
        <v>111</v>
      </c>
      <c r="R35" s="708" t="s">
        <v>14</v>
      </c>
      <c r="S35" s="709">
        <f t="shared" si="12"/>
        <v>100</v>
      </c>
      <c r="T35" s="708" t="s">
        <v>14</v>
      </c>
      <c r="U35" s="709">
        <f t="shared" si="13"/>
        <v>100</v>
      </c>
      <c r="V35" s="708" t="s">
        <v>14</v>
      </c>
      <c r="W35" s="709">
        <f t="shared" si="14"/>
        <v>100</v>
      </c>
      <c r="X35" s="710"/>
      <c r="Y35" s="374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5"/>
      <c r="Q36" s="1352">
        <f t="shared" si="11"/>
        <v>111</v>
      </c>
      <c r="R36" s="705" t="s">
        <v>14</v>
      </c>
      <c r="S36" s="706">
        <f t="shared" si="12"/>
        <v>100</v>
      </c>
      <c r="T36" s="705" t="s">
        <v>14</v>
      </c>
      <c r="U36" s="706">
        <f t="shared" si="13"/>
        <v>100</v>
      </c>
      <c r="V36" s="705" t="s">
        <v>14</v>
      </c>
      <c r="W36" s="706">
        <f t="shared" si="14"/>
        <v>100</v>
      </c>
      <c r="X36" s="1355"/>
      <c r="Y36" s="374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5" t="str">
        <f>A39</f>
        <v>估价对象XX用房的比较价值（楼面单价，元/平方米）</v>
      </c>
      <c r="Q39" s="3736"/>
      <c r="R39" s="3797" t="e">
        <f>IF(F1="售价",ROUND(IF(D38="简单平均",AVERAGE(R38:W38),R38*F38+T38*H38+V38*J38),0),ROUND(IF(D38="简单平均",AVERAGE(R38:V38),R38*F38+T38*H38+V38*J38),1))</f>
        <v>#DIV/0!</v>
      </c>
      <c r="S39" s="3797"/>
      <c r="T39" s="3797"/>
      <c r="U39" s="3797"/>
      <c r="V39" s="3797"/>
      <c r="W39" s="379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44963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74" t="s">
        <v>1683</v>
      </c>
      <c r="Q8" s="3775"/>
      <c r="R8" s="701" t="s">
        <v>14</v>
      </c>
      <c r="S8" s="702">
        <f t="shared" si="0"/>
        <v>100</v>
      </c>
      <c r="T8" s="701" t="s">
        <v>14</v>
      </c>
      <c r="U8" s="702">
        <f t="shared" si="1"/>
        <v>100</v>
      </c>
      <c r="V8" s="701" t="s">
        <v>14</v>
      </c>
      <c r="W8" s="702">
        <f t="shared" si="2"/>
        <v>100</v>
      </c>
      <c r="X8" s="703"/>
      <c r="Y8" s="3774" t="s">
        <v>1683</v>
      </c>
      <c r="Z8" s="37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8" t="s">
        <v>1686</v>
      </c>
      <c r="Q9" s="1343" t="str">
        <f t="shared" ref="Q9:Q14" si="6">B9</f>
        <v>用途</v>
      </c>
      <c r="R9" s="701" t="s">
        <v>14</v>
      </c>
      <c r="S9" s="702">
        <f t="shared" si="0"/>
        <v>100</v>
      </c>
      <c r="T9" s="701" t="s">
        <v>14</v>
      </c>
      <c r="U9" s="702">
        <f t="shared" si="1"/>
        <v>100</v>
      </c>
      <c r="V9" s="701" t="s">
        <v>14</v>
      </c>
      <c r="W9" s="702">
        <f t="shared" si="2"/>
        <v>100</v>
      </c>
      <c r="X9" s="703"/>
      <c r="Y9" s="359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8"/>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8"/>
      <c r="Q11" s="1343">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1"/>
      <c r="Q15" s="1352"/>
      <c r="R15" s="705"/>
      <c r="S15" s="706"/>
      <c r="T15" s="705"/>
      <c r="U15" s="706"/>
      <c r="V15" s="705"/>
      <c r="W15" s="706"/>
      <c r="X15" s="1355"/>
      <c r="Y15" s="374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1"/>
      <c r="Q17" s="1352"/>
      <c r="R17" s="705"/>
      <c r="S17" s="706"/>
      <c r="T17" s="705"/>
      <c r="U17" s="706"/>
      <c r="V17" s="705"/>
      <c r="W17" s="706"/>
      <c r="X17" s="1355"/>
      <c r="Y17" s="374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1"/>
      <c r="Q19" s="1352"/>
      <c r="R19" s="705"/>
      <c r="S19" s="706"/>
      <c r="T19" s="705"/>
      <c r="U19" s="706"/>
      <c r="V19" s="705"/>
      <c r="W19" s="706"/>
      <c r="X19" s="1355"/>
      <c r="Y19" s="374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1"/>
      <c r="Q21" s="1352"/>
      <c r="R21" s="705"/>
      <c r="S21" s="706"/>
      <c r="T21" s="705"/>
      <c r="U21" s="706"/>
      <c r="V21" s="705"/>
      <c r="W21" s="706"/>
      <c r="X21" s="1355"/>
      <c r="Y21" s="374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1"/>
      <c r="Q24" s="1352">
        <f t="shared" ref="Q24:Q34"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5"/>
      <c r="Q27" s="707" t="str">
        <f t="shared" si="11"/>
        <v>成新率</v>
      </c>
      <c r="R27" s="708" t="s">
        <v>14</v>
      </c>
      <c r="S27" s="709" t="e">
        <f t="shared" si="12"/>
        <v>#N/A</v>
      </c>
      <c r="T27" s="708" t="s">
        <v>14</v>
      </c>
      <c r="U27" s="709" t="e">
        <f t="shared" si="13"/>
        <v>#N/A</v>
      </c>
      <c r="V27" s="708" t="s">
        <v>14</v>
      </c>
      <c r="W27" s="709" t="e">
        <f t="shared" si="14"/>
        <v>#N/A</v>
      </c>
      <c r="X27" s="710"/>
      <c r="Y27" s="374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5"/>
      <c r="Q28" s="1352" t="str">
        <f t="shared" si="11"/>
        <v>物业等级</v>
      </c>
      <c r="R28" s="705" t="s">
        <v>14</v>
      </c>
      <c r="S28" s="706">
        <f t="shared" si="12"/>
        <v>100</v>
      </c>
      <c r="T28" s="705" t="s">
        <v>14</v>
      </c>
      <c r="U28" s="706">
        <f t="shared" si="13"/>
        <v>100</v>
      </c>
      <c r="V28" s="705" t="s">
        <v>14</v>
      </c>
      <c r="W28" s="706">
        <f t="shared" si="14"/>
        <v>100</v>
      </c>
      <c r="X28" s="1355"/>
      <c r="Y28" s="374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5"/>
      <c r="Q29" s="1352" t="str">
        <f t="shared" si="11"/>
        <v>有无电梯</v>
      </c>
      <c r="R29" s="705" t="s">
        <v>14</v>
      </c>
      <c r="S29" s="706">
        <f t="shared" si="12"/>
        <v>100</v>
      </c>
      <c r="T29" s="705" t="s">
        <v>14</v>
      </c>
      <c r="U29" s="706">
        <f t="shared" si="13"/>
        <v>100</v>
      </c>
      <c r="V29" s="705" t="s">
        <v>14</v>
      </c>
      <c r="W29" s="706">
        <f t="shared" si="14"/>
        <v>100</v>
      </c>
      <c r="X29" s="1355"/>
      <c r="Y29" s="374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5"/>
      <c r="Q30" s="1352" t="str">
        <f t="shared" si="11"/>
        <v>建筑面积</v>
      </c>
      <c r="R30" s="705" t="s">
        <v>14</v>
      </c>
      <c r="S30" s="706" t="e">
        <f t="shared" si="12"/>
        <v>#N/A</v>
      </c>
      <c r="T30" s="705" t="s">
        <v>14</v>
      </c>
      <c r="U30" s="706" t="e">
        <f t="shared" si="13"/>
        <v>#N/A</v>
      </c>
      <c r="V30" s="705" t="s">
        <v>14</v>
      </c>
      <c r="W30" s="706" t="e">
        <f t="shared" si="14"/>
        <v>#N/A</v>
      </c>
      <c r="X30" s="1355"/>
      <c r="Y30" s="374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5"/>
      <c r="Q31" s="1343" t="str">
        <f t="shared" si="11"/>
        <v>是否封闭</v>
      </c>
      <c r="R31" s="701" t="s">
        <v>14</v>
      </c>
      <c r="S31" s="702">
        <f t="shared" si="12"/>
        <v>100</v>
      </c>
      <c r="T31" s="701" t="s">
        <v>14</v>
      </c>
      <c r="U31" s="702">
        <f t="shared" si="13"/>
        <v>100</v>
      </c>
      <c r="V31" s="701" t="s">
        <v>14</v>
      </c>
      <c r="W31" s="702">
        <f t="shared" si="14"/>
        <v>100</v>
      </c>
      <c r="X31" s="703"/>
      <c r="Y31" s="374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5" t="s">
        <v>1696</v>
      </c>
      <c r="Q32" s="1352">
        <f t="shared" si="11"/>
        <v>111</v>
      </c>
      <c r="R32" s="705" t="s">
        <v>14</v>
      </c>
      <c r="S32" s="706">
        <f t="shared" si="12"/>
        <v>100</v>
      </c>
      <c r="T32" s="705" t="s">
        <v>14</v>
      </c>
      <c r="U32" s="706">
        <f t="shared" si="13"/>
        <v>100</v>
      </c>
      <c r="V32" s="705" t="s">
        <v>14</v>
      </c>
      <c r="W32" s="706">
        <f t="shared" si="14"/>
        <v>100</v>
      </c>
      <c r="X32" s="1355"/>
      <c r="Y32" s="374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5"/>
      <c r="Q33" s="1352">
        <f t="shared" si="11"/>
        <v>111</v>
      </c>
      <c r="R33" s="705" t="s">
        <v>14</v>
      </c>
      <c r="S33" s="706">
        <f t="shared" si="12"/>
        <v>100</v>
      </c>
      <c r="T33" s="705" t="s">
        <v>14</v>
      </c>
      <c r="U33" s="706">
        <f t="shared" si="13"/>
        <v>100</v>
      </c>
      <c r="V33" s="705" t="s">
        <v>14</v>
      </c>
      <c r="W33" s="706">
        <f t="shared" si="14"/>
        <v>100</v>
      </c>
      <c r="X33" s="1355"/>
      <c r="Y33" s="374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5" t="str">
        <f>A37</f>
        <v>估价对象XX用房的比较价值（楼面单价，元/平方米）</v>
      </c>
      <c r="Q37" s="3736"/>
      <c r="R37" s="3797" t="e">
        <f>IF(F1="售价",ROUND(IF(D36="简单平均",AVERAGE(R36:W36),R36*F36+T36*H36+V36*J36),0),ROUND(IF(D36="简单平均",AVERAGE(R36:V36),R36*F36+T36*H36+V36*J36),1))</f>
        <v>#DIV/0!</v>
      </c>
      <c r="S37" s="3797"/>
      <c r="T37" s="3797"/>
      <c r="U37" s="3797"/>
      <c r="V37" s="3797"/>
      <c r="W37" s="379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30"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30" ht="15.75" thickBot="1">
      <c r="A6" s="360"/>
      <c r="B6" s="361"/>
      <c r="C6" s="3770" t="s">
        <v>1677</v>
      </c>
      <c r="D6" s="3771"/>
      <c r="E6" s="3777" t="s">
        <v>1677</v>
      </c>
      <c r="F6" s="3778"/>
      <c r="G6" s="3770" t="s">
        <v>1677</v>
      </c>
      <c r="H6" s="3771"/>
      <c r="I6" s="3770" t="s">
        <v>1677</v>
      </c>
      <c r="J6" s="3771"/>
      <c r="K6" s="559" t="s">
        <v>1678</v>
      </c>
      <c r="L6" s="2715"/>
      <c r="M6" s="2716"/>
      <c r="N6" s="2716"/>
      <c r="O6" s="2716"/>
      <c r="P6" s="3761"/>
      <c r="Q6" s="3762"/>
      <c r="R6" s="3765"/>
      <c r="S6" s="3766"/>
      <c r="T6" s="3767"/>
      <c r="U6" s="3768"/>
      <c r="V6" s="3769"/>
      <c r="W6" s="3769"/>
      <c r="X6" s="1355"/>
      <c r="Y6" s="3767"/>
      <c r="Z6" s="3768"/>
      <c r="AA6" s="3752"/>
      <c r="AB6" s="3752"/>
      <c r="AC6" s="3752"/>
    </row>
    <row r="7" spans="1:30" s="108" customFormat="1" ht="15.75" thickBot="1">
      <c r="A7" s="362" t="s">
        <v>1679</v>
      </c>
      <c r="B7" s="363"/>
      <c r="C7" s="364">
        <f>'数据-取费表'!B2</f>
        <v>44963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4" t="s">
        <v>1683</v>
      </c>
      <c r="Q8" s="3775"/>
      <c r="R8" s="701" t="s">
        <v>14</v>
      </c>
      <c r="S8" s="702">
        <f t="shared" si="0"/>
        <v>0</v>
      </c>
      <c r="T8" s="701" t="s">
        <v>14</v>
      </c>
      <c r="U8" s="702">
        <f t="shared" si="1"/>
        <v>0</v>
      </c>
      <c r="V8" s="701" t="s">
        <v>14</v>
      </c>
      <c r="W8" s="702">
        <f t="shared" si="2"/>
        <v>0</v>
      </c>
      <c r="X8" s="703"/>
      <c r="Y8" s="3774" t="s">
        <v>1683</v>
      </c>
      <c r="Z8" s="37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38"/>
      <c r="Q10" s="1343" t="str">
        <f t="shared" si="6"/>
        <v>土地使用年限（年）</v>
      </c>
      <c r="R10" s="701" t="s">
        <v>14</v>
      </c>
      <c r="S10" s="702">
        <f t="shared" si="0"/>
        <v>107</v>
      </c>
      <c r="T10" s="701" t="s">
        <v>14</v>
      </c>
      <c r="U10" s="702">
        <f t="shared" si="1"/>
        <v>107</v>
      </c>
      <c r="V10" s="701" t="s">
        <v>14</v>
      </c>
      <c r="W10" s="702">
        <f t="shared" si="2"/>
        <v>107</v>
      </c>
      <c r="X10" s="703"/>
      <c r="Y10" s="3594"/>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8"/>
      <c r="Q12" s="1343" t="str">
        <f t="shared" si="6"/>
        <v>配建</v>
      </c>
      <c r="R12" s="701" t="s">
        <v>14</v>
      </c>
      <c r="S12" s="702">
        <f t="shared" si="0"/>
        <v>100</v>
      </c>
      <c r="T12" s="701" t="s">
        <v>14</v>
      </c>
      <c r="U12" s="702">
        <f t="shared" si="1"/>
        <v>100</v>
      </c>
      <c r="V12" s="701" t="s">
        <v>14</v>
      </c>
      <c r="W12" s="702">
        <f t="shared" si="2"/>
        <v>100</v>
      </c>
      <c r="X12" s="703"/>
      <c r="Y12" s="359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59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59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0" t="s">
        <v>1691</v>
      </c>
      <c r="Q15" s="1352" t="str">
        <f t="shared" si="6"/>
        <v>居住社区成熟度</v>
      </c>
      <c r="R15" s="705" t="s">
        <v>14</v>
      </c>
      <c r="S15" s="706">
        <f t="shared" si="0"/>
        <v>100</v>
      </c>
      <c r="T15" s="705" t="s">
        <v>14</v>
      </c>
      <c r="U15" s="706">
        <f t="shared" si="1"/>
        <v>100</v>
      </c>
      <c r="V15" s="705" t="s">
        <v>14</v>
      </c>
      <c r="W15" s="706">
        <f t="shared" si="2"/>
        <v>100</v>
      </c>
      <c r="X15" s="1355"/>
      <c r="Y15" s="374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1"/>
      <c r="Q17" s="1352" t="str">
        <f>B17</f>
        <v>商业繁华度</v>
      </c>
      <c r="R17" s="705" t="s">
        <v>14</v>
      </c>
      <c r="S17" s="706">
        <f>F17</f>
        <v>100</v>
      </c>
      <c r="T17" s="705" t="s">
        <v>14</v>
      </c>
      <c r="U17" s="706">
        <f>H17</f>
        <v>100</v>
      </c>
      <c r="V17" s="705" t="s">
        <v>14</v>
      </c>
      <c r="W17" s="706">
        <f>J17</f>
        <v>100</v>
      </c>
      <c r="X17" s="1355"/>
      <c r="Y17" s="37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1"/>
      <c r="Q19" s="1352" t="str">
        <f>B19</f>
        <v>办公集聚程度</v>
      </c>
      <c r="R19" s="705" t="s">
        <v>14</v>
      </c>
      <c r="S19" s="706">
        <f>F19</f>
        <v>100</v>
      </c>
      <c r="T19" s="705" t="s">
        <v>14</v>
      </c>
      <c r="U19" s="706">
        <f>H19</f>
        <v>100</v>
      </c>
      <c r="V19" s="705" t="s">
        <v>14</v>
      </c>
      <c r="W19" s="706">
        <f>J19</f>
        <v>100</v>
      </c>
      <c r="X19" s="1355"/>
      <c r="Y19" s="37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1"/>
      <c r="Q20" s="1352"/>
      <c r="R20" s="705"/>
      <c r="S20" s="706"/>
      <c r="T20" s="705"/>
      <c r="U20" s="706"/>
      <c r="V20" s="705"/>
      <c r="W20" s="706"/>
      <c r="X20" s="1355"/>
      <c r="Y20" s="374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1"/>
      <c r="Q21" s="1352" t="str">
        <f>B21</f>
        <v>交通便捷度</v>
      </c>
      <c r="R21" s="705" t="s">
        <v>14</v>
      </c>
      <c r="S21" s="706">
        <f>F21</f>
        <v>100</v>
      </c>
      <c r="T21" s="705" t="s">
        <v>14</v>
      </c>
      <c r="U21" s="706">
        <f>H21</f>
        <v>100</v>
      </c>
      <c r="V21" s="705" t="s">
        <v>14</v>
      </c>
      <c r="W21" s="706">
        <f>J21</f>
        <v>100</v>
      </c>
      <c r="X21" s="1355"/>
      <c r="Y21" s="37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1"/>
      <c r="Q23" s="1352" t="str">
        <f t="shared" ref="Q23:Q37" si="8">B23</f>
        <v>区域土地利用方向</v>
      </c>
      <c r="R23" s="705" t="s">
        <v>14</v>
      </c>
      <c r="S23" s="706">
        <f>F23</f>
        <v>100</v>
      </c>
      <c r="T23" s="705" t="s">
        <v>14</v>
      </c>
      <c r="U23" s="706">
        <f>H23</f>
        <v>100</v>
      </c>
      <c r="V23" s="705" t="s">
        <v>14</v>
      </c>
      <c r="W23" s="706">
        <f>J23</f>
        <v>100</v>
      </c>
      <c r="X23" s="1355"/>
      <c r="Y23" s="37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1"/>
      <c r="Q24" s="1352"/>
      <c r="R24" s="705"/>
      <c r="S24" s="706"/>
      <c r="T24" s="705"/>
      <c r="U24" s="706"/>
      <c r="V24" s="705"/>
      <c r="W24" s="706"/>
      <c r="X24" s="1355"/>
      <c r="Y24" s="374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1"/>
      <c r="Q25" s="1352" t="str">
        <f t="shared" si="8"/>
        <v>自然及人文环境状况</v>
      </c>
      <c r="R25" s="705" t="s">
        <v>14</v>
      </c>
      <c r="S25" s="706">
        <f>F25</f>
        <v>100</v>
      </c>
      <c r="T25" s="705" t="s">
        <v>14</v>
      </c>
      <c r="U25" s="706">
        <f>H25</f>
        <v>100</v>
      </c>
      <c r="V25" s="705" t="s">
        <v>14</v>
      </c>
      <c r="W25" s="706">
        <f>J25</f>
        <v>100</v>
      </c>
      <c r="X25" s="1355"/>
      <c r="Y25" s="37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1"/>
      <c r="Q26" s="1352"/>
      <c r="R26" s="705"/>
      <c r="S26" s="706"/>
      <c r="T26" s="705"/>
      <c r="U26" s="706"/>
      <c r="V26" s="705"/>
      <c r="W26" s="706"/>
      <c r="X26" s="1355"/>
      <c r="Y26" s="374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1"/>
      <c r="Q27" s="1343" t="str">
        <f t="shared" si="8"/>
        <v>公共配套设施</v>
      </c>
      <c r="R27" s="701" t="s">
        <v>14</v>
      </c>
      <c r="S27" s="702">
        <f>F27</f>
        <v>100</v>
      </c>
      <c r="T27" s="701" t="s">
        <v>14</v>
      </c>
      <c r="U27" s="702">
        <f>H27</f>
        <v>100</v>
      </c>
      <c r="V27" s="701" t="s">
        <v>14</v>
      </c>
      <c r="W27" s="702">
        <f>J27</f>
        <v>100</v>
      </c>
      <c r="X27" s="703"/>
      <c r="Y27" s="37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1"/>
      <c r="Q28" s="1343"/>
      <c r="R28" s="701"/>
      <c r="S28" s="702"/>
      <c r="T28" s="701"/>
      <c r="U28" s="702"/>
      <c r="V28" s="701"/>
      <c r="W28" s="702"/>
      <c r="X28" s="703"/>
      <c r="Y28" s="374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1"/>
      <c r="Q29" s="1343" t="str">
        <f t="shared" ref="Q29" si="9">B29</f>
        <v>基础设施水平</v>
      </c>
      <c r="R29" s="701" t="s">
        <v>14</v>
      </c>
      <c r="S29" s="702">
        <f>F29</f>
        <v>100</v>
      </c>
      <c r="T29" s="701" t="s">
        <v>14</v>
      </c>
      <c r="U29" s="702">
        <f>H29</f>
        <v>100</v>
      </c>
      <c r="V29" s="701" t="s">
        <v>14</v>
      </c>
      <c r="W29" s="702">
        <f>J29</f>
        <v>100</v>
      </c>
      <c r="X29" s="703"/>
      <c r="Y29" s="37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1"/>
      <c r="Q30" s="1343"/>
      <c r="R30" s="701"/>
      <c r="S30" s="702"/>
      <c r="T30" s="701"/>
      <c r="U30" s="702"/>
      <c r="V30" s="701"/>
      <c r="W30" s="702"/>
      <c r="X30" s="703"/>
      <c r="Y30" s="374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1"/>
      <c r="Q32" s="1352" t="str">
        <f t="shared" si="8"/>
        <v>毗邻道路的类型与等级</v>
      </c>
      <c r="R32" s="705" t="s">
        <v>14</v>
      </c>
      <c r="S32" s="706">
        <f t="shared" si="10"/>
        <v>100</v>
      </c>
      <c r="T32" s="705" t="s">
        <v>14</v>
      </c>
      <c r="U32" s="706">
        <f t="shared" si="11"/>
        <v>100</v>
      </c>
      <c r="V32" s="705" t="s">
        <v>14</v>
      </c>
      <c r="W32" s="706">
        <f t="shared" si="12"/>
        <v>100</v>
      </c>
      <c r="X32" s="1355"/>
      <c r="Y32" s="37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1"/>
      <c r="Q33" s="1352"/>
      <c r="R33" s="705"/>
      <c r="S33" s="706"/>
      <c r="T33" s="705"/>
      <c r="U33" s="706"/>
      <c r="V33" s="705"/>
      <c r="W33" s="706"/>
      <c r="X33" s="1355"/>
      <c r="Y33" s="374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1"/>
      <c r="Q34" s="1352" t="str">
        <f t="shared" si="8"/>
        <v>土地级别</v>
      </c>
      <c r="R34" s="705" t="s">
        <v>14</v>
      </c>
      <c r="S34" s="706">
        <f t="shared" si="10"/>
        <v>100</v>
      </c>
      <c r="T34" s="705" t="s">
        <v>14</v>
      </c>
      <c r="U34" s="706">
        <f t="shared" si="11"/>
        <v>100</v>
      </c>
      <c r="V34" s="705" t="s">
        <v>14</v>
      </c>
      <c r="W34" s="706">
        <f t="shared" si="12"/>
        <v>100</v>
      </c>
      <c r="X34" s="1355"/>
      <c r="Y34" s="37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1"/>
      <c r="Q35" s="1352">
        <f t="shared" si="8"/>
        <v>111</v>
      </c>
      <c r="R35" s="705" t="s">
        <v>14</v>
      </c>
      <c r="S35" s="706">
        <f t="shared" si="10"/>
        <v>100</v>
      </c>
      <c r="T35" s="705" t="s">
        <v>14</v>
      </c>
      <c r="U35" s="706">
        <f t="shared" si="11"/>
        <v>100</v>
      </c>
      <c r="V35" s="705" t="s">
        <v>14</v>
      </c>
      <c r="W35" s="706">
        <f t="shared" si="12"/>
        <v>100</v>
      </c>
      <c r="X35" s="1355"/>
      <c r="Y35" s="37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6" t="s">
        <v>1696</v>
      </c>
      <c r="Q36" s="1352">
        <f t="shared" si="8"/>
        <v>111</v>
      </c>
      <c r="R36" s="705" t="s">
        <v>14</v>
      </c>
      <c r="S36" s="706">
        <f t="shared" si="10"/>
        <v>100</v>
      </c>
      <c r="T36" s="705" t="s">
        <v>14</v>
      </c>
      <c r="U36" s="706">
        <f t="shared" si="11"/>
        <v>100</v>
      </c>
      <c r="V36" s="705" t="s">
        <v>14</v>
      </c>
      <c r="W36" s="706">
        <f t="shared" si="12"/>
        <v>100</v>
      </c>
      <c r="X36" s="1355"/>
      <c r="Y36" s="374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5"/>
      <c r="Q37" s="1352">
        <f t="shared" si="8"/>
        <v>111</v>
      </c>
      <c r="R37" s="708" t="s">
        <v>14</v>
      </c>
      <c r="S37" s="709">
        <f t="shared" si="10"/>
        <v>100</v>
      </c>
      <c r="T37" s="708" t="s">
        <v>14</v>
      </c>
      <c r="U37" s="709">
        <f t="shared" si="11"/>
        <v>100</v>
      </c>
      <c r="V37" s="708" t="s">
        <v>14</v>
      </c>
      <c r="W37" s="709">
        <f t="shared" si="12"/>
        <v>100</v>
      </c>
      <c r="X37" s="710"/>
      <c r="Y37" s="374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5"/>
      <c r="Q38" s="1352" t="str">
        <f>B38</f>
        <v>宗地面积</v>
      </c>
      <c r="R38" s="705" t="s">
        <v>14</v>
      </c>
      <c r="S38" s="706" t="e">
        <f t="shared" si="10"/>
        <v>#N/A</v>
      </c>
      <c r="T38" s="705" t="s">
        <v>14</v>
      </c>
      <c r="U38" s="706" t="e">
        <f t="shared" si="11"/>
        <v>#N/A</v>
      </c>
      <c r="V38" s="705" t="s">
        <v>14</v>
      </c>
      <c r="W38" s="706" t="e">
        <f t="shared" si="12"/>
        <v>#N/A</v>
      </c>
      <c r="X38" s="1355"/>
      <c r="Y38" s="374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5"/>
      <c r="Q39" s="1352" t="str">
        <f t="shared" ref="Q39:Q45" si="14">B39</f>
        <v>宗地形状</v>
      </c>
      <c r="R39" s="705" t="s">
        <v>14</v>
      </c>
      <c r="S39" s="706">
        <f t="shared" si="10"/>
        <v>100</v>
      </c>
      <c r="T39" s="705" t="s">
        <v>14</v>
      </c>
      <c r="U39" s="706">
        <f t="shared" si="11"/>
        <v>100</v>
      </c>
      <c r="V39" s="705" t="s">
        <v>14</v>
      </c>
      <c r="W39" s="706">
        <f t="shared" si="12"/>
        <v>100</v>
      </c>
      <c r="X39" s="1355"/>
      <c r="Y39" s="374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5"/>
      <c r="Q40" s="1352" t="str">
        <f t="shared" si="14"/>
        <v>临街宽度及深度</v>
      </c>
      <c r="R40" s="705" t="s">
        <v>14</v>
      </c>
      <c r="S40" s="706">
        <f t="shared" si="10"/>
        <v>100</v>
      </c>
      <c r="T40" s="705" t="s">
        <v>14</v>
      </c>
      <c r="U40" s="706">
        <f t="shared" si="11"/>
        <v>100</v>
      </c>
      <c r="V40" s="705" t="s">
        <v>14</v>
      </c>
      <c r="W40" s="706">
        <f t="shared" si="12"/>
        <v>100</v>
      </c>
      <c r="X40" s="1355"/>
      <c r="Y40" s="374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5"/>
      <c r="Q41" s="1352" t="str">
        <f t="shared" si="14"/>
        <v>宗地开发程度</v>
      </c>
      <c r="R41" s="701" t="s">
        <v>14</v>
      </c>
      <c r="S41" s="702">
        <f t="shared" si="10"/>
        <v>100</v>
      </c>
      <c r="T41" s="701" t="s">
        <v>14</v>
      </c>
      <c r="U41" s="702">
        <f t="shared" si="11"/>
        <v>100</v>
      </c>
      <c r="V41" s="701" t="s">
        <v>14</v>
      </c>
      <c r="W41" s="702">
        <f t="shared" si="12"/>
        <v>100</v>
      </c>
      <c r="X41" s="703"/>
      <c r="Y41" s="374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5" t="s">
        <v>1696</v>
      </c>
      <c r="Q42" s="1352" t="str">
        <f t="shared" si="14"/>
        <v>工程地质条件</v>
      </c>
      <c r="R42" s="705" t="s">
        <v>14</v>
      </c>
      <c r="S42" s="706">
        <f t="shared" si="10"/>
        <v>100</v>
      </c>
      <c r="T42" s="705" t="s">
        <v>14</v>
      </c>
      <c r="U42" s="706">
        <f t="shared" si="11"/>
        <v>100</v>
      </c>
      <c r="V42" s="705" t="s">
        <v>14</v>
      </c>
      <c r="W42" s="706">
        <f t="shared" si="12"/>
        <v>100</v>
      </c>
      <c r="X42" s="1355"/>
      <c r="Y42" s="374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5"/>
      <c r="Q43" s="1352">
        <f t="shared" si="14"/>
        <v>111</v>
      </c>
      <c r="R43" s="705" t="s">
        <v>14</v>
      </c>
      <c r="S43" s="706">
        <f t="shared" si="10"/>
        <v>100</v>
      </c>
      <c r="T43" s="705" t="s">
        <v>14</v>
      </c>
      <c r="U43" s="706">
        <f t="shared" si="11"/>
        <v>100</v>
      </c>
      <c r="V43" s="705" t="s">
        <v>14</v>
      </c>
      <c r="W43" s="706">
        <f t="shared" si="12"/>
        <v>100</v>
      </c>
      <c r="X43" s="1355"/>
      <c r="Y43" s="374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5"/>
      <c r="Q44" s="1352">
        <f t="shared" si="14"/>
        <v>111</v>
      </c>
      <c r="R44" s="705" t="s">
        <v>14</v>
      </c>
      <c r="S44" s="706">
        <f t="shared" si="10"/>
        <v>100</v>
      </c>
      <c r="T44" s="705" t="s">
        <v>14</v>
      </c>
      <c r="U44" s="706">
        <f t="shared" si="11"/>
        <v>100</v>
      </c>
      <c r="V44" s="705" t="s">
        <v>14</v>
      </c>
      <c r="W44" s="706">
        <f t="shared" si="12"/>
        <v>100</v>
      </c>
      <c r="X44" s="1355"/>
      <c r="Y44" s="374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5"/>
      <c r="Q45" s="1352">
        <f t="shared" si="14"/>
        <v>111</v>
      </c>
      <c r="R45" s="708" t="s">
        <v>14</v>
      </c>
      <c r="S45" s="709">
        <f t="shared" si="10"/>
        <v>100</v>
      </c>
      <c r="T45" s="708" t="s">
        <v>14</v>
      </c>
      <c r="U45" s="709">
        <f t="shared" si="11"/>
        <v>100</v>
      </c>
      <c r="V45" s="708" t="s">
        <v>14</v>
      </c>
      <c r="W45" s="709">
        <f t="shared" si="12"/>
        <v>100</v>
      </c>
      <c r="X45" s="710"/>
      <c r="Y45" s="374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8" t="str">
        <f>A46</f>
        <v>成交单价</v>
      </c>
      <c r="Q46" s="3738"/>
      <c r="R46" s="3769">
        <f>E46</f>
        <v>0</v>
      </c>
      <c r="S46" s="3769"/>
      <c r="T46" s="3769">
        <f>G46</f>
        <v>0</v>
      </c>
      <c r="U46" s="3769"/>
      <c r="V46" s="3769">
        <f>I46</f>
        <v>0</v>
      </c>
      <c r="W46" s="376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8" t="str">
        <f>A47</f>
        <v>比较价值（元/平方米）</v>
      </c>
      <c r="Q47" s="3738"/>
      <c r="R47" s="3798" t="e">
        <f>ROUND(PRODUCT(R46,AA7:AA45),0)</f>
        <v>#DIV/0!</v>
      </c>
      <c r="S47" s="3798"/>
      <c r="T47" s="3798" t="e">
        <f>ROUND(PRODUCT(T46,AB7:AB45),0)</f>
        <v>#DIV/0!</v>
      </c>
      <c r="U47" s="3798"/>
      <c r="V47" s="3798" t="e">
        <f>ROUND(PRODUCT(V46,AC7:AC45),0)</f>
        <v>#DIV/0!</v>
      </c>
      <c r="W47" s="379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5" t="str">
        <f>A48</f>
        <v>估价对象XX用房的比较价值（楼面单价，元/平方米）</v>
      </c>
      <c r="Q48" s="3736"/>
      <c r="R48" s="3799" t="e">
        <f>ROUND(IF(D47="简单平均",AVERAGE(R47:W47),R47*F47+T47*H47+V47*J47),0)</f>
        <v>#DIV/0!</v>
      </c>
      <c r="S48" s="3799"/>
      <c r="T48" s="3799"/>
      <c r="U48" s="3799"/>
      <c r="V48" s="3799"/>
      <c r="W48" s="379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3" t="s">
        <v>1887</v>
      </c>
      <c r="H55" s="380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91353.25</v>
      </c>
      <c r="F56" s="886" t="e">
        <f t="shared" ref="F56:F64" si="15">ROUND(B56*E56/10000,0)</f>
        <v>#DIV/0!</v>
      </c>
      <c r="G56" s="3749"/>
      <c r="H56" s="373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91353.25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63" t="s">
        <v>1771</v>
      </c>
      <c r="S4" s="3764"/>
      <c r="T4" s="3763" t="s">
        <v>1772</v>
      </c>
      <c r="U4" s="3764"/>
      <c r="V4" s="3769" t="s">
        <v>1773</v>
      </c>
      <c r="W4" s="3769"/>
      <c r="X4" s="1355"/>
      <c r="Y4" s="3763" t="s">
        <v>1775</v>
      </c>
      <c r="Z4" s="3764"/>
      <c r="AA4" s="3750" t="s">
        <v>1771</v>
      </c>
      <c r="AB4" s="3751" t="s">
        <v>1772</v>
      </c>
      <c r="AC4" s="3750" t="s">
        <v>1773</v>
      </c>
    </row>
    <row r="5" spans="1:29" ht="15">
      <c r="A5" s="358"/>
      <c r="B5" s="359"/>
      <c r="C5" s="3772" t="s">
        <v>1673</v>
      </c>
      <c r="D5" s="3773"/>
      <c r="E5" s="3779" t="s">
        <v>1674</v>
      </c>
      <c r="F5" s="3780"/>
      <c r="G5" s="3772" t="s">
        <v>1675</v>
      </c>
      <c r="H5" s="3773"/>
      <c r="I5" s="3772" t="s">
        <v>1676</v>
      </c>
      <c r="J5" s="3773"/>
      <c r="K5" s="559"/>
      <c r="L5" s="2715"/>
      <c r="M5" s="2716"/>
      <c r="N5" s="2716"/>
      <c r="O5" s="2716"/>
      <c r="P5" s="3759"/>
      <c r="Q5" s="3760"/>
      <c r="R5" s="3765"/>
      <c r="S5" s="3766"/>
      <c r="T5" s="3765"/>
      <c r="U5" s="3766"/>
      <c r="V5" s="3769"/>
      <c r="W5" s="3769"/>
      <c r="X5" s="1355"/>
      <c r="Y5" s="3765"/>
      <c r="Z5" s="3766"/>
      <c r="AA5" s="3751"/>
      <c r="AB5" s="3751"/>
      <c r="AC5" s="3751"/>
    </row>
    <row r="6" spans="1:29" ht="15.75" thickBot="1">
      <c r="A6" s="360"/>
      <c r="B6" s="361"/>
      <c r="C6" s="3801" t="s">
        <v>1919</v>
      </c>
      <c r="D6" s="3802"/>
      <c r="E6" s="3803" t="s">
        <v>1919</v>
      </c>
      <c r="F6" s="3804"/>
      <c r="G6" s="3801" t="s">
        <v>1919</v>
      </c>
      <c r="H6" s="3802"/>
      <c r="I6" s="3801" t="s">
        <v>1919</v>
      </c>
      <c r="J6" s="3802"/>
      <c r="K6" s="559" t="s">
        <v>1678</v>
      </c>
      <c r="L6" s="2715"/>
      <c r="M6" s="2716"/>
      <c r="N6" s="2716"/>
      <c r="O6" s="2716"/>
      <c r="P6" s="3761"/>
      <c r="Q6" s="3762"/>
      <c r="R6" s="3765"/>
      <c r="S6" s="3766"/>
      <c r="T6" s="3767"/>
      <c r="U6" s="3768"/>
      <c r="V6" s="3769"/>
      <c r="W6" s="3769"/>
      <c r="X6" s="1355"/>
      <c r="Y6" s="3767"/>
      <c r="Z6" s="3768"/>
      <c r="AA6" s="3752"/>
      <c r="AB6" s="3752"/>
      <c r="AC6" s="3752"/>
    </row>
    <row r="7" spans="1:29" s="108" customFormat="1" ht="15.75" thickBot="1">
      <c r="A7" s="362" t="s">
        <v>1679</v>
      </c>
      <c r="B7" s="363"/>
      <c r="C7" s="364">
        <f>'数据-取费表'!B2</f>
        <v>44963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4" t="s">
        <v>1683</v>
      </c>
      <c r="Q8" s="3775"/>
      <c r="R8" s="701" t="s">
        <v>14</v>
      </c>
      <c r="S8" s="702">
        <f t="shared" si="0"/>
        <v>0</v>
      </c>
      <c r="T8" s="701" t="s">
        <v>14</v>
      </c>
      <c r="U8" s="702">
        <f t="shared" si="1"/>
        <v>0</v>
      </c>
      <c r="V8" s="701" t="s">
        <v>14</v>
      </c>
      <c r="W8" s="702">
        <f t="shared" si="2"/>
        <v>0</v>
      </c>
      <c r="X8" s="703"/>
      <c r="Y8" s="3774" t="s">
        <v>1683</v>
      </c>
      <c r="Z8" s="37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59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38"/>
      <c r="Q10" s="1343" t="str">
        <f t="shared" si="6"/>
        <v>土地使用年限（年）</v>
      </c>
      <c r="R10" s="701" t="s">
        <v>14</v>
      </c>
      <c r="S10" s="702">
        <f t="shared" si="0"/>
        <v>107</v>
      </c>
      <c r="T10" s="701" t="s">
        <v>14</v>
      </c>
      <c r="U10" s="702">
        <f t="shared" si="1"/>
        <v>107</v>
      </c>
      <c r="V10" s="701" t="s">
        <v>14</v>
      </c>
      <c r="W10" s="702">
        <f t="shared" si="2"/>
        <v>107</v>
      </c>
      <c r="X10" s="703"/>
      <c r="Y10" s="3594"/>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1"/>
      <c r="Q19" s="1352" t="str">
        <f t="shared" ref="Q19:Q33" si="8">B19</f>
        <v>区域土地利用方向</v>
      </c>
      <c r="R19" s="705" t="s">
        <v>14</v>
      </c>
      <c r="S19" s="706">
        <f>F19</f>
        <v>100</v>
      </c>
      <c r="T19" s="705" t="s">
        <v>14</v>
      </c>
      <c r="U19" s="706">
        <f>H19</f>
        <v>100</v>
      </c>
      <c r="V19" s="705" t="s">
        <v>14</v>
      </c>
      <c r="W19" s="706">
        <f>J19</f>
        <v>100</v>
      </c>
      <c r="X19" s="1355"/>
      <c r="Y19" s="37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1"/>
      <c r="Q20" s="1352"/>
      <c r="R20" s="705"/>
      <c r="S20" s="706"/>
      <c r="T20" s="705"/>
      <c r="U20" s="706"/>
      <c r="V20" s="705"/>
      <c r="W20" s="706"/>
      <c r="X20" s="1355"/>
      <c r="Y20" s="374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1"/>
      <c r="Q21" s="1352" t="str">
        <f t="shared" si="8"/>
        <v>环境状况</v>
      </c>
      <c r="R21" s="705" t="s">
        <v>14</v>
      </c>
      <c r="S21" s="706">
        <f>F21</f>
        <v>100</v>
      </c>
      <c r="T21" s="705" t="s">
        <v>14</v>
      </c>
      <c r="U21" s="706">
        <f>H21</f>
        <v>100</v>
      </c>
      <c r="V21" s="705" t="s">
        <v>14</v>
      </c>
      <c r="W21" s="706">
        <f>J21</f>
        <v>100</v>
      </c>
      <c r="X21" s="1355"/>
      <c r="Y21" s="37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1"/>
      <c r="Q23" s="1343" t="str">
        <f t="shared" si="8"/>
        <v>公共配套设施</v>
      </c>
      <c r="R23" s="701" t="s">
        <v>14</v>
      </c>
      <c r="S23" s="702">
        <f>F23</f>
        <v>100</v>
      </c>
      <c r="T23" s="701" t="s">
        <v>14</v>
      </c>
      <c r="U23" s="702">
        <f>H23</f>
        <v>100</v>
      </c>
      <c r="V23" s="701" t="s">
        <v>14</v>
      </c>
      <c r="W23" s="702">
        <f>J23</f>
        <v>100</v>
      </c>
      <c r="X23" s="703"/>
      <c r="Y23" s="37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1"/>
      <c r="Q24" s="1343"/>
      <c r="R24" s="701"/>
      <c r="S24" s="702"/>
      <c r="T24" s="701"/>
      <c r="U24" s="702"/>
      <c r="V24" s="701"/>
      <c r="W24" s="702"/>
      <c r="X24" s="703"/>
      <c r="Y24" s="374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1"/>
      <c r="Q25" s="1343" t="str">
        <f t="shared" ref="Q25" si="9">B25</f>
        <v>基础设施水平</v>
      </c>
      <c r="R25" s="701" t="s">
        <v>14</v>
      </c>
      <c r="S25" s="702">
        <f>F25</f>
        <v>100</v>
      </c>
      <c r="T25" s="701" t="s">
        <v>14</v>
      </c>
      <c r="U25" s="702">
        <f>H25</f>
        <v>100</v>
      </c>
      <c r="V25" s="701" t="s">
        <v>14</v>
      </c>
      <c r="W25" s="702">
        <f>J25</f>
        <v>100</v>
      </c>
      <c r="X25" s="703"/>
      <c r="Y25" s="37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1"/>
      <c r="Q26" s="1343"/>
      <c r="R26" s="701"/>
      <c r="S26" s="702"/>
      <c r="T26" s="701"/>
      <c r="U26" s="702"/>
      <c r="V26" s="701"/>
      <c r="W26" s="702"/>
      <c r="X26" s="703"/>
      <c r="Y26" s="374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1"/>
      <c r="Q28" s="1352" t="str">
        <f t="shared" si="8"/>
        <v>毗邻道路的类型与等级</v>
      </c>
      <c r="R28" s="705" t="s">
        <v>14</v>
      </c>
      <c r="S28" s="706">
        <f t="shared" si="10"/>
        <v>100</v>
      </c>
      <c r="T28" s="705" t="s">
        <v>14</v>
      </c>
      <c r="U28" s="706">
        <f t="shared" si="11"/>
        <v>100</v>
      </c>
      <c r="V28" s="705" t="s">
        <v>14</v>
      </c>
      <c r="W28" s="706">
        <f t="shared" si="12"/>
        <v>100</v>
      </c>
      <c r="X28" s="1355"/>
      <c r="Y28" s="37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1"/>
      <c r="Q29" s="1352"/>
      <c r="R29" s="705"/>
      <c r="S29" s="706"/>
      <c r="T29" s="705"/>
      <c r="U29" s="706"/>
      <c r="V29" s="705"/>
      <c r="W29" s="706"/>
      <c r="X29" s="1355"/>
      <c r="Y29" s="374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1"/>
      <c r="Q30" s="1352" t="str">
        <f t="shared" si="8"/>
        <v>土地级别</v>
      </c>
      <c r="R30" s="705" t="s">
        <v>14</v>
      </c>
      <c r="S30" s="706">
        <f t="shared" si="10"/>
        <v>100</v>
      </c>
      <c r="T30" s="705" t="s">
        <v>14</v>
      </c>
      <c r="U30" s="706">
        <f t="shared" si="11"/>
        <v>100</v>
      </c>
      <c r="V30" s="705" t="s">
        <v>14</v>
      </c>
      <c r="W30" s="706">
        <f t="shared" si="12"/>
        <v>100</v>
      </c>
      <c r="X30" s="1355"/>
      <c r="Y30" s="37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1"/>
      <c r="Q31" s="1352">
        <f t="shared" si="8"/>
        <v>111</v>
      </c>
      <c r="R31" s="705" t="s">
        <v>14</v>
      </c>
      <c r="S31" s="706">
        <f t="shared" si="10"/>
        <v>100</v>
      </c>
      <c r="T31" s="705" t="s">
        <v>14</v>
      </c>
      <c r="U31" s="706">
        <f t="shared" si="11"/>
        <v>100</v>
      </c>
      <c r="V31" s="705" t="s">
        <v>14</v>
      </c>
      <c r="W31" s="706">
        <f t="shared" si="12"/>
        <v>100</v>
      </c>
      <c r="X31" s="1355"/>
      <c r="Y31" s="37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6" t="s">
        <v>1696</v>
      </c>
      <c r="Q32" s="1352">
        <f t="shared" si="8"/>
        <v>111</v>
      </c>
      <c r="R32" s="705" t="s">
        <v>14</v>
      </c>
      <c r="S32" s="706">
        <f t="shared" si="10"/>
        <v>100</v>
      </c>
      <c r="T32" s="705" t="s">
        <v>14</v>
      </c>
      <c r="U32" s="706">
        <f t="shared" si="11"/>
        <v>100</v>
      </c>
      <c r="V32" s="705" t="s">
        <v>14</v>
      </c>
      <c r="W32" s="706">
        <f t="shared" si="12"/>
        <v>100</v>
      </c>
      <c r="X32" s="1355"/>
      <c r="Y32" s="374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5"/>
      <c r="Q33" s="1352">
        <f t="shared" si="8"/>
        <v>111</v>
      </c>
      <c r="R33" s="708" t="s">
        <v>14</v>
      </c>
      <c r="S33" s="709">
        <f t="shared" si="10"/>
        <v>100</v>
      </c>
      <c r="T33" s="708" t="s">
        <v>14</v>
      </c>
      <c r="U33" s="709">
        <f t="shared" si="11"/>
        <v>100</v>
      </c>
      <c r="V33" s="708" t="s">
        <v>14</v>
      </c>
      <c r="W33" s="709">
        <f t="shared" si="12"/>
        <v>100</v>
      </c>
      <c r="X33" s="710"/>
      <c r="Y33" s="374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5"/>
      <c r="Q34" s="1352" t="str">
        <f>B34</f>
        <v>宗地面积</v>
      </c>
      <c r="R34" s="705" t="s">
        <v>14</v>
      </c>
      <c r="S34" s="706" t="e">
        <f t="shared" si="10"/>
        <v>#N/A</v>
      </c>
      <c r="T34" s="705" t="s">
        <v>14</v>
      </c>
      <c r="U34" s="706" t="e">
        <f t="shared" si="11"/>
        <v>#N/A</v>
      </c>
      <c r="V34" s="705" t="s">
        <v>14</v>
      </c>
      <c r="W34" s="706" t="e">
        <f t="shared" si="12"/>
        <v>#N/A</v>
      </c>
      <c r="X34" s="1355"/>
      <c r="Y34" s="374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5"/>
      <c r="Q35" s="1352" t="str">
        <f t="shared" ref="Q35:Q40" si="14">B35</f>
        <v>宗地形状</v>
      </c>
      <c r="R35" s="705" t="s">
        <v>14</v>
      </c>
      <c r="S35" s="706">
        <f t="shared" si="10"/>
        <v>100</v>
      </c>
      <c r="T35" s="705" t="s">
        <v>14</v>
      </c>
      <c r="U35" s="706">
        <f t="shared" si="11"/>
        <v>100</v>
      </c>
      <c r="V35" s="705" t="s">
        <v>14</v>
      </c>
      <c r="W35" s="706">
        <f t="shared" si="12"/>
        <v>100</v>
      </c>
      <c r="X35" s="1355"/>
      <c r="Y35" s="374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5"/>
      <c r="Q36" s="1352" t="str">
        <f t="shared" si="14"/>
        <v>宗地开发程度</v>
      </c>
      <c r="R36" s="701" t="s">
        <v>14</v>
      </c>
      <c r="S36" s="702">
        <f t="shared" si="10"/>
        <v>100</v>
      </c>
      <c r="T36" s="701" t="s">
        <v>14</v>
      </c>
      <c r="U36" s="702">
        <f t="shared" si="11"/>
        <v>100</v>
      </c>
      <c r="V36" s="701" t="s">
        <v>14</v>
      </c>
      <c r="W36" s="702">
        <f t="shared" si="12"/>
        <v>100</v>
      </c>
      <c r="X36" s="703"/>
      <c r="Y36" s="374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5" t="s">
        <v>1696</v>
      </c>
      <c r="Q37" s="1352" t="str">
        <f t="shared" si="14"/>
        <v>工程地质条件</v>
      </c>
      <c r="R37" s="705" t="s">
        <v>14</v>
      </c>
      <c r="S37" s="706">
        <f t="shared" si="10"/>
        <v>100</v>
      </c>
      <c r="T37" s="705" t="s">
        <v>14</v>
      </c>
      <c r="U37" s="706">
        <f t="shared" si="11"/>
        <v>100</v>
      </c>
      <c r="V37" s="705" t="s">
        <v>14</v>
      </c>
      <c r="W37" s="706">
        <f t="shared" si="12"/>
        <v>100</v>
      </c>
      <c r="X37" s="1355"/>
      <c r="Y37" s="374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5"/>
      <c r="Q38" s="1352">
        <f t="shared" si="14"/>
        <v>111</v>
      </c>
      <c r="R38" s="705" t="s">
        <v>14</v>
      </c>
      <c r="S38" s="706">
        <f t="shared" si="10"/>
        <v>100</v>
      </c>
      <c r="T38" s="705" t="s">
        <v>14</v>
      </c>
      <c r="U38" s="706">
        <f t="shared" si="11"/>
        <v>100</v>
      </c>
      <c r="V38" s="705" t="s">
        <v>14</v>
      </c>
      <c r="W38" s="706">
        <f t="shared" si="12"/>
        <v>100</v>
      </c>
      <c r="X38" s="1355"/>
      <c r="Y38" s="374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5"/>
      <c r="Q39" s="1352">
        <f t="shared" si="14"/>
        <v>111</v>
      </c>
      <c r="R39" s="705" t="s">
        <v>14</v>
      </c>
      <c r="S39" s="706">
        <f t="shared" si="10"/>
        <v>100</v>
      </c>
      <c r="T39" s="705" t="s">
        <v>14</v>
      </c>
      <c r="U39" s="706">
        <f t="shared" si="11"/>
        <v>100</v>
      </c>
      <c r="V39" s="705" t="s">
        <v>14</v>
      </c>
      <c r="W39" s="706">
        <f t="shared" si="12"/>
        <v>100</v>
      </c>
      <c r="X39" s="1355"/>
      <c r="Y39" s="374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5"/>
      <c r="Q40" s="1352">
        <f t="shared" si="14"/>
        <v>111</v>
      </c>
      <c r="R40" s="708" t="s">
        <v>14</v>
      </c>
      <c r="S40" s="709">
        <f t="shared" si="10"/>
        <v>100</v>
      </c>
      <c r="T40" s="708" t="s">
        <v>14</v>
      </c>
      <c r="U40" s="709">
        <f t="shared" si="11"/>
        <v>100</v>
      </c>
      <c r="V40" s="708" t="s">
        <v>14</v>
      </c>
      <c r="W40" s="709">
        <f t="shared" si="12"/>
        <v>100</v>
      </c>
      <c r="X40" s="710"/>
      <c r="Y40" s="374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8" t="str">
        <f>A41</f>
        <v>成交单价</v>
      </c>
      <c r="Q41" s="3738"/>
      <c r="R41" s="3769">
        <f>E41</f>
        <v>0</v>
      </c>
      <c r="S41" s="3769"/>
      <c r="T41" s="3769">
        <f>G41</f>
        <v>0</v>
      </c>
      <c r="U41" s="3769"/>
      <c r="V41" s="3769">
        <f>I41</f>
        <v>0</v>
      </c>
      <c r="W41" s="376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8" t="str">
        <f>A42</f>
        <v>比较价值（元/平方米）</v>
      </c>
      <c r="Q42" s="3738"/>
      <c r="R42" s="3798" t="e">
        <f>ROUND(PRODUCT(R41,AA7:AA40),0)</f>
        <v>#DIV/0!</v>
      </c>
      <c r="S42" s="3798"/>
      <c r="T42" s="3798" t="e">
        <f>ROUND(PRODUCT(T41,AB7:AB40),0)</f>
        <v>#DIV/0!</v>
      </c>
      <c r="U42" s="3798"/>
      <c r="V42" s="3798" t="e">
        <f>ROUND(PRODUCT(V41,AC7:AC40),0)</f>
        <v>#DIV/0!</v>
      </c>
      <c r="W42" s="379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5" t="str">
        <f>A43</f>
        <v>估价对象XX用房的比较价值（楼面单价，元/平方米）</v>
      </c>
      <c r="Q43" s="3736"/>
      <c r="R43" s="3799" t="e">
        <f>ROUND(IF(D42="简单平均",AVERAGE(R42:W42),R42*F42+T42*H42+V42*J42),0)</f>
        <v>#DIV/0!</v>
      </c>
      <c r="S43" s="3799"/>
      <c r="T43" s="3799"/>
      <c r="U43" s="3799"/>
      <c r="V43" s="3799"/>
      <c r="W43" s="379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3" t="s">
        <v>1887</v>
      </c>
      <c r="H50" s="380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91353.25</v>
      </c>
      <c r="F51" s="639" t="e">
        <f t="shared" ref="F51:F60" si="15">ROUND(B51*E51/10000,0)</f>
        <v>#DIV/0!</v>
      </c>
      <c r="G51" s="3749"/>
      <c r="H51" s="373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8" t="s">
        <v>2084</v>
      </c>
      <c r="D1" s="3809"/>
      <c r="E1" s="3809"/>
      <c r="F1" s="3809"/>
      <c r="G1" s="3809"/>
      <c r="H1" s="3809"/>
      <c r="I1" s="3809"/>
      <c r="J1" s="3809"/>
      <c r="K1" s="3809"/>
      <c r="L1" s="3809"/>
      <c r="M1" s="3809"/>
      <c r="N1" s="3809"/>
      <c r="O1" s="3809"/>
      <c r="P1" s="3809"/>
      <c r="Q1" s="3809"/>
      <c r="R1" s="3809"/>
      <c r="S1" s="381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5" t="s">
        <v>27</v>
      </c>
      <c r="D22" s="3806"/>
      <c r="E22" s="3806"/>
      <c r="F22" s="3806"/>
      <c r="G22" s="3806"/>
      <c r="H22" s="3806"/>
      <c r="I22" s="3806"/>
      <c r="J22" s="3806"/>
      <c r="K22" s="3806"/>
      <c r="L22" s="3806"/>
      <c r="M22" s="3806"/>
      <c r="N22" s="3806"/>
      <c r="O22" s="3806"/>
      <c r="P22" s="3806"/>
      <c r="Q22" s="380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150265</v>
      </c>
      <c r="C2" s="2145" t="s">
        <v>2074</v>
      </c>
      <c r="D2" s="2145" t="s">
        <v>2075</v>
      </c>
      <c r="E2" s="2612">
        <f ca="1">SUMIF(E6:E13,"&lt;&gt;#ref!",E6:E13)</f>
        <v>168606.38000000117</v>
      </c>
      <c r="F2" s="2793"/>
      <c r="G2" s="2793"/>
      <c r="H2" s="2793"/>
      <c r="I2" s="2793"/>
      <c r="J2" s="2793"/>
      <c r="K2" s="2793"/>
      <c r="L2" s="2793"/>
      <c r="M2" s="2793"/>
      <c r="N2" s="2793"/>
      <c r="O2" s="2793"/>
      <c r="P2" s="2793"/>
    </row>
    <row r="3" spans="1:16" ht="15.75">
      <c r="A3" s="2145" t="s">
        <v>2076</v>
      </c>
      <c r="B3" s="2602">
        <f ca="1">ROUND(B2*10000/E2,0)</f>
        <v>8912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150265</v>
      </c>
      <c r="C6" s="2145" t="s">
        <v>2074</v>
      </c>
      <c r="D6" s="2793"/>
      <c r="E6" s="2612">
        <f ca="1">SUMIF(INDIRECT("'"&amp;A6&amp;"'"&amp;"!C:C"),"建筑面积",INDIRECT("'"&amp;A6&amp;"'"&amp;"!D:D"))</f>
        <v>168606.38000000117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3"/>
      <c r="B4" s="3505" t="s">
        <v>917</v>
      </c>
      <c r="C4" s="3505"/>
      <c r="D4" s="3505"/>
      <c r="E4" s="1493"/>
    </row>
    <row r="5" spans="1:5" ht="16.5" thickTop="1">
      <c r="A5" s="1491"/>
      <c r="B5" s="3503" t="s">
        <v>909</v>
      </c>
      <c r="C5" s="1494" t="s">
        <v>910</v>
      </c>
      <c r="D5" s="850">
        <f ca="1">结果表!H101</f>
        <v>365765</v>
      </c>
      <c r="E5" s="1491"/>
    </row>
    <row r="6" spans="1:5" ht="15.75">
      <c r="A6" s="1491"/>
      <c r="B6" s="3503"/>
      <c r="C6" s="1494" t="s">
        <v>911</v>
      </c>
      <c r="D6" s="850" t="str">
        <f ca="1">NUMBERSTRING(INT(D5*10000),2)&amp;"元整"</f>
        <v>叁拾陆亿伍仟柒佰陆拾伍万元整</v>
      </c>
      <c r="E6" s="1491"/>
    </row>
    <row r="7" spans="1:5" ht="15.75">
      <c r="A7" s="1491"/>
      <c r="B7" s="3508"/>
      <c r="C7" s="1495" t="s">
        <v>912</v>
      </c>
      <c r="D7" s="851">
        <f ca="1">结果表!H102</f>
        <v>21693</v>
      </c>
      <c r="E7" s="1491"/>
    </row>
    <row r="8" spans="1:5" ht="15.75">
      <c r="A8" s="1491"/>
      <c r="B8" s="3509" t="str">
        <f>结果表!E103</f>
        <v>2.估价师知悉的法定优先受偿款</v>
      </c>
      <c r="C8" s="1496" t="s">
        <v>913</v>
      </c>
      <c r="D8" s="851">
        <f>结果表!H103</f>
        <v>0</v>
      </c>
      <c r="E8" s="1491"/>
    </row>
    <row r="9" spans="1:5" ht="15.75">
      <c r="A9" s="1491"/>
      <c r="B9" s="351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2" t="str">
        <f>结果表!E107</f>
        <v>3.房地产抵押价值</v>
      </c>
      <c r="C13" s="1499" t="s">
        <v>910</v>
      </c>
      <c r="D13" s="853">
        <f ca="1">结果表!H107</f>
        <v>365765</v>
      </c>
      <c r="E13" s="1491"/>
    </row>
    <row r="14" spans="1:5" ht="15.75">
      <c r="A14" s="1491"/>
      <c r="B14" s="3503"/>
      <c r="C14" s="1494" t="s">
        <v>911</v>
      </c>
      <c r="D14" s="850" t="str">
        <f ca="1">NUMBERSTRING(INT(D13*10000),2)&amp;"元整"</f>
        <v>叁拾陆亿伍仟柒佰陆拾伍万元整</v>
      </c>
      <c r="E14" s="1491"/>
    </row>
    <row r="15" spans="1:5" ht="15">
      <c r="A15" s="1491"/>
      <c r="B15" s="3508"/>
      <c r="C15" s="1495" t="s">
        <v>921</v>
      </c>
      <c r="D15" s="859">
        <f ca="1">结果表!H108</f>
        <v>21693</v>
      </c>
      <c r="E15" s="1491"/>
    </row>
    <row r="16" spans="1:5" ht="15">
      <c r="A16" s="1491"/>
      <c r="B16" s="3509" t="str">
        <f>结果表!E109</f>
        <v>——</v>
      </c>
      <c r="C16" s="1499" t="s">
        <v>922</v>
      </c>
      <c r="D16" s="1500" t="str">
        <f>结果表!H109</f>
        <v>——</v>
      </c>
      <c r="E16" s="1491"/>
    </row>
    <row r="17" spans="1:5" ht="15.75">
      <c r="A17" s="1491"/>
      <c r="B17" s="3510"/>
      <c r="C17" s="1494" t="s">
        <v>923</v>
      </c>
      <c r="D17" s="850" t="e">
        <f>NUMBERSTRING(INT(D16*10000),2)&amp;"元整"</f>
        <v>#VALUE!</v>
      </c>
      <c r="E17" s="1491"/>
    </row>
    <row r="18" spans="1:5" ht="15">
      <c r="A18" s="1491"/>
      <c r="B18" s="3511"/>
      <c r="C18" s="1495" t="s">
        <v>912</v>
      </c>
      <c r="D18" s="859" t="str">
        <f>结果表!H110</f>
        <v>——</v>
      </c>
      <c r="E18" s="1491"/>
    </row>
    <row r="19" spans="1:5" ht="15.75">
      <c r="A19" s="1491"/>
      <c r="B19" s="3502" t="str">
        <f>结果表!E111</f>
        <v>——</v>
      </c>
      <c r="C19" s="1499" t="s">
        <v>910</v>
      </c>
      <c r="D19" s="851" t="str">
        <f>结果表!H111</f>
        <v>——</v>
      </c>
      <c r="E19" s="1491"/>
    </row>
    <row r="20" spans="1:5" ht="15.75">
      <c r="A20" s="1491"/>
      <c r="B20" s="3503"/>
      <c r="C20" s="1494" t="s">
        <v>923</v>
      </c>
      <c r="D20" s="850" t="e">
        <f>NUMBERSTRING(INT(D19*10000),2)&amp;"元整"</f>
        <v>#VALUE!</v>
      </c>
      <c r="E20" s="1491"/>
    </row>
    <row r="21" spans="1:5" ht="15.75" thickBot="1">
      <c r="A21" s="1491"/>
      <c r="B21" s="350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20" t="s">
        <v>2610</v>
      </c>
      <c r="B20" s="3815" t="s">
        <v>2631</v>
      </c>
      <c r="C20" s="3103" t="s">
        <v>2442</v>
      </c>
      <c r="D20" s="3104"/>
      <c r="E20" s="3105">
        <v>1</v>
      </c>
      <c r="F20" s="3106" t="s">
        <v>2443</v>
      </c>
      <c r="G20" s="3106"/>
    </row>
    <row r="21" spans="1:13" ht="19.5" customHeight="1">
      <c r="A21" s="3821"/>
      <c r="B21" s="3814"/>
      <c r="C21" s="3107" t="s">
        <v>2444</v>
      </c>
      <c r="D21" s="3108"/>
      <c r="E21" s="3109">
        <v>1</v>
      </c>
      <c r="F21" s="3106" t="s">
        <v>2445</v>
      </c>
      <c r="G21" s="3106"/>
    </row>
    <row r="22" spans="1:13" ht="19.5" customHeight="1">
      <c r="A22" s="3821"/>
      <c r="B22" s="3814"/>
      <c r="C22" s="3107" t="s">
        <v>2446</v>
      </c>
      <c r="D22" s="3108"/>
      <c r="E22" s="3109">
        <v>0.9</v>
      </c>
      <c r="F22" s="3106" t="s">
        <v>2447</v>
      </c>
      <c r="G22" s="3106"/>
    </row>
    <row r="23" spans="1:13" ht="19.5" customHeight="1">
      <c r="A23" s="3821"/>
      <c r="B23" s="3814"/>
      <c r="C23" s="3107" t="s">
        <v>2448</v>
      </c>
      <c r="D23" s="3108"/>
      <c r="E23" s="3109">
        <v>0.9</v>
      </c>
      <c r="F23" s="3106" t="s">
        <v>2449</v>
      </c>
      <c r="G23" s="3106"/>
    </row>
    <row r="24" spans="1:13" ht="19.5" customHeight="1">
      <c r="A24" s="3821"/>
      <c r="B24" s="3814"/>
      <c r="C24" s="3107" t="s">
        <v>2450</v>
      </c>
      <c r="D24" s="3108"/>
      <c r="E24" s="3109">
        <v>0.8</v>
      </c>
      <c r="F24" s="3106" t="s">
        <v>2451</v>
      </c>
      <c r="G24" s="3106"/>
    </row>
    <row r="25" spans="1:13" ht="19.5" customHeight="1" thickBot="1">
      <c r="A25" s="3822"/>
      <c r="B25" s="381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17" t="s">
        <v>2634</v>
      </c>
      <c r="B27" s="3815" t="s">
        <v>2615</v>
      </c>
      <c r="C27" s="3103" t="s">
        <v>2455</v>
      </c>
      <c r="D27" s="3104"/>
      <c r="E27" s="3105">
        <v>1</v>
      </c>
      <c r="F27" s="3106" t="s">
        <v>2456</v>
      </c>
      <c r="G27" s="3106"/>
    </row>
    <row r="28" spans="1:13" ht="19.5" customHeight="1">
      <c r="A28" s="3818"/>
      <c r="B28" s="3814"/>
      <c r="C28" s="3107" t="s">
        <v>2457</v>
      </c>
      <c r="D28" s="3108"/>
      <c r="E28" s="3109">
        <v>1</v>
      </c>
      <c r="F28" s="3106" t="s">
        <v>2458</v>
      </c>
      <c r="G28" s="3106"/>
    </row>
    <row r="29" spans="1:13" ht="19.5" customHeight="1">
      <c r="A29" s="3818"/>
      <c r="B29" s="3814"/>
      <c r="C29" s="3107" t="s">
        <v>2459</v>
      </c>
      <c r="D29" s="3108"/>
      <c r="E29" s="3109">
        <v>0.8</v>
      </c>
      <c r="F29" s="3106" t="s">
        <v>2460</v>
      </c>
      <c r="G29" s="3106"/>
    </row>
    <row r="30" spans="1:13" ht="19.5" customHeight="1">
      <c r="A30" s="3818"/>
      <c r="B30" s="3814"/>
      <c r="C30" s="3107" t="s">
        <v>2461</v>
      </c>
      <c r="D30" s="3108"/>
      <c r="E30" s="3109">
        <v>0.8</v>
      </c>
      <c r="F30" s="3106" t="s">
        <v>2462</v>
      </c>
      <c r="G30" s="3106"/>
    </row>
    <row r="31" spans="1:13" ht="19.5" customHeight="1">
      <c r="A31" s="3818"/>
      <c r="B31" s="3814"/>
      <c r="C31" s="3107" t="s">
        <v>2463</v>
      </c>
      <c r="D31" s="3108"/>
      <c r="E31" s="3109">
        <v>0.8</v>
      </c>
      <c r="F31" s="3106" t="s">
        <v>2464</v>
      </c>
      <c r="G31" s="3106"/>
    </row>
    <row r="32" spans="1:13" ht="19.5" customHeight="1">
      <c r="A32" s="3818"/>
      <c r="B32" s="3814"/>
      <c r="C32" s="3107" t="s">
        <v>2465</v>
      </c>
      <c r="D32" s="3108"/>
      <c r="E32" s="3109">
        <v>0.7</v>
      </c>
      <c r="F32" s="3106" t="s">
        <v>2466</v>
      </c>
      <c r="G32" s="3106"/>
    </row>
    <row r="33" spans="1:7" ht="19.5" customHeight="1">
      <c r="A33" s="3818"/>
      <c r="B33" s="3814"/>
      <c r="C33" s="3107" t="s">
        <v>2467</v>
      </c>
      <c r="D33" s="3108"/>
      <c r="E33" s="3109">
        <v>0.8</v>
      </c>
      <c r="F33" s="3106" t="s">
        <v>2468</v>
      </c>
      <c r="G33" s="3106"/>
    </row>
    <row r="34" spans="1:7" ht="19.5" customHeight="1">
      <c r="A34" s="3818"/>
      <c r="B34" s="3814"/>
      <c r="C34" s="3107" t="s">
        <v>2469</v>
      </c>
      <c r="D34" s="3108"/>
      <c r="E34" s="3109">
        <v>0.6</v>
      </c>
      <c r="F34" s="3106" t="s">
        <v>2470</v>
      </c>
      <c r="G34" s="3106"/>
    </row>
    <row r="35" spans="1:7" ht="19.5" customHeight="1">
      <c r="A35" s="3818"/>
      <c r="B35" s="3814"/>
      <c r="C35" s="3107" t="s">
        <v>2471</v>
      </c>
      <c r="D35" s="3108"/>
      <c r="E35" s="3109">
        <v>0.2</v>
      </c>
      <c r="F35" s="3106" t="s">
        <v>2472</v>
      </c>
      <c r="G35" s="3106"/>
    </row>
    <row r="36" spans="1:7" ht="19.5" customHeight="1">
      <c r="A36" s="3818"/>
      <c r="B36" s="3814"/>
      <c r="C36" s="3107" t="s">
        <v>2473</v>
      </c>
      <c r="D36" s="3108"/>
      <c r="E36" s="3109">
        <v>0.2</v>
      </c>
      <c r="F36" s="3106" t="s">
        <v>2474</v>
      </c>
      <c r="G36" s="3106"/>
    </row>
    <row r="37" spans="1:7" ht="19.5" customHeight="1">
      <c r="A37" s="3818"/>
      <c r="B37" s="3812" t="s">
        <v>2635</v>
      </c>
      <c r="C37" s="3107" t="s">
        <v>2475</v>
      </c>
      <c r="D37" s="3108"/>
      <c r="E37" s="3109">
        <v>0.6</v>
      </c>
      <c r="F37" s="3106" t="s">
        <v>2476</v>
      </c>
      <c r="G37" s="3106"/>
    </row>
    <row r="38" spans="1:7" ht="19.5" customHeight="1">
      <c r="A38" s="3818"/>
      <c r="B38" s="3814"/>
      <c r="C38" s="3107" t="s">
        <v>2477</v>
      </c>
      <c r="D38" s="3108"/>
      <c r="E38" s="3109">
        <v>0.6</v>
      </c>
      <c r="F38" s="3106" t="s">
        <v>2478</v>
      </c>
      <c r="G38" s="3106"/>
    </row>
    <row r="39" spans="1:7" ht="19.5" customHeight="1" thickBot="1">
      <c r="A39" s="3819"/>
      <c r="B39" s="381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20" t="s">
        <v>2613</v>
      </c>
      <c r="B41" s="3815" t="s">
        <v>2637</v>
      </c>
      <c r="C41" s="3103" t="s">
        <v>2482</v>
      </c>
      <c r="D41" s="3104"/>
      <c r="E41" s="3105">
        <v>1</v>
      </c>
      <c r="F41" s="3106" t="s">
        <v>2483</v>
      </c>
      <c r="G41" s="3106"/>
    </row>
    <row r="42" spans="1:7" ht="19.5" customHeight="1">
      <c r="A42" s="3821"/>
      <c r="B42" s="3814"/>
      <c r="C42" s="3107" t="s">
        <v>2484</v>
      </c>
      <c r="D42" s="3108"/>
      <c r="E42" s="3109">
        <v>1</v>
      </c>
      <c r="F42" s="3106" t="s">
        <v>2485</v>
      </c>
      <c r="G42" s="3106"/>
    </row>
    <row r="43" spans="1:7" ht="19.5" customHeight="1">
      <c r="A43" s="3821"/>
      <c r="B43" s="3813"/>
      <c r="C43" s="3107" t="s">
        <v>2486</v>
      </c>
      <c r="D43" s="3108"/>
      <c r="E43" s="3109">
        <v>1.5</v>
      </c>
      <c r="F43" s="3106" t="s">
        <v>2487</v>
      </c>
      <c r="G43" s="3106"/>
    </row>
    <row r="44" spans="1:7" ht="19.5" customHeight="1">
      <c r="A44" s="3821"/>
      <c r="B44" s="3118" t="s">
        <v>2638</v>
      </c>
      <c r="C44" s="3107" t="s">
        <v>2639</v>
      </c>
      <c r="D44" s="3108"/>
      <c r="E44" s="3109">
        <v>2</v>
      </c>
      <c r="F44" s="3106" t="s">
        <v>2488</v>
      </c>
      <c r="G44" s="3106"/>
    </row>
    <row r="45" spans="1:7" ht="19.5" customHeight="1">
      <c r="A45" s="3821"/>
      <c r="B45" s="3812" t="s">
        <v>2640</v>
      </c>
      <c r="C45" s="3107" t="s">
        <v>2489</v>
      </c>
      <c r="D45" s="3108"/>
      <c r="E45" s="3109">
        <v>1</v>
      </c>
      <c r="F45" s="3106" t="s">
        <v>2490</v>
      </c>
      <c r="G45" s="3106"/>
    </row>
    <row r="46" spans="1:7" ht="19.5" customHeight="1">
      <c r="A46" s="3821"/>
      <c r="B46" s="3814"/>
      <c r="C46" s="3107" t="s">
        <v>2491</v>
      </c>
      <c r="D46" s="3108"/>
      <c r="E46" s="3109">
        <v>1</v>
      </c>
      <c r="F46" s="3106" t="s">
        <v>2492</v>
      </c>
      <c r="G46" s="3106"/>
    </row>
    <row r="47" spans="1:7" ht="19.5" customHeight="1">
      <c r="A47" s="3821"/>
      <c r="B47" s="3814"/>
      <c r="C47" s="3107" t="s">
        <v>2493</v>
      </c>
      <c r="D47" s="3108"/>
      <c r="E47" s="3109">
        <v>1</v>
      </c>
      <c r="F47" s="3106" t="s">
        <v>2494</v>
      </c>
      <c r="G47" s="3106"/>
    </row>
    <row r="48" spans="1:7" ht="19.5" customHeight="1">
      <c r="A48" s="3821"/>
      <c r="B48" s="3814"/>
      <c r="C48" s="3107" t="s">
        <v>2495</v>
      </c>
      <c r="D48" s="3108"/>
      <c r="E48" s="3109">
        <v>1</v>
      </c>
      <c r="F48" s="3106" t="s">
        <v>2496</v>
      </c>
      <c r="G48" s="3106"/>
    </row>
    <row r="49" spans="1:7" ht="19.5" customHeight="1">
      <c r="A49" s="3821"/>
      <c r="B49" s="3814"/>
      <c r="C49" s="3107" t="s">
        <v>2497</v>
      </c>
      <c r="D49" s="3108"/>
      <c r="E49" s="3109">
        <v>1</v>
      </c>
      <c r="F49" s="3106" t="s">
        <v>2498</v>
      </c>
      <c r="G49" s="3106"/>
    </row>
    <row r="50" spans="1:7" ht="19.5" customHeight="1">
      <c r="A50" s="3821"/>
      <c r="B50" s="3814"/>
      <c r="C50" s="3107" t="s">
        <v>2499</v>
      </c>
      <c r="D50" s="3108"/>
      <c r="E50" s="3109">
        <v>1</v>
      </c>
      <c r="F50" s="3106" t="s">
        <v>2500</v>
      </c>
      <c r="G50" s="3106"/>
    </row>
    <row r="51" spans="1:7" ht="19.5" customHeight="1" thickBot="1">
      <c r="A51" s="3822"/>
      <c r="B51" s="381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12" t="s">
        <v>2654</v>
      </c>
      <c r="C73" s="3092" t="s">
        <v>2655</v>
      </c>
      <c r="D73" s="3092" t="s">
        <v>2656</v>
      </c>
      <c r="E73" s="3118">
        <v>0.2</v>
      </c>
      <c r="F73" s="3118">
        <v>25</v>
      </c>
    </row>
    <row r="74" spans="1:7" ht="24">
      <c r="A74" s="3118">
        <v>2</v>
      </c>
      <c r="B74" s="3814"/>
      <c r="C74" s="3092" t="s">
        <v>2657</v>
      </c>
      <c r="D74" s="3092" t="s">
        <v>2658</v>
      </c>
      <c r="E74" s="3118">
        <v>0.2</v>
      </c>
      <c r="F74" s="3118">
        <v>25</v>
      </c>
    </row>
    <row r="75" spans="1:7" ht="24">
      <c r="A75" s="3118">
        <v>3</v>
      </c>
      <c r="B75" s="3814"/>
      <c r="C75" s="3092" t="s">
        <v>2659</v>
      </c>
      <c r="D75" s="3092" t="s">
        <v>2660</v>
      </c>
      <c r="E75" s="3118">
        <v>0.2</v>
      </c>
      <c r="F75" s="3118">
        <v>25</v>
      </c>
    </row>
    <row r="76" spans="1:7" ht="13.5">
      <c r="A76" s="3118">
        <v>4</v>
      </c>
      <c r="B76" s="3814"/>
      <c r="C76" s="3092" t="s">
        <v>2661</v>
      </c>
      <c r="D76" s="3092" t="s">
        <v>2662</v>
      </c>
      <c r="E76" s="3118">
        <v>0.15</v>
      </c>
      <c r="F76" s="3118">
        <v>20</v>
      </c>
    </row>
    <row r="77" spans="1:7" ht="24">
      <c r="A77" s="3118">
        <v>5</v>
      </c>
      <c r="B77" s="3814"/>
      <c r="C77" s="3092" t="s">
        <v>2663</v>
      </c>
      <c r="D77" s="3092" t="s">
        <v>2664</v>
      </c>
      <c r="E77" s="3118">
        <v>0.15</v>
      </c>
      <c r="F77" s="3118">
        <v>20</v>
      </c>
    </row>
    <row r="78" spans="1:7" ht="24">
      <c r="A78" s="3118">
        <v>6</v>
      </c>
      <c r="B78" s="3814"/>
      <c r="C78" s="3092" t="s">
        <v>2665</v>
      </c>
      <c r="D78" s="3092" t="s">
        <v>2666</v>
      </c>
      <c r="E78" s="3118">
        <v>0.15</v>
      </c>
      <c r="F78" s="3118">
        <v>20</v>
      </c>
    </row>
    <row r="79" spans="1:7" ht="24">
      <c r="A79" s="3118">
        <v>7</v>
      </c>
      <c r="B79" s="3814"/>
      <c r="C79" s="3092" t="s">
        <v>2667</v>
      </c>
      <c r="D79" s="3092" t="s">
        <v>2668</v>
      </c>
      <c r="E79" s="3118">
        <v>0.15</v>
      </c>
      <c r="F79" s="3118">
        <v>20</v>
      </c>
    </row>
    <row r="80" spans="1:7" ht="24">
      <c r="A80" s="3118">
        <v>8</v>
      </c>
      <c r="B80" s="3814"/>
      <c r="C80" s="3092" t="s">
        <v>2669</v>
      </c>
      <c r="D80" s="3092" t="s">
        <v>2670</v>
      </c>
      <c r="E80" s="3118">
        <v>0.1</v>
      </c>
      <c r="F80" s="3118">
        <v>15</v>
      </c>
    </row>
    <row r="81" spans="1:6" ht="24">
      <c r="A81" s="3118">
        <v>9</v>
      </c>
      <c r="B81" s="3814"/>
      <c r="C81" s="3092" t="s">
        <v>2671</v>
      </c>
      <c r="D81" s="3092" t="s">
        <v>2672</v>
      </c>
      <c r="E81" s="3118">
        <v>0.1</v>
      </c>
      <c r="F81" s="3118">
        <v>15</v>
      </c>
    </row>
    <row r="82" spans="1:6" ht="24">
      <c r="A82" s="3118">
        <v>10</v>
      </c>
      <c r="B82" s="3814"/>
      <c r="C82" s="3092" t="s">
        <v>2673</v>
      </c>
      <c r="D82" s="3092" t="s">
        <v>2674</v>
      </c>
      <c r="E82" s="3118">
        <v>0.1</v>
      </c>
      <c r="F82" s="3118">
        <v>15</v>
      </c>
    </row>
    <row r="83" spans="1:6" ht="24">
      <c r="A83" s="3118">
        <v>11</v>
      </c>
      <c r="B83" s="3814"/>
      <c r="C83" s="3092" t="s">
        <v>2675</v>
      </c>
      <c r="D83" s="3092" t="s">
        <v>2676</v>
      </c>
      <c r="E83" s="3118">
        <v>0.1</v>
      </c>
      <c r="F83" s="3118">
        <v>15</v>
      </c>
    </row>
    <row r="84" spans="1:6" ht="24">
      <c r="A84" s="3118">
        <v>12</v>
      </c>
      <c r="B84" s="3814"/>
      <c r="C84" s="3092" t="s">
        <v>2677</v>
      </c>
      <c r="D84" s="3092" t="s">
        <v>2678</v>
      </c>
      <c r="E84" s="3118">
        <v>0.1</v>
      </c>
      <c r="F84" s="3118">
        <v>15</v>
      </c>
    </row>
    <row r="85" spans="1:6" ht="13.5">
      <c r="A85" s="3118">
        <v>13</v>
      </c>
      <c r="B85" s="3814"/>
      <c r="C85" s="3092" t="s">
        <v>2679</v>
      </c>
      <c r="D85" s="3092" t="s">
        <v>2680</v>
      </c>
      <c r="E85" s="3118">
        <v>0.1</v>
      </c>
      <c r="F85" s="3118">
        <v>15</v>
      </c>
    </row>
    <row r="86" spans="1:6" ht="13.5">
      <c r="A86" s="3118">
        <v>14</v>
      </c>
      <c r="B86" s="3814"/>
      <c r="C86" s="3092" t="s">
        <v>2681</v>
      </c>
      <c r="D86" s="3092" t="s">
        <v>2682</v>
      </c>
      <c r="E86" s="3118">
        <v>0.1</v>
      </c>
      <c r="F86" s="3118">
        <v>15</v>
      </c>
    </row>
    <row r="87" spans="1:6" ht="13.5">
      <c r="A87" s="3118">
        <v>15</v>
      </c>
      <c r="B87" s="3814"/>
      <c r="C87" s="3092" t="s">
        <v>2683</v>
      </c>
      <c r="D87" s="3092" t="s">
        <v>2684</v>
      </c>
      <c r="E87" s="3118">
        <v>0.1</v>
      </c>
      <c r="F87" s="3118">
        <v>15</v>
      </c>
    </row>
    <row r="88" spans="1:6" ht="24">
      <c r="A88" s="3118">
        <v>16</v>
      </c>
      <c r="B88" s="3814"/>
      <c r="C88" s="3092" t="s">
        <v>2685</v>
      </c>
      <c r="D88" s="3092" t="s">
        <v>2686</v>
      </c>
      <c r="E88" s="3118">
        <v>0.1</v>
      </c>
      <c r="F88" s="3118">
        <v>15</v>
      </c>
    </row>
    <row r="89" spans="1:6" ht="24">
      <c r="A89" s="3118">
        <v>17</v>
      </c>
      <c r="B89" s="3813"/>
      <c r="C89" s="3092" t="s">
        <v>2687</v>
      </c>
      <c r="D89" s="3092" t="s">
        <v>2688</v>
      </c>
      <c r="E89" s="3118">
        <v>0.1</v>
      </c>
      <c r="F89" s="3118">
        <v>15</v>
      </c>
    </row>
    <row r="90" spans="1:6" ht="13.5">
      <c r="A90" s="3118">
        <v>18</v>
      </c>
      <c r="B90" s="3812" t="s">
        <v>2689</v>
      </c>
      <c r="C90" s="3092" t="s">
        <v>2690</v>
      </c>
      <c r="D90" s="3092" t="s">
        <v>2691</v>
      </c>
      <c r="E90" s="3118">
        <v>0.2</v>
      </c>
      <c r="F90" s="3118">
        <v>25</v>
      </c>
    </row>
    <row r="91" spans="1:6" ht="24">
      <c r="A91" s="3118">
        <v>19</v>
      </c>
      <c r="B91" s="3814"/>
      <c r="C91" s="3092" t="s">
        <v>2692</v>
      </c>
      <c r="D91" s="3092" t="s">
        <v>2693</v>
      </c>
      <c r="E91" s="3118">
        <v>0.2</v>
      </c>
      <c r="F91" s="3118">
        <v>25</v>
      </c>
    </row>
    <row r="92" spans="1:6" ht="13.5">
      <c r="A92" s="3118">
        <v>20</v>
      </c>
      <c r="B92" s="3814"/>
      <c r="C92" s="3092" t="s">
        <v>2694</v>
      </c>
      <c r="D92" s="3092" t="s">
        <v>2695</v>
      </c>
      <c r="E92" s="3118">
        <v>0.15</v>
      </c>
      <c r="F92" s="3118">
        <v>20</v>
      </c>
    </row>
    <row r="93" spans="1:6" ht="13.5">
      <c r="A93" s="3118">
        <v>21</v>
      </c>
      <c r="B93" s="3814"/>
      <c r="C93" s="3092" t="s">
        <v>2696</v>
      </c>
      <c r="D93" s="3092" t="s">
        <v>2697</v>
      </c>
      <c r="E93" s="3118">
        <v>0.15</v>
      </c>
      <c r="F93" s="3118">
        <v>20</v>
      </c>
    </row>
    <row r="94" spans="1:6" ht="13.5">
      <c r="A94" s="3118">
        <v>22</v>
      </c>
      <c r="B94" s="3814"/>
      <c r="C94" s="3092" t="s">
        <v>2698</v>
      </c>
      <c r="D94" s="3092" t="s">
        <v>2699</v>
      </c>
      <c r="E94" s="3118">
        <v>0.15</v>
      </c>
      <c r="F94" s="3118">
        <v>20</v>
      </c>
    </row>
    <row r="95" spans="1:6" ht="36">
      <c r="A95" s="3118">
        <v>23</v>
      </c>
      <c r="B95" s="3814"/>
      <c r="C95" s="3092" t="s">
        <v>2700</v>
      </c>
      <c r="D95" s="3092" t="s">
        <v>2701</v>
      </c>
      <c r="E95" s="3118">
        <v>0.15</v>
      </c>
      <c r="F95" s="3118">
        <v>20</v>
      </c>
    </row>
    <row r="96" spans="1:6" ht="13.5">
      <c r="A96" s="3118">
        <v>24</v>
      </c>
      <c r="B96" s="3814"/>
      <c r="C96" s="3092" t="s">
        <v>2702</v>
      </c>
      <c r="D96" s="3092" t="s">
        <v>2703</v>
      </c>
      <c r="E96" s="3118">
        <v>0.1</v>
      </c>
      <c r="F96" s="3118">
        <v>15</v>
      </c>
    </row>
    <row r="97" spans="1:6" ht="13.5">
      <c r="A97" s="3118">
        <v>25</v>
      </c>
      <c r="B97" s="3814"/>
      <c r="C97" s="3092" t="s">
        <v>2704</v>
      </c>
      <c r="D97" s="3092" t="s">
        <v>2705</v>
      </c>
      <c r="E97" s="3118">
        <v>0.1</v>
      </c>
      <c r="F97" s="3118">
        <v>15</v>
      </c>
    </row>
    <row r="98" spans="1:6" ht="24">
      <c r="A98" s="3118">
        <v>26</v>
      </c>
      <c r="B98" s="3814"/>
      <c r="C98" s="3092" t="s">
        <v>2706</v>
      </c>
      <c r="D98" s="3092" t="s">
        <v>2707</v>
      </c>
      <c r="E98" s="3118">
        <v>0.1</v>
      </c>
      <c r="F98" s="3118">
        <v>15</v>
      </c>
    </row>
    <row r="99" spans="1:6" ht="24">
      <c r="A99" s="3118">
        <v>27</v>
      </c>
      <c r="B99" s="3814"/>
      <c r="C99" s="3092" t="s">
        <v>2708</v>
      </c>
      <c r="D99" s="3092" t="s">
        <v>2709</v>
      </c>
      <c r="E99" s="3118">
        <v>0.1</v>
      </c>
      <c r="F99" s="3118">
        <v>15</v>
      </c>
    </row>
    <row r="100" spans="1:6" ht="13.5">
      <c r="A100" s="3118">
        <v>28</v>
      </c>
      <c r="B100" s="3814"/>
      <c r="C100" s="3092" t="s">
        <v>2710</v>
      </c>
      <c r="D100" s="3092" t="s">
        <v>2711</v>
      </c>
      <c r="E100" s="3118">
        <v>0.1</v>
      </c>
      <c r="F100" s="3118">
        <v>15</v>
      </c>
    </row>
    <row r="101" spans="1:6" ht="13.5">
      <c r="A101" s="3118">
        <v>29</v>
      </c>
      <c r="B101" s="3814"/>
      <c r="C101" s="3092" t="s">
        <v>2712</v>
      </c>
      <c r="D101" s="3092" t="s">
        <v>2713</v>
      </c>
      <c r="E101" s="3118">
        <v>0.1</v>
      </c>
      <c r="F101" s="3118">
        <v>15</v>
      </c>
    </row>
    <row r="102" spans="1:6" ht="13.5">
      <c r="A102" s="3118">
        <v>30</v>
      </c>
      <c r="B102" s="3814"/>
      <c r="C102" s="3092" t="s">
        <v>2714</v>
      </c>
      <c r="D102" s="3092" t="s">
        <v>2715</v>
      </c>
      <c r="E102" s="3118">
        <v>0.1</v>
      </c>
      <c r="F102" s="3118">
        <v>15</v>
      </c>
    </row>
    <row r="103" spans="1:6" ht="24">
      <c r="A103" s="3118">
        <v>31</v>
      </c>
      <c r="B103" s="3814"/>
      <c r="C103" s="3092" t="s">
        <v>2716</v>
      </c>
      <c r="D103" s="3092" t="s">
        <v>2717</v>
      </c>
      <c r="E103" s="3118">
        <v>0.1</v>
      </c>
      <c r="F103" s="3118">
        <v>15</v>
      </c>
    </row>
    <row r="104" spans="1:6" ht="24">
      <c r="A104" s="3118">
        <v>32</v>
      </c>
      <c r="B104" s="3814"/>
      <c r="C104" s="3092" t="s">
        <v>2718</v>
      </c>
      <c r="D104" s="3092" t="s">
        <v>2719</v>
      </c>
      <c r="E104" s="3118">
        <v>0.1</v>
      </c>
      <c r="F104" s="3118">
        <v>15</v>
      </c>
    </row>
    <row r="105" spans="1:6" ht="24">
      <c r="A105" s="3118">
        <v>33</v>
      </c>
      <c r="B105" s="3814"/>
      <c r="C105" s="3092" t="s">
        <v>2720</v>
      </c>
      <c r="D105" s="3092" t="s">
        <v>2721</v>
      </c>
      <c r="E105" s="3118">
        <v>0.1</v>
      </c>
      <c r="F105" s="3118">
        <v>15</v>
      </c>
    </row>
    <row r="106" spans="1:6" ht="24">
      <c r="A106" s="3118">
        <v>34</v>
      </c>
      <c r="B106" s="3813"/>
      <c r="C106" s="3092" t="s">
        <v>2722</v>
      </c>
      <c r="D106" s="3092" t="s">
        <v>2723</v>
      </c>
      <c r="E106" s="3118">
        <v>0.1</v>
      </c>
      <c r="F106" s="3118">
        <v>15</v>
      </c>
    </row>
    <row r="107" spans="1:6" ht="24">
      <c r="A107" s="3118">
        <v>35</v>
      </c>
      <c r="B107" s="3812" t="s">
        <v>2724</v>
      </c>
      <c r="C107" s="3118" t="s">
        <v>2725</v>
      </c>
      <c r="D107" s="3092" t="s">
        <v>2726</v>
      </c>
      <c r="E107" s="3118">
        <v>0.15</v>
      </c>
      <c r="F107" s="3118">
        <v>20</v>
      </c>
    </row>
    <row r="108" spans="1:6" ht="13.5">
      <c r="A108" s="3118">
        <v>36</v>
      </c>
      <c r="B108" s="3814"/>
      <c r="C108" s="3118" t="s">
        <v>2727</v>
      </c>
      <c r="D108" s="3092" t="s">
        <v>2728</v>
      </c>
      <c r="E108" s="3118">
        <v>0.15</v>
      </c>
      <c r="F108" s="3118">
        <v>20</v>
      </c>
    </row>
    <row r="109" spans="1:6" ht="13.5">
      <c r="A109" s="3118">
        <v>37</v>
      </c>
      <c r="B109" s="3814"/>
      <c r="C109" s="3118" t="s">
        <v>2729</v>
      </c>
      <c r="D109" s="3092" t="s">
        <v>2730</v>
      </c>
      <c r="E109" s="3118">
        <v>0.15</v>
      </c>
      <c r="F109" s="3118">
        <v>20</v>
      </c>
    </row>
    <row r="110" spans="1:6" ht="13.5">
      <c r="A110" s="3118">
        <v>38</v>
      </c>
      <c r="B110" s="3814"/>
      <c r="C110" s="3118" t="s">
        <v>2731</v>
      </c>
      <c r="D110" s="3092" t="s">
        <v>2732</v>
      </c>
      <c r="E110" s="3118">
        <v>0.1</v>
      </c>
      <c r="F110" s="3118">
        <v>15</v>
      </c>
    </row>
    <row r="111" spans="1:6" ht="24">
      <c r="A111" s="3118">
        <v>39</v>
      </c>
      <c r="B111" s="3814"/>
      <c r="C111" s="3118" t="s">
        <v>2733</v>
      </c>
      <c r="D111" s="3092" t="s">
        <v>2734</v>
      </c>
      <c r="E111" s="3118">
        <v>0.1</v>
      </c>
      <c r="F111" s="3118">
        <v>15</v>
      </c>
    </row>
    <row r="112" spans="1:6" ht="24">
      <c r="A112" s="3118">
        <v>40</v>
      </c>
      <c r="B112" s="3813"/>
      <c r="C112" s="3118" t="s">
        <v>2735</v>
      </c>
      <c r="D112" s="3092" t="s">
        <v>2736</v>
      </c>
      <c r="E112" s="3118">
        <v>0.1</v>
      </c>
      <c r="F112" s="3118">
        <v>15</v>
      </c>
    </row>
    <row r="113" spans="1:6" ht="13.5">
      <c r="A113" s="3118">
        <v>41</v>
      </c>
      <c r="B113" s="3811" t="s">
        <v>2737</v>
      </c>
      <c r="C113" s="3118" t="s">
        <v>2738</v>
      </c>
      <c r="D113" s="3092" t="s">
        <v>2739</v>
      </c>
      <c r="E113" s="3118">
        <v>0.1</v>
      </c>
      <c r="F113" s="3118">
        <v>15</v>
      </c>
    </row>
    <row r="114" spans="1:6" ht="13.5">
      <c r="A114" s="3118">
        <v>42</v>
      </c>
      <c r="B114" s="3811"/>
      <c r="C114" s="3118" t="s">
        <v>2740</v>
      </c>
      <c r="D114" s="3092" t="s">
        <v>2741</v>
      </c>
      <c r="E114" s="3118">
        <v>0.1</v>
      </c>
      <c r="F114" s="3118">
        <v>15</v>
      </c>
    </row>
    <row r="115" spans="1:6" ht="24">
      <c r="A115" s="3118">
        <v>43</v>
      </c>
      <c r="B115" s="3811"/>
      <c r="C115" s="3118" t="s">
        <v>2742</v>
      </c>
      <c r="D115" s="3092" t="s">
        <v>2743</v>
      </c>
      <c r="E115" s="3118">
        <v>0.1</v>
      </c>
      <c r="F115" s="3118">
        <v>15</v>
      </c>
    </row>
    <row r="116" spans="1:6" ht="13.5">
      <c r="A116" s="3118">
        <v>44</v>
      </c>
      <c r="B116" s="3812" t="s">
        <v>2744</v>
      </c>
      <c r="C116" s="3118" t="s">
        <v>2745</v>
      </c>
      <c r="D116" s="3092" t="s">
        <v>2746</v>
      </c>
      <c r="E116" s="3118">
        <v>0.1</v>
      </c>
      <c r="F116" s="3118">
        <v>15</v>
      </c>
    </row>
    <row r="117" spans="1:6" ht="24">
      <c r="A117" s="3118">
        <v>45</v>
      </c>
      <c r="B117" s="3813"/>
      <c r="C117" s="3092" t="s">
        <v>2747</v>
      </c>
      <c r="D117" s="3092" t="s">
        <v>2748</v>
      </c>
      <c r="E117" s="3118">
        <v>0.1</v>
      </c>
      <c r="F117" s="3118">
        <v>15</v>
      </c>
    </row>
    <row r="118" spans="1:6" ht="24">
      <c r="A118" s="3118">
        <v>46</v>
      </c>
      <c r="B118" s="3812" t="s">
        <v>2749</v>
      </c>
      <c r="C118" s="3118" t="s">
        <v>2750</v>
      </c>
      <c r="D118" s="3092" t="s">
        <v>2751</v>
      </c>
      <c r="E118" s="3118">
        <v>0.1</v>
      </c>
      <c r="F118" s="3118">
        <v>15</v>
      </c>
    </row>
    <row r="119" spans="1:6" ht="24">
      <c r="A119" s="3118">
        <v>47</v>
      </c>
      <c r="B119" s="3813"/>
      <c r="C119" s="3118" t="s">
        <v>2752</v>
      </c>
      <c r="D119" s="3092" t="s">
        <v>2753</v>
      </c>
      <c r="E119" s="3118">
        <v>0.1</v>
      </c>
      <c r="F119" s="3118">
        <v>15</v>
      </c>
    </row>
    <row r="120" spans="1:6" ht="13.5">
      <c r="A120" s="3118">
        <v>48</v>
      </c>
      <c r="B120" s="3812" t="s">
        <v>2754</v>
      </c>
      <c r="C120" s="3118" t="s">
        <v>2755</v>
      </c>
      <c r="D120" s="3092" t="s">
        <v>2756</v>
      </c>
      <c r="E120" s="3118">
        <v>0.1</v>
      </c>
      <c r="F120" s="3118">
        <v>15</v>
      </c>
    </row>
    <row r="121" spans="1:6" ht="13.5">
      <c r="A121" s="3118">
        <v>49</v>
      </c>
      <c r="B121" s="3813"/>
      <c r="C121" s="3118" t="s">
        <v>2757</v>
      </c>
      <c r="D121" s="3092" t="s">
        <v>2758</v>
      </c>
      <c r="E121" s="3118">
        <v>0.1</v>
      </c>
      <c r="F121" s="3118">
        <v>15</v>
      </c>
    </row>
    <row r="122" spans="1:6" ht="24">
      <c r="A122" s="3118">
        <v>50</v>
      </c>
      <c r="B122" s="3811" t="s">
        <v>2759</v>
      </c>
      <c r="C122" s="3118" t="s">
        <v>2760</v>
      </c>
      <c r="D122" s="3092" t="s">
        <v>2761</v>
      </c>
      <c r="E122" s="3118">
        <v>0.1</v>
      </c>
      <c r="F122" s="3118">
        <v>15</v>
      </c>
    </row>
    <row r="123" spans="1:6" ht="24">
      <c r="A123" s="3118">
        <v>51</v>
      </c>
      <c r="B123" s="3811"/>
      <c r="C123" s="3118" t="s">
        <v>2762</v>
      </c>
      <c r="D123" s="3092" t="s">
        <v>2763</v>
      </c>
      <c r="E123" s="3118">
        <v>0.1</v>
      </c>
      <c r="F123" s="3118">
        <v>15</v>
      </c>
    </row>
    <row r="124" spans="1:6" ht="24">
      <c r="A124" s="3118">
        <v>52</v>
      </c>
      <c r="B124" s="3811" t="s">
        <v>2764</v>
      </c>
      <c r="C124" s="3118" t="s">
        <v>2765</v>
      </c>
      <c r="D124" s="3092" t="s">
        <v>2766</v>
      </c>
      <c r="E124" s="3118">
        <v>0.1</v>
      </c>
      <c r="F124" s="3118">
        <v>15</v>
      </c>
    </row>
    <row r="125" spans="1:6" ht="24">
      <c r="A125" s="3118">
        <v>53</v>
      </c>
      <c r="B125" s="381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11" t="s">
        <v>2772</v>
      </c>
      <c r="C127" s="3118" t="s">
        <v>2773</v>
      </c>
      <c r="D127" s="3092" t="s">
        <v>2774</v>
      </c>
      <c r="E127" s="3118">
        <v>0.1</v>
      </c>
      <c r="F127" s="3118">
        <v>15</v>
      </c>
    </row>
    <row r="128" spans="1:6" ht="13.5">
      <c r="A128" s="3118">
        <v>56</v>
      </c>
      <c r="B128" s="3811"/>
      <c r="C128" s="3118" t="s">
        <v>2775</v>
      </c>
      <c r="D128" s="3092" t="s">
        <v>2776</v>
      </c>
      <c r="E128" s="3118">
        <v>0.1</v>
      </c>
      <c r="F128" s="3118">
        <v>15</v>
      </c>
    </row>
    <row r="129" spans="1:6" ht="24">
      <c r="A129" s="3118">
        <v>57</v>
      </c>
      <c r="B129" s="3811"/>
      <c r="C129" s="3118" t="s">
        <v>2777</v>
      </c>
      <c r="D129" s="3092" t="s">
        <v>2778</v>
      </c>
      <c r="E129" s="3118">
        <v>0.1</v>
      </c>
      <c r="F129" s="3118">
        <v>15</v>
      </c>
    </row>
    <row r="130" spans="1:6" ht="24">
      <c r="A130" s="3118">
        <v>58</v>
      </c>
      <c r="B130" s="3811" t="s">
        <v>2779</v>
      </c>
      <c r="C130" s="3118" t="s">
        <v>2780</v>
      </c>
      <c r="D130" s="3092" t="s">
        <v>2781</v>
      </c>
      <c r="E130" s="3118">
        <v>0.1</v>
      </c>
      <c r="F130" s="3118">
        <v>15</v>
      </c>
    </row>
    <row r="131" spans="1:6" ht="13.5">
      <c r="A131" s="3118">
        <v>59</v>
      </c>
      <c r="B131" s="3811"/>
      <c r="C131" s="3118" t="s">
        <v>2782</v>
      </c>
      <c r="D131" s="3092" t="s">
        <v>2783</v>
      </c>
      <c r="E131" s="3118">
        <v>0.1</v>
      </c>
      <c r="F131" s="3118">
        <v>15</v>
      </c>
    </row>
    <row r="132" spans="1:6" ht="13.5">
      <c r="A132" s="3118">
        <v>60</v>
      </c>
      <c r="B132" s="3812" t="s">
        <v>2784</v>
      </c>
      <c r="C132" s="3118" t="s">
        <v>2785</v>
      </c>
      <c r="D132" s="3092" t="s">
        <v>2786</v>
      </c>
      <c r="E132" s="3118">
        <v>0.1</v>
      </c>
      <c r="F132" s="3118">
        <v>15</v>
      </c>
    </row>
    <row r="133" spans="1:6" ht="13.5">
      <c r="A133" s="3118">
        <v>61</v>
      </c>
      <c r="B133" s="381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11" t="s">
        <v>2792</v>
      </c>
      <c r="C135" s="3118" t="s">
        <v>2793</v>
      </c>
      <c r="D135" s="3092" t="s">
        <v>2794</v>
      </c>
      <c r="E135" s="3118">
        <v>0.1</v>
      </c>
      <c r="F135" s="3118">
        <v>15</v>
      </c>
    </row>
    <row r="136" spans="1:6" ht="13.5">
      <c r="A136" s="3118">
        <v>64</v>
      </c>
      <c r="B136" s="381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0.91859999999999997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0.87380000000000002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132481</v>
      </c>
      <c r="C2" s="2" t="s">
        <v>106</v>
      </c>
      <c r="D2" s="199"/>
      <c r="E2" s="199"/>
      <c r="F2" s="199"/>
      <c r="G2" s="199"/>
    </row>
    <row r="3" spans="1:7" s="200" customFormat="1" ht="18" customHeight="1" thickBot="1">
      <c r="A3" s="203" t="s">
        <v>58</v>
      </c>
      <c r="B3" s="204">
        <f ca="1">ROUND(B2*10000/'数据-汇总表'!E3,0)</f>
        <v>7857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3372</v>
      </c>
      <c r="D10" s="845">
        <f>'数据-汇总表'!E6</f>
        <v>168606.38000000117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3372</v>
      </c>
      <c r="D19" s="849">
        <f>'数据-汇总表'!E3</f>
        <v>168606.38000000117</v>
      </c>
      <c r="E19" s="211">
        <f>'数据-取费表'!B31</f>
        <v>200</v>
      </c>
      <c r="F19" s="231"/>
      <c r="G19" s="1" t="s">
        <v>436</v>
      </c>
    </row>
    <row r="20" spans="1:7" s="214" customFormat="1" ht="13.5" customHeight="1">
      <c r="A20" s="777" t="s">
        <v>419</v>
      </c>
      <c r="B20" s="210" t="s">
        <v>77</v>
      </c>
      <c r="C20" s="232">
        <f>ROUND((C5+C19)*F20,0)</f>
        <v>600</v>
      </c>
      <c r="D20" s="232"/>
      <c r="E20" s="232"/>
      <c r="F20" s="233">
        <f>'数据-取费表'!B37</f>
        <v>2.5000000000000001E-2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2057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286</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3687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3687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85543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78633</v>
      </c>
      <c r="D34" s="217"/>
      <c r="E34" s="220"/>
      <c r="F34" s="257">
        <f>IF('数据-取费表'!B24=0,1,'数据-取费表'!N16)</f>
        <v>1</v>
      </c>
      <c r="G34" s="219" t="s">
        <v>89</v>
      </c>
    </row>
    <row r="35" spans="1:7" ht="13.5" customHeight="1">
      <c r="A35" s="780" t="s">
        <v>351</v>
      </c>
      <c r="B35" s="215" t="s">
        <v>33</v>
      </c>
      <c r="C35" s="220">
        <f>ROUND(C34*F35,0)</f>
        <v>2359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3372</v>
      </c>
      <c r="D37" s="217">
        <f>'数据-汇总表'!E3</f>
        <v>168606.38000000117</v>
      </c>
      <c r="E37" s="249">
        <f>'数据-取费表'!B35</f>
        <v>200</v>
      </c>
      <c r="F37" s="259"/>
      <c r="G37" s="261" t="s">
        <v>92</v>
      </c>
    </row>
    <row r="38" spans="1:7" ht="13.5" customHeight="1">
      <c r="A38" s="780" t="s">
        <v>354</v>
      </c>
      <c r="B38" s="215" t="s">
        <v>36</v>
      </c>
      <c r="C38" s="220">
        <f>ROUND(C34*F38,0)</f>
        <v>1179</v>
      </c>
      <c r="D38" s="220"/>
      <c r="E38" s="220"/>
      <c r="F38" s="259">
        <f>'数据-取费表'!B36</f>
        <v>1.4999999999999999E-2</v>
      </c>
      <c r="G38" s="219" t="s">
        <v>90</v>
      </c>
    </row>
    <row r="39" spans="1:7" s="214" customFormat="1" ht="13.5" customHeight="1">
      <c r="A39" s="777" t="s">
        <v>338</v>
      </c>
      <c r="B39" s="210" t="s">
        <v>77</v>
      </c>
      <c r="C39" s="232">
        <f>ROUND(C33*F20,0)</f>
        <v>2139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3639</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3550</v>
      </c>
      <c r="D42" s="238"/>
      <c r="E42" s="238"/>
      <c r="F42" s="239"/>
      <c r="G42" s="3687" t="s">
        <v>94</v>
      </c>
    </row>
    <row r="43" spans="1:7" ht="13.5" customHeight="1">
      <c r="A43" s="780" t="s">
        <v>347</v>
      </c>
      <c r="B43" s="215" t="s">
        <v>426</v>
      </c>
      <c r="C43" s="238">
        <f ca="1">ROUND(IF('数据-取费表'!B22&lt;=1,C39*F22*'数据-取费表'!B21/2,C39*(POWER((1+F22),'数据-取费表'!B21/2)-1)),0)</f>
        <v>89</v>
      </c>
      <c r="D43" s="238"/>
      <c r="E43" s="238"/>
      <c r="F43" s="239"/>
      <c r="G43" s="3688"/>
    </row>
    <row r="44" spans="1:7" ht="13.5" customHeight="1">
      <c r="A44" s="780" t="s">
        <v>348</v>
      </c>
      <c r="B44" s="215" t="s">
        <v>428</v>
      </c>
      <c r="C44" s="238">
        <f ca="1">ROUND(IF('数据-取费表'!B22&lt;=1,C40*F22*'数据-取费表'!B21/2,C40*(POWER((1+F22),'数据-取费表'!B21/2)-1)),4)</f>
        <v>8.0000000000000004E-4</v>
      </c>
      <c r="D44" s="238"/>
      <c r="E44" s="238"/>
      <c r="F44" s="239"/>
      <c r="G44" s="3689"/>
    </row>
    <row r="45" spans="1:7" s="214" customFormat="1" ht="13.5" customHeight="1">
      <c r="A45" s="777" t="s">
        <v>341</v>
      </c>
      <c r="B45" s="244" t="s">
        <v>85</v>
      </c>
      <c r="C45" s="245">
        <f>C46</f>
        <v>13152</v>
      </c>
      <c r="D45" s="235">
        <f>C47</f>
        <v>3.0000000000000001E-3</v>
      </c>
      <c r="E45" s="236" t="s">
        <v>102</v>
      </c>
      <c r="F45" s="246"/>
      <c r="G45" s="247" t="s">
        <v>434</v>
      </c>
    </row>
    <row r="46" spans="1:7" s="214" customFormat="1" ht="13.5" customHeight="1">
      <c r="A46" s="780" t="s">
        <v>349</v>
      </c>
      <c r="B46" s="248" t="s">
        <v>427</v>
      </c>
      <c r="C46" s="249">
        <f>ROUND((C33+C39)*F27,0)</f>
        <v>13152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113205</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99620</v>
      </c>
      <c r="D51" s="232"/>
      <c r="E51" s="232"/>
      <c r="F51" s="264"/>
      <c r="G51" s="234" t="s">
        <v>37</v>
      </c>
    </row>
    <row r="52" spans="1:7" s="208" customFormat="1" ht="16.5" thickBot="1">
      <c r="A52" s="265" t="s">
        <v>38</v>
      </c>
      <c r="B52" s="266"/>
      <c r="C52" s="267">
        <f ca="1">C31+C51</f>
        <v>132481</v>
      </c>
      <c r="D52" s="266"/>
      <c r="E52" s="266"/>
      <c r="F52" s="266"/>
      <c r="G52" s="268"/>
    </row>
    <row r="55" spans="1:7" ht="15">
      <c r="B55" s="270" t="s">
        <v>39</v>
      </c>
      <c r="C55" s="271"/>
    </row>
    <row r="56" spans="1:7">
      <c r="B56" s="273" t="s">
        <v>40</v>
      </c>
      <c r="C56" s="274">
        <f ca="1">ROUND(C51/C52,3)</f>
        <v>0.752</v>
      </c>
    </row>
    <row r="57" spans="1:7">
      <c r="B57" s="273" t="s">
        <v>41</v>
      </c>
      <c r="C57" s="275">
        <f ca="1">1-C56</f>
        <v>0.248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43" sqref="M4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5" t="s">
        <v>2846</v>
      </c>
      <c r="B1" s="3825"/>
      <c r="C1" s="3825"/>
      <c r="D1" s="3825"/>
      <c r="E1" s="3825"/>
      <c r="F1" s="3825"/>
      <c r="G1" s="382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2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2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27" t="s">
        <v>3188</v>
      </c>
      <c r="B1" s="382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28" t="s">
        <v>3239</v>
      </c>
      <c r="B1" s="3828"/>
      <c r="C1" s="3828"/>
      <c r="D1" s="3828"/>
      <c r="E1" s="3828"/>
      <c r="F1" s="3829"/>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37"/>
  <sheetViews>
    <sheetView workbookViewId="0">
      <selection activeCell="C33" sqref="C33"/>
    </sheetView>
  </sheetViews>
  <sheetFormatPr defaultRowHeight="12.75"/>
  <cols>
    <col min="1" max="1" width="61.625" style="3477" customWidth="1"/>
    <col min="2" max="2" width="6.25" style="3477" customWidth="1"/>
    <col min="3" max="3" width="11.75" style="3477" customWidth="1"/>
    <col min="4" max="4" width="7.875" style="3477" customWidth="1"/>
    <col min="5" max="5" width="8.875" style="3477" customWidth="1"/>
    <col min="6" max="6" width="8.625" style="3477" customWidth="1"/>
    <col min="7" max="7" width="8.5" style="3477" customWidth="1"/>
    <col min="8" max="8" width="6.5" style="3477" customWidth="1"/>
    <col min="9" max="9" width="19.75" style="3477" customWidth="1"/>
    <col min="10" max="10" width="6.875" style="3477" customWidth="1"/>
    <col min="11" max="12" width="9" style="3477" customWidth="1"/>
    <col min="13" max="14" width="7.375" style="3477" customWidth="1"/>
    <col min="15" max="15" width="8.75" style="3477" customWidth="1"/>
    <col min="16" max="16" width="10.125" style="3477" customWidth="1"/>
    <col min="17" max="17" width="5.625" style="3477" customWidth="1"/>
    <col min="18" max="18" width="9" style="3477" customWidth="1"/>
    <col min="19" max="19" width="69" style="3477" customWidth="1"/>
    <col min="20" max="16384" width="9" style="3477"/>
  </cols>
  <sheetData>
    <row r="1" spans="1:19">
      <c r="A1" s="3477" t="s">
        <v>4825</v>
      </c>
      <c r="B1" s="3477" t="s">
        <v>4824</v>
      </c>
      <c r="C1" s="3477" t="s">
        <v>4823</v>
      </c>
      <c r="D1" s="3477" t="s">
        <v>4822</v>
      </c>
      <c r="E1" s="3477" t="s">
        <v>4821</v>
      </c>
      <c r="F1" s="3477" t="s">
        <v>4820</v>
      </c>
      <c r="G1" s="3477" t="s">
        <v>4819</v>
      </c>
      <c r="H1" s="3477" t="s">
        <v>4818</v>
      </c>
      <c r="I1" s="3477" t="s">
        <v>4817</v>
      </c>
      <c r="J1" s="3477" t="s">
        <v>4816</v>
      </c>
      <c r="K1" s="3477" t="s">
        <v>4815</v>
      </c>
      <c r="L1" s="3477" t="s">
        <v>4814</v>
      </c>
      <c r="M1" s="3477" t="s">
        <v>4812</v>
      </c>
      <c r="N1" s="3477" t="s">
        <v>4811</v>
      </c>
      <c r="O1" s="3477" t="s">
        <v>4810</v>
      </c>
      <c r="P1" s="3477" t="s">
        <v>4809</v>
      </c>
      <c r="Q1" s="3477" t="s">
        <v>4808</v>
      </c>
      <c r="R1" s="3477" t="s">
        <v>4807</v>
      </c>
      <c r="S1" s="3477" t="s">
        <v>4813</v>
      </c>
    </row>
    <row r="2" spans="1:19">
      <c r="A2" s="3477" t="s">
        <v>4710</v>
      </c>
      <c r="B2" s="3477" t="s">
        <v>4674</v>
      </c>
      <c r="C2" s="3477" t="s">
        <v>4673</v>
      </c>
      <c r="D2" s="3477" t="s">
        <v>4709</v>
      </c>
      <c r="E2" s="3477">
        <v>26197.17</v>
      </c>
      <c r="F2" s="3477">
        <v>26500</v>
      </c>
      <c r="G2" s="3477" t="s">
        <v>4708</v>
      </c>
      <c r="H2" s="3477" t="s">
        <v>4707</v>
      </c>
      <c r="I2" s="3477" t="s">
        <v>4669</v>
      </c>
      <c r="J2" s="3477">
        <v>0</v>
      </c>
      <c r="K2" s="3477" t="s">
        <v>4706</v>
      </c>
      <c r="L2" s="3477" t="s">
        <v>4705</v>
      </c>
      <c r="M2" s="3477" t="s">
        <v>633</v>
      </c>
      <c r="N2" s="3477">
        <v>20986.799999999999</v>
      </c>
      <c r="O2" s="3477">
        <v>534.07000000000005</v>
      </c>
      <c r="P2" s="3477">
        <v>7919.55</v>
      </c>
      <c r="Q2" s="3477" t="s">
        <v>633</v>
      </c>
      <c r="R2" s="3477" t="s">
        <v>633</v>
      </c>
      <c r="S2" s="3477" t="s">
        <v>4704</v>
      </c>
    </row>
    <row r="3" spans="1:19">
      <c r="A3" s="3477" t="s">
        <v>4783</v>
      </c>
      <c r="B3" s="3477" t="s">
        <v>4674</v>
      </c>
      <c r="C3" s="3477" t="s">
        <v>4673</v>
      </c>
      <c r="D3" s="3477" t="s">
        <v>4726</v>
      </c>
      <c r="E3" s="3477">
        <v>5500</v>
      </c>
      <c r="F3" s="3477">
        <v>12100</v>
      </c>
      <c r="G3" s="3477" t="s">
        <v>4768</v>
      </c>
      <c r="H3" s="3477" t="s">
        <v>4670</v>
      </c>
      <c r="I3" s="3477" t="s">
        <v>4669</v>
      </c>
      <c r="J3" s="3477">
        <v>0</v>
      </c>
      <c r="K3" s="3477" t="s">
        <v>4782</v>
      </c>
      <c r="L3" s="3477" t="s">
        <v>4782</v>
      </c>
      <c r="M3" s="3477">
        <v>20000</v>
      </c>
      <c r="N3" s="3477">
        <v>20000</v>
      </c>
      <c r="O3" s="3477">
        <v>2424.2399999999998</v>
      </c>
      <c r="P3" s="3477">
        <v>16528.93</v>
      </c>
      <c r="Q3" s="3477">
        <v>0</v>
      </c>
      <c r="R3" s="3477" t="s">
        <v>633</v>
      </c>
      <c r="S3" s="3477" t="s">
        <v>4781</v>
      </c>
    </row>
    <row r="4" spans="1:19">
      <c r="A4" s="3477" t="s">
        <v>4780</v>
      </c>
      <c r="B4" s="3477" t="s">
        <v>4674</v>
      </c>
      <c r="C4" s="3477" t="s">
        <v>4673</v>
      </c>
      <c r="D4" s="3477" t="s">
        <v>4726</v>
      </c>
      <c r="E4" s="3477">
        <v>10000</v>
      </c>
      <c r="F4" s="3477">
        <v>22000</v>
      </c>
      <c r="G4" s="3477" t="s">
        <v>4768</v>
      </c>
      <c r="H4" s="3477" t="s">
        <v>4670</v>
      </c>
      <c r="I4" s="3477" t="s">
        <v>4669</v>
      </c>
      <c r="J4" s="3477">
        <v>0</v>
      </c>
      <c r="K4" s="3477" t="s">
        <v>4779</v>
      </c>
      <c r="L4" s="3477" t="s">
        <v>4779</v>
      </c>
      <c r="M4" s="3477">
        <v>36400</v>
      </c>
      <c r="N4" s="3477">
        <v>36400</v>
      </c>
      <c r="O4" s="3477">
        <v>2426.67</v>
      </c>
      <c r="P4" s="3477">
        <v>16545.45</v>
      </c>
      <c r="Q4" s="3477">
        <v>0</v>
      </c>
      <c r="R4" s="3477" t="s">
        <v>633</v>
      </c>
      <c r="S4" s="3477" t="s">
        <v>4778</v>
      </c>
    </row>
    <row r="5" spans="1:19">
      <c r="A5" s="3477" t="s">
        <v>4777</v>
      </c>
      <c r="B5" s="3477" t="s">
        <v>4674</v>
      </c>
      <c r="C5" s="3477" t="s">
        <v>4673</v>
      </c>
      <c r="D5" s="3477" t="s">
        <v>4726</v>
      </c>
      <c r="E5" s="3477">
        <v>16122.82</v>
      </c>
      <c r="F5" s="3477">
        <v>45143.91</v>
      </c>
      <c r="G5" s="3477" t="s">
        <v>4776</v>
      </c>
      <c r="H5" s="3477" t="s">
        <v>4670</v>
      </c>
      <c r="I5" s="3477" t="s">
        <v>4669</v>
      </c>
      <c r="J5" s="3477">
        <v>0</v>
      </c>
      <c r="K5" s="3477" t="s">
        <v>4775</v>
      </c>
      <c r="L5" s="3477" t="s">
        <v>4775</v>
      </c>
      <c r="M5" s="3477">
        <v>76000</v>
      </c>
      <c r="N5" s="3477">
        <v>76000</v>
      </c>
      <c r="O5" s="3477">
        <v>3142.54</v>
      </c>
      <c r="P5" s="3477">
        <v>16835.05</v>
      </c>
      <c r="Q5" s="3477">
        <v>0</v>
      </c>
      <c r="R5" s="3477" t="s">
        <v>633</v>
      </c>
      <c r="S5" s="3477" t="s">
        <v>4774</v>
      </c>
    </row>
    <row r="6" spans="1:19">
      <c r="A6" s="3477" t="s">
        <v>4755</v>
      </c>
      <c r="B6" s="3477" t="s">
        <v>4674</v>
      </c>
      <c r="C6" s="3477" t="s">
        <v>4673</v>
      </c>
      <c r="D6" s="3477" t="s">
        <v>4726</v>
      </c>
      <c r="E6" s="3477">
        <v>29991.73</v>
      </c>
      <c r="F6" s="3477">
        <v>119966.93</v>
      </c>
      <c r="G6" s="3477">
        <v>4</v>
      </c>
      <c r="H6" s="3477" t="s">
        <v>4670</v>
      </c>
      <c r="I6" s="3477" t="s">
        <v>4669</v>
      </c>
      <c r="J6" s="3477">
        <v>0</v>
      </c>
      <c r="K6" s="3477" t="s">
        <v>4754</v>
      </c>
      <c r="L6" s="3477" t="s">
        <v>4754</v>
      </c>
      <c r="M6" s="3477">
        <v>165300</v>
      </c>
      <c r="N6" s="3477">
        <v>165300</v>
      </c>
      <c r="O6" s="3477">
        <v>3674.35</v>
      </c>
      <c r="P6" s="3477">
        <v>13778.8</v>
      </c>
      <c r="Q6" s="3477">
        <v>0</v>
      </c>
      <c r="R6" s="3477" t="s">
        <v>633</v>
      </c>
      <c r="S6" s="3477" t="s">
        <v>4753</v>
      </c>
    </row>
    <row r="7" spans="1:19">
      <c r="A7" s="3477" t="s">
        <v>4743</v>
      </c>
      <c r="B7" s="3477" t="s">
        <v>4674</v>
      </c>
      <c r="C7" s="3477" t="s">
        <v>4673</v>
      </c>
      <c r="D7" s="3477" t="s">
        <v>4726</v>
      </c>
      <c r="E7" s="3477">
        <v>204418.11</v>
      </c>
      <c r="F7" s="3477">
        <v>302000</v>
      </c>
      <c r="G7" s="3477">
        <v>1.5</v>
      </c>
      <c r="H7" s="3477" t="s">
        <v>4670</v>
      </c>
      <c r="I7" s="3477" t="s">
        <v>4669</v>
      </c>
      <c r="J7" s="3477">
        <v>0</v>
      </c>
      <c r="K7" s="3477" t="s">
        <v>4734</v>
      </c>
      <c r="L7" s="3477" t="s">
        <v>4734</v>
      </c>
      <c r="M7" s="3477">
        <v>506700</v>
      </c>
      <c r="N7" s="3477">
        <v>506700</v>
      </c>
      <c r="O7" s="3477">
        <v>1652.5</v>
      </c>
      <c r="P7" s="3477">
        <v>16778.150000000001</v>
      </c>
      <c r="Q7" s="3477">
        <v>0</v>
      </c>
      <c r="R7" s="3477" t="s">
        <v>633</v>
      </c>
      <c r="S7" s="3477" t="s">
        <v>4742</v>
      </c>
    </row>
    <row r="8" spans="1:19">
      <c r="A8" s="3477" t="s">
        <v>4732</v>
      </c>
      <c r="B8" s="3477" t="s">
        <v>4674</v>
      </c>
      <c r="C8" s="3477" t="s">
        <v>4673</v>
      </c>
      <c r="D8" s="3477" t="s">
        <v>4726</v>
      </c>
      <c r="E8" s="3477">
        <v>17147.95</v>
      </c>
      <c r="F8" s="3477">
        <v>53158.65</v>
      </c>
      <c r="G8" s="3477" t="s">
        <v>4731</v>
      </c>
      <c r="H8" s="3477" t="s">
        <v>4670</v>
      </c>
      <c r="I8" s="3477" t="s">
        <v>4730</v>
      </c>
      <c r="J8" s="3477">
        <v>0</v>
      </c>
      <c r="K8" s="3477" t="s">
        <v>4729</v>
      </c>
      <c r="L8" s="3477" t="s">
        <v>4729</v>
      </c>
      <c r="M8" s="3477">
        <v>69200</v>
      </c>
      <c r="N8" s="3477">
        <v>69200</v>
      </c>
      <c r="O8" s="3477">
        <v>2690.31</v>
      </c>
      <c r="P8" s="3477">
        <v>13017.64</v>
      </c>
      <c r="Q8" s="3477">
        <v>0</v>
      </c>
      <c r="R8" s="3477" t="s">
        <v>633</v>
      </c>
      <c r="S8" s="3477" t="s">
        <v>4728</v>
      </c>
    </row>
    <row r="9" spans="1:19">
      <c r="A9" s="3477" t="s">
        <v>4727</v>
      </c>
      <c r="B9" s="3477" t="s">
        <v>4674</v>
      </c>
      <c r="C9" s="3477" t="s">
        <v>4673</v>
      </c>
      <c r="D9" s="3477" t="s">
        <v>4726</v>
      </c>
      <c r="E9" s="3477">
        <v>22058.78</v>
      </c>
      <c r="F9" s="3477">
        <v>47390</v>
      </c>
      <c r="G9" s="3477" t="s">
        <v>4725</v>
      </c>
      <c r="H9" s="3477" t="s">
        <v>4670</v>
      </c>
      <c r="I9" s="3477" t="s">
        <v>4669</v>
      </c>
      <c r="J9" s="3477">
        <v>0</v>
      </c>
      <c r="K9" s="3477" t="s">
        <v>4724</v>
      </c>
      <c r="L9" s="3477" t="s">
        <v>4724</v>
      </c>
      <c r="M9" s="3477">
        <v>32700</v>
      </c>
      <c r="N9" s="3477">
        <v>32700</v>
      </c>
      <c r="O9" s="3477">
        <v>988.27</v>
      </c>
      <c r="P9" s="3477">
        <v>6900.19</v>
      </c>
      <c r="Q9" s="3477">
        <v>0</v>
      </c>
      <c r="R9" s="3477" t="s">
        <v>633</v>
      </c>
      <c r="S9" s="3477" t="s">
        <v>4723</v>
      </c>
    </row>
    <row r="10" spans="1:19">
      <c r="A10" s="3477" t="s">
        <v>4797</v>
      </c>
      <c r="B10" s="3477" t="s">
        <v>4674</v>
      </c>
      <c r="C10" s="3477" t="s">
        <v>4673</v>
      </c>
      <c r="D10" s="3477" t="s">
        <v>4714</v>
      </c>
      <c r="E10" s="3477">
        <v>64012.4</v>
      </c>
      <c r="F10" s="3477">
        <v>192037.19</v>
      </c>
      <c r="G10" s="3477">
        <v>3</v>
      </c>
      <c r="H10" s="3477" t="s">
        <v>4670</v>
      </c>
      <c r="I10" s="3477" t="s">
        <v>4796</v>
      </c>
      <c r="J10" s="3477">
        <v>0</v>
      </c>
      <c r="K10" s="3477" t="s">
        <v>4795</v>
      </c>
      <c r="L10" s="3477" t="s">
        <v>4795</v>
      </c>
      <c r="M10" s="3477">
        <v>177000</v>
      </c>
      <c r="N10" s="3477">
        <v>177000</v>
      </c>
      <c r="O10" s="3477">
        <v>1843.39</v>
      </c>
      <c r="P10" s="3477">
        <v>9216.9599999999991</v>
      </c>
      <c r="Q10" s="3477">
        <v>0</v>
      </c>
      <c r="R10" s="3477" t="s">
        <v>633</v>
      </c>
      <c r="S10" s="3477" t="s">
        <v>4794</v>
      </c>
    </row>
    <row r="11" spans="1:19">
      <c r="A11" s="3477" t="s">
        <v>4741</v>
      </c>
      <c r="B11" s="3477" t="s">
        <v>4674</v>
      </c>
      <c r="C11" s="3477" t="s">
        <v>4673</v>
      </c>
      <c r="D11" s="3477" t="s">
        <v>4714</v>
      </c>
      <c r="E11" s="3477">
        <v>12136.3</v>
      </c>
      <c r="F11" s="3477">
        <v>42477</v>
      </c>
      <c r="G11" s="3477">
        <v>3.5</v>
      </c>
      <c r="H11" s="3477" t="s">
        <v>4670</v>
      </c>
      <c r="I11" s="3477" t="s">
        <v>4700</v>
      </c>
      <c r="J11" s="3477">
        <v>0</v>
      </c>
      <c r="K11" s="3477" t="s">
        <v>4734</v>
      </c>
      <c r="L11" s="3477" t="s">
        <v>4734</v>
      </c>
      <c r="M11" s="3477">
        <v>71000</v>
      </c>
      <c r="N11" s="3477">
        <v>71000</v>
      </c>
      <c r="O11" s="3477">
        <v>3900.15</v>
      </c>
      <c r="P11" s="3477">
        <v>16714.93</v>
      </c>
      <c r="Q11" s="3477">
        <v>0</v>
      </c>
      <c r="R11" s="3477" t="s">
        <v>633</v>
      </c>
      <c r="S11" s="3477" t="s">
        <v>4740</v>
      </c>
    </row>
    <row r="12" spans="1:19">
      <c r="A12" s="3477" t="s">
        <v>4715</v>
      </c>
      <c r="B12" s="3477" t="s">
        <v>4674</v>
      </c>
      <c r="C12" s="3477" t="s">
        <v>4673</v>
      </c>
      <c r="D12" s="3477" t="s">
        <v>4714</v>
      </c>
      <c r="E12" s="3477">
        <v>28676.63</v>
      </c>
      <c r="F12" s="3477">
        <v>114706.51</v>
      </c>
      <c r="G12" s="3477" t="s">
        <v>4713</v>
      </c>
      <c r="H12" s="3477" t="s">
        <v>4670</v>
      </c>
      <c r="I12" s="3477" t="s">
        <v>4691</v>
      </c>
      <c r="J12" s="3477">
        <v>0</v>
      </c>
      <c r="K12" s="3477" t="s">
        <v>4712</v>
      </c>
      <c r="L12" s="3477" t="s">
        <v>4712</v>
      </c>
      <c r="M12" s="3477">
        <v>175500</v>
      </c>
      <c r="N12" s="3477">
        <v>175500</v>
      </c>
      <c r="O12" s="3477">
        <v>4079.98</v>
      </c>
      <c r="P12" s="3477">
        <v>15299.92</v>
      </c>
      <c r="Q12" s="3477">
        <v>0</v>
      </c>
      <c r="R12" s="3477" t="s">
        <v>633</v>
      </c>
      <c r="S12" s="3477" t="s">
        <v>4711</v>
      </c>
    </row>
    <row r="13" spans="1:19">
      <c r="A13" s="3477" t="s">
        <v>4801</v>
      </c>
      <c r="B13" s="3477" t="s">
        <v>4674</v>
      </c>
      <c r="C13" s="3477" t="s">
        <v>4673</v>
      </c>
      <c r="D13" s="3477" t="s">
        <v>4800</v>
      </c>
      <c r="E13" s="3477">
        <v>46654.62</v>
      </c>
      <c r="F13" s="3477">
        <v>88643.78</v>
      </c>
      <c r="G13" s="3477">
        <v>1.9</v>
      </c>
      <c r="H13" s="3477" t="s">
        <v>4670</v>
      </c>
      <c r="I13" s="3477" t="s">
        <v>4691</v>
      </c>
      <c r="J13" s="3477">
        <v>0</v>
      </c>
      <c r="K13" s="3477" t="s">
        <v>4799</v>
      </c>
      <c r="L13" s="3477" t="s">
        <v>4799</v>
      </c>
      <c r="M13" s="3477">
        <v>28000</v>
      </c>
      <c r="N13" s="3477">
        <v>28000</v>
      </c>
      <c r="O13" s="3477">
        <v>400.1</v>
      </c>
      <c r="P13" s="3477">
        <v>3158.71</v>
      </c>
      <c r="Q13" s="3477">
        <v>0</v>
      </c>
      <c r="R13" s="3477" t="s">
        <v>633</v>
      </c>
      <c r="S13" s="3477" t="s">
        <v>4798</v>
      </c>
    </row>
    <row r="14" spans="1:19">
      <c r="A14" s="3477" t="s">
        <v>4760</v>
      </c>
      <c r="B14" s="3477" t="s">
        <v>4674</v>
      </c>
      <c r="C14" s="3477" t="s">
        <v>4673</v>
      </c>
      <c r="D14" s="3477" t="s">
        <v>4688</v>
      </c>
      <c r="E14" s="3477">
        <v>19258.580000000002</v>
      </c>
      <c r="F14" s="3477">
        <v>38517.17</v>
      </c>
      <c r="G14" s="3477">
        <v>2</v>
      </c>
      <c r="H14" s="3477" t="s">
        <v>4670</v>
      </c>
      <c r="I14" s="3477" t="s">
        <v>4669</v>
      </c>
      <c r="J14" s="3477">
        <v>0</v>
      </c>
      <c r="K14" s="3477" t="s">
        <v>4757</v>
      </c>
      <c r="L14" s="3477" t="s">
        <v>4757</v>
      </c>
      <c r="M14" s="3477">
        <v>28400</v>
      </c>
      <c r="N14" s="3477">
        <v>28400</v>
      </c>
      <c r="O14" s="3477">
        <v>983.11</v>
      </c>
      <c r="P14" s="3477">
        <v>7373.34</v>
      </c>
      <c r="Q14" s="3477">
        <v>0</v>
      </c>
      <c r="R14" s="3477" t="s">
        <v>633</v>
      </c>
      <c r="S14" s="3477" t="s">
        <v>4759</v>
      </c>
    </row>
    <row r="15" spans="1:19">
      <c r="A15" s="3477" t="s">
        <v>4758</v>
      </c>
      <c r="B15" s="3477" t="s">
        <v>4674</v>
      </c>
      <c r="C15" s="3477" t="s">
        <v>4673</v>
      </c>
      <c r="D15" s="3477" t="s">
        <v>4688</v>
      </c>
      <c r="E15" s="3477">
        <v>28547.88</v>
      </c>
      <c r="F15" s="3477">
        <v>51828.53</v>
      </c>
      <c r="G15" s="3477">
        <v>1.82</v>
      </c>
      <c r="H15" s="3477" t="s">
        <v>4670</v>
      </c>
      <c r="I15" s="3477" t="s">
        <v>4669</v>
      </c>
      <c r="J15" s="3477">
        <v>0</v>
      </c>
      <c r="K15" s="3477" t="s">
        <v>4757</v>
      </c>
      <c r="L15" s="3477" t="s">
        <v>4757</v>
      </c>
      <c r="M15" s="3477">
        <v>37700</v>
      </c>
      <c r="N15" s="3477">
        <v>37700</v>
      </c>
      <c r="O15" s="3477">
        <v>880.39</v>
      </c>
      <c r="P15" s="3477">
        <v>7273.99</v>
      </c>
      <c r="Q15" s="3477">
        <v>0</v>
      </c>
      <c r="R15" s="3477" t="s">
        <v>633</v>
      </c>
      <c r="S15" s="3477" t="s">
        <v>4756</v>
      </c>
    </row>
    <row r="16" spans="1:19">
      <c r="A16" s="3477" t="s">
        <v>4722</v>
      </c>
      <c r="B16" s="3477" t="s">
        <v>4674</v>
      </c>
      <c r="C16" s="3477" t="s">
        <v>4673</v>
      </c>
      <c r="D16" s="3477" t="s">
        <v>4688</v>
      </c>
      <c r="E16" s="3477">
        <v>1676.22</v>
      </c>
      <c r="F16" s="3477">
        <v>753.4</v>
      </c>
      <c r="G16" s="3477" t="s">
        <v>4721</v>
      </c>
      <c r="H16" s="3477" t="s">
        <v>4670</v>
      </c>
      <c r="I16" s="3477" t="s">
        <v>4691</v>
      </c>
      <c r="J16" s="3477">
        <v>0</v>
      </c>
      <c r="K16" s="3477" t="s">
        <v>4720</v>
      </c>
      <c r="L16" s="3477" t="s">
        <v>4720</v>
      </c>
      <c r="M16" s="3477">
        <v>550</v>
      </c>
      <c r="N16" s="3477">
        <v>550</v>
      </c>
      <c r="O16" s="3477">
        <v>218.75</v>
      </c>
      <c r="P16" s="3477">
        <v>7300.24</v>
      </c>
      <c r="Q16" s="3477">
        <v>0</v>
      </c>
      <c r="R16" s="3477" t="s">
        <v>633</v>
      </c>
      <c r="S16" s="3477" t="s">
        <v>4690</v>
      </c>
    </row>
    <row r="17" spans="1:19">
      <c r="A17" s="3477" t="s">
        <v>4697</v>
      </c>
      <c r="B17" s="3477" t="s">
        <v>4674</v>
      </c>
      <c r="C17" s="3477" t="s">
        <v>4673</v>
      </c>
      <c r="D17" s="3477" t="s">
        <v>4688</v>
      </c>
      <c r="E17" s="3477">
        <v>63225.37</v>
      </c>
      <c r="F17" s="3477">
        <v>120200</v>
      </c>
      <c r="G17" s="3477" t="s">
        <v>4696</v>
      </c>
      <c r="H17" s="3477" t="s">
        <v>4670</v>
      </c>
      <c r="I17" s="3477" t="s">
        <v>4669</v>
      </c>
      <c r="J17" s="3477">
        <v>0</v>
      </c>
      <c r="K17" s="3477" t="s">
        <v>4695</v>
      </c>
      <c r="L17" s="3477" t="s">
        <v>4695</v>
      </c>
      <c r="M17" s="3477">
        <v>88100</v>
      </c>
      <c r="N17" s="3477">
        <v>88100</v>
      </c>
      <c r="O17" s="3477">
        <v>928.95</v>
      </c>
      <c r="P17" s="3477">
        <v>7329.45</v>
      </c>
      <c r="Q17" s="3477">
        <v>0</v>
      </c>
      <c r="R17" s="3477" t="s">
        <v>633</v>
      </c>
      <c r="S17" s="3477" t="s">
        <v>4694</v>
      </c>
    </row>
    <row r="18" spans="1:19">
      <c r="A18" s="3477" t="s">
        <v>4693</v>
      </c>
      <c r="B18" s="3477" t="s">
        <v>4674</v>
      </c>
      <c r="C18" s="3477" t="s">
        <v>4673</v>
      </c>
      <c r="D18" s="3477" t="s">
        <v>4688</v>
      </c>
      <c r="E18" s="3477">
        <v>5352.65</v>
      </c>
      <c r="F18" s="3477">
        <v>843</v>
      </c>
      <c r="G18" s="3477" t="s">
        <v>4692</v>
      </c>
      <c r="H18" s="3477" t="s">
        <v>4670</v>
      </c>
      <c r="I18" s="3477" t="s">
        <v>4691</v>
      </c>
      <c r="J18" s="3477">
        <v>0</v>
      </c>
      <c r="K18" s="3477" t="s">
        <v>4686</v>
      </c>
      <c r="L18" s="3477" t="s">
        <v>4686</v>
      </c>
      <c r="M18" s="3477">
        <v>1310</v>
      </c>
      <c r="N18" s="3477">
        <v>1310</v>
      </c>
      <c r="O18" s="3477">
        <v>163.16</v>
      </c>
      <c r="P18" s="3477">
        <v>15539.74</v>
      </c>
      <c r="Q18" s="3477">
        <v>0</v>
      </c>
      <c r="R18" s="3477" t="s">
        <v>633</v>
      </c>
      <c r="S18" s="3477" t="s">
        <v>4690</v>
      </c>
    </row>
    <row r="19" spans="1:19">
      <c r="A19" s="3477" t="s">
        <v>4689</v>
      </c>
      <c r="B19" s="3477" t="s">
        <v>4674</v>
      </c>
      <c r="C19" s="3477" t="s">
        <v>4673</v>
      </c>
      <c r="D19" s="3477" t="s">
        <v>4688</v>
      </c>
      <c r="E19" s="3477">
        <v>36823.82</v>
      </c>
      <c r="F19" s="3477">
        <v>25187</v>
      </c>
      <c r="G19" s="3477" t="s">
        <v>4687</v>
      </c>
      <c r="H19" s="3477" t="s">
        <v>4670</v>
      </c>
      <c r="I19" s="3477" t="s">
        <v>4669</v>
      </c>
      <c r="J19" s="3477">
        <v>0</v>
      </c>
      <c r="K19" s="3477" t="s">
        <v>4686</v>
      </c>
      <c r="L19" s="3477" t="s">
        <v>4686</v>
      </c>
      <c r="M19" s="3477">
        <v>29500</v>
      </c>
      <c r="N19" s="3477">
        <v>29500</v>
      </c>
      <c r="O19" s="3477">
        <v>534.07000000000005</v>
      </c>
      <c r="P19" s="3477">
        <v>11712.39</v>
      </c>
      <c r="Q19" s="3477">
        <v>0</v>
      </c>
      <c r="R19" s="3477" t="s">
        <v>633</v>
      </c>
      <c r="S19" s="3477" t="s">
        <v>4685</v>
      </c>
    </row>
    <row r="20" spans="1:19">
      <c r="A20" s="3477" t="s">
        <v>4793</v>
      </c>
      <c r="B20" s="3477" t="s">
        <v>4674</v>
      </c>
      <c r="C20" s="3477" t="s">
        <v>4673</v>
      </c>
      <c r="D20" s="3477" t="s">
        <v>4702</v>
      </c>
      <c r="E20" s="3477">
        <v>32733.22</v>
      </c>
      <c r="F20" s="3477">
        <v>72013.08</v>
      </c>
      <c r="G20" s="3477">
        <v>2.2000000000000002</v>
      </c>
      <c r="H20" s="3477" t="s">
        <v>4670</v>
      </c>
      <c r="I20" s="3477" t="s">
        <v>4669</v>
      </c>
      <c r="J20" s="3477">
        <v>0</v>
      </c>
      <c r="K20" s="3477" t="s">
        <v>4790</v>
      </c>
      <c r="L20" s="3477" t="s">
        <v>4790</v>
      </c>
      <c r="M20" s="3477">
        <v>149000</v>
      </c>
      <c r="N20" s="3477">
        <v>149000</v>
      </c>
      <c r="O20" s="3477">
        <v>3034.63</v>
      </c>
      <c r="P20" s="3477">
        <v>20690.689999999999</v>
      </c>
      <c r="Q20" s="3477">
        <v>0</v>
      </c>
      <c r="R20" s="3477" t="s">
        <v>633</v>
      </c>
      <c r="S20" s="3477" t="s">
        <v>4792</v>
      </c>
    </row>
    <row r="21" spans="1:19">
      <c r="A21" s="3477" t="s">
        <v>4791</v>
      </c>
      <c r="B21" s="3477" t="s">
        <v>4674</v>
      </c>
      <c r="C21" s="3477" t="s">
        <v>4673</v>
      </c>
      <c r="D21" s="3477" t="s">
        <v>4702</v>
      </c>
      <c r="E21" s="3477">
        <v>29506.55</v>
      </c>
      <c r="F21" s="3477">
        <v>64914.41</v>
      </c>
      <c r="G21" s="3477">
        <v>2.2000000000000002</v>
      </c>
      <c r="H21" s="3477" t="s">
        <v>4670</v>
      </c>
      <c r="I21" s="3477" t="s">
        <v>4669</v>
      </c>
      <c r="J21" s="3477">
        <v>0</v>
      </c>
      <c r="K21" s="3477" t="s">
        <v>4790</v>
      </c>
      <c r="L21" s="3477" t="s">
        <v>4790</v>
      </c>
      <c r="M21" s="3477">
        <v>135000</v>
      </c>
      <c r="N21" s="3477">
        <v>135000</v>
      </c>
      <c r="O21" s="3477">
        <v>3050.17</v>
      </c>
      <c r="P21" s="3477">
        <v>20796.62</v>
      </c>
      <c r="Q21" s="3477">
        <v>0</v>
      </c>
      <c r="R21" s="3477" t="s">
        <v>633</v>
      </c>
      <c r="S21" s="3477" t="s">
        <v>4789</v>
      </c>
    </row>
    <row r="22" spans="1:19">
      <c r="A22" s="3477" t="s">
        <v>4747</v>
      </c>
      <c r="B22" s="3477" t="s">
        <v>4674</v>
      </c>
      <c r="C22" s="3477" t="s">
        <v>4673</v>
      </c>
      <c r="D22" s="3477" t="s">
        <v>4702</v>
      </c>
      <c r="E22" s="3477">
        <v>38252.550000000003</v>
      </c>
      <c r="F22" s="3477">
        <v>84155.61</v>
      </c>
      <c r="G22" s="3477">
        <v>2.2000000000000002</v>
      </c>
      <c r="H22" s="3477" t="s">
        <v>4670</v>
      </c>
      <c r="I22" s="3477" t="s">
        <v>4669</v>
      </c>
      <c r="J22" s="3477">
        <v>0</v>
      </c>
      <c r="K22" s="3477" t="s">
        <v>4734</v>
      </c>
      <c r="L22" s="3477" t="s">
        <v>4734</v>
      </c>
      <c r="M22" s="3477">
        <v>175000</v>
      </c>
      <c r="N22" s="3477">
        <v>175000</v>
      </c>
      <c r="O22" s="3477">
        <v>3049.91</v>
      </c>
      <c r="P22" s="3477">
        <v>20794.810000000001</v>
      </c>
      <c r="Q22" s="3477">
        <v>0</v>
      </c>
      <c r="R22" s="3477" t="s">
        <v>633</v>
      </c>
      <c r="S22" s="3477" t="s">
        <v>4746</v>
      </c>
    </row>
    <row r="23" spans="1:19">
      <c r="A23" s="3477" t="s">
        <v>4745</v>
      </c>
      <c r="B23" s="3477" t="s">
        <v>4674</v>
      </c>
      <c r="C23" s="3477" t="s">
        <v>4673</v>
      </c>
      <c r="D23" s="3477" t="s">
        <v>4702</v>
      </c>
      <c r="E23" s="3477">
        <v>30025.18</v>
      </c>
      <c r="F23" s="3477">
        <v>66055.39</v>
      </c>
      <c r="G23" s="3477">
        <v>2.2000000000000002</v>
      </c>
      <c r="H23" s="3477" t="s">
        <v>4670</v>
      </c>
      <c r="I23" s="3477" t="s">
        <v>4669</v>
      </c>
      <c r="J23" s="3477">
        <v>0</v>
      </c>
      <c r="K23" s="3477" t="s">
        <v>4734</v>
      </c>
      <c r="L23" s="3477" t="s">
        <v>4734</v>
      </c>
      <c r="M23" s="3477">
        <v>137000</v>
      </c>
      <c r="N23" s="3477">
        <v>137000</v>
      </c>
      <c r="O23" s="3477">
        <v>3041.89</v>
      </c>
      <c r="P23" s="3477">
        <v>20740.169999999998</v>
      </c>
      <c r="Q23" s="3477">
        <v>0</v>
      </c>
      <c r="R23" s="3477" t="s">
        <v>633</v>
      </c>
      <c r="S23" s="3477" t="s">
        <v>4744</v>
      </c>
    </row>
    <row r="24" spans="1:19">
      <c r="A24" s="3477" t="s">
        <v>4735</v>
      </c>
      <c r="B24" s="3477" t="s">
        <v>4674</v>
      </c>
      <c r="C24" s="3477" t="s">
        <v>4673</v>
      </c>
      <c r="D24" s="3477" t="s">
        <v>4702</v>
      </c>
      <c r="E24" s="3477">
        <v>25121.77</v>
      </c>
      <c r="F24" s="3477">
        <v>55267.89</v>
      </c>
      <c r="G24" s="3477">
        <v>2.2000000000000002</v>
      </c>
      <c r="H24" s="3477" t="s">
        <v>4670</v>
      </c>
      <c r="I24" s="3477" t="s">
        <v>4669</v>
      </c>
      <c r="J24" s="3477">
        <v>0</v>
      </c>
      <c r="K24" s="3477" t="s">
        <v>4734</v>
      </c>
      <c r="L24" s="3477" t="s">
        <v>4734</v>
      </c>
      <c r="M24" s="3477">
        <v>115000</v>
      </c>
      <c r="N24" s="3477">
        <v>115000</v>
      </c>
      <c r="O24" s="3477">
        <v>3051.8</v>
      </c>
      <c r="P24" s="3477">
        <v>20807.740000000002</v>
      </c>
      <c r="Q24" s="3477">
        <v>0</v>
      </c>
      <c r="R24" s="3477" t="s">
        <v>633</v>
      </c>
      <c r="S24" s="3477" t="s">
        <v>4733</v>
      </c>
    </row>
    <row r="25" spans="1:19">
      <c r="A25" s="3477" t="s">
        <v>4703</v>
      </c>
      <c r="B25" s="3477" t="s">
        <v>4674</v>
      </c>
      <c r="C25" s="3477" t="s">
        <v>4673</v>
      </c>
      <c r="D25" s="3477" t="s">
        <v>4702</v>
      </c>
      <c r="E25" s="3477">
        <v>51788.13</v>
      </c>
      <c r="F25" s="3477">
        <v>184800</v>
      </c>
      <c r="G25" s="3477" t="s">
        <v>4701</v>
      </c>
      <c r="H25" s="3477" t="s">
        <v>4670</v>
      </c>
      <c r="I25" s="3477" t="s">
        <v>4700</v>
      </c>
      <c r="J25" s="3477">
        <v>0</v>
      </c>
      <c r="K25" s="3477" t="s">
        <v>4699</v>
      </c>
      <c r="L25" s="3477" t="s">
        <v>4699</v>
      </c>
      <c r="M25" s="3477">
        <v>570500</v>
      </c>
      <c r="N25" s="3477">
        <v>579500</v>
      </c>
      <c r="O25" s="3477">
        <v>7459.88</v>
      </c>
      <c r="P25" s="3477">
        <v>31358.23</v>
      </c>
      <c r="Q25" s="3477">
        <v>1.58</v>
      </c>
      <c r="R25" s="3477" t="s">
        <v>633</v>
      </c>
      <c r="S25" s="3477" t="s">
        <v>4698</v>
      </c>
    </row>
    <row r="26" spans="1:19" s="3478" customFormat="1">
      <c r="A26" s="3478" t="s">
        <v>4788</v>
      </c>
      <c r="B26" s="3478" t="s">
        <v>4674</v>
      </c>
      <c r="C26" s="3478" t="s">
        <v>4673</v>
      </c>
      <c r="D26" s="3478" t="s">
        <v>4787</v>
      </c>
      <c r="E26" s="3478">
        <v>12629.88</v>
      </c>
      <c r="F26" s="3478">
        <v>80000</v>
      </c>
      <c r="G26" s="3478" t="s">
        <v>4786</v>
      </c>
      <c r="H26" s="3478" t="s">
        <v>4670</v>
      </c>
      <c r="I26" s="3478" t="s">
        <v>4700</v>
      </c>
      <c r="J26" s="3478">
        <v>0</v>
      </c>
      <c r="K26" s="3478" t="s">
        <v>4785</v>
      </c>
      <c r="L26" s="3478" t="s">
        <v>4785</v>
      </c>
      <c r="M26" s="3478">
        <v>166000</v>
      </c>
      <c r="N26" s="3478">
        <v>166000</v>
      </c>
      <c r="O26" s="3478">
        <v>8762.2900000000009</v>
      </c>
      <c r="P26" s="3478">
        <v>20750</v>
      </c>
      <c r="Q26" s="3478">
        <v>0</v>
      </c>
      <c r="R26" s="3478" t="s">
        <v>633</v>
      </c>
      <c r="S26" s="3478" t="s">
        <v>4784</v>
      </c>
    </row>
    <row r="27" spans="1:19">
      <c r="A27" s="3477" t="s">
        <v>4719</v>
      </c>
      <c r="B27" s="3477" t="s">
        <v>4674</v>
      </c>
      <c r="C27" s="3477" t="s">
        <v>4673</v>
      </c>
      <c r="D27" s="3477" t="s">
        <v>4718</v>
      </c>
      <c r="E27" s="3477">
        <v>25224.15</v>
      </c>
      <c r="F27" s="3477">
        <v>75672.45</v>
      </c>
      <c r="G27" s="3477" t="s">
        <v>4671</v>
      </c>
      <c r="H27" s="3477" t="s">
        <v>4670</v>
      </c>
      <c r="I27" s="3477" t="s">
        <v>4669</v>
      </c>
      <c r="J27" s="3477">
        <v>0</v>
      </c>
      <c r="K27" s="3477" t="s">
        <v>4717</v>
      </c>
      <c r="L27" s="3477" t="s">
        <v>4717</v>
      </c>
      <c r="M27" s="3477">
        <v>60800</v>
      </c>
      <c r="N27" s="3477">
        <v>60800</v>
      </c>
      <c r="O27" s="3477">
        <v>1606.93</v>
      </c>
      <c r="P27" s="3477">
        <v>8034.63</v>
      </c>
      <c r="Q27" s="3477">
        <v>0</v>
      </c>
      <c r="R27" s="3477" t="s">
        <v>633</v>
      </c>
      <c r="S27" s="3477" t="s">
        <v>4716</v>
      </c>
    </row>
    <row r="28" spans="1:19">
      <c r="A28" s="3477" t="s">
        <v>4739</v>
      </c>
      <c r="B28" s="3477" t="s">
        <v>4674</v>
      </c>
      <c r="C28" s="3477" t="s">
        <v>4673</v>
      </c>
      <c r="D28" s="3477" t="s">
        <v>4738</v>
      </c>
      <c r="E28" s="3477">
        <v>5907.54</v>
      </c>
      <c r="F28" s="3477">
        <v>21900</v>
      </c>
      <c r="G28" s="3477">
        <v>3.71</v>
      </c>
      <c r="H28" s="3477" t="s">
        <v>4670</v>
      </c>
      <c r="I28" s="3477" t="s">
        <v>4737</v>
      </c>
      <c r="J28" s="3477">
        <v>0</v>
      </c>
      <c r="K28" s="3477" t="s">
        <v>4734</v>
      </c>
      <c r="L28" s="3477" t="s">
        <v>4734</v>
      </c>
      <c r="M28" s="3477">
        <v>46000</v>
      </c>
      <c r="N28" s="3477">
        <v>46000</v>
      </c>
      <c r="O28" s="3477">
        <v>5191.1099999999997</v>
      </c>
      <c r="P28" s="3477">
        <v>21004.57</v>
      </c>
      <c r="Q28" s="3477">
        <v>0</v>
      </c>
      <c r="R28" s="3477" t="s">
        <v>633</v>
      </c>
      <c r="S28" s="3477" t="s">
        <v>4736</v>
      </c>
    </row>
    <row r="29" spans="1:19">
      <c r="A29" s="3477" t="s">
        <v>4806</v>
      </c>
      <c r="B29" s="3477" t="s">
        <v>4674</v>
      </c>
      <c r="C29" s="3477" t="s">
        <v>4673</v>
      </c>
      <c r="D29" s="3477" t="s">
        <v>4683</v>
      </c>
      <c r="E29" s="3477">
        <v>4800</v>
      </c>
      <c r="F29" s="3477">
        <v>1920</v>
      </c>
      <c r="G29" s="3477" t="s">
        <v>4805</v>
      </c>
      <c r="H29" s="3477" t="s">
        <v>4670</v>
      </c>
      <c r="I29" s="3477" t="s">
        <v>4804</v>
      </c>
      <c r="J29" s="3477">
        <v>0</v>
      </c>
      <c r="K29" s="3477" t="s">
        <v>4803</v>
      </c>
      <c r="L29" s="3477" t="s">
        <v>4803</v>
      </c>
      <c r="M29" s="3477">
        <v>5800</v>
      </c>
      <c r="N29" s="3477">
        <v>5800</v>
      </c>
      <c r="O29" s="3477">
        <v>805.56</v>
      </c>
      <c r="P29" s="3477">
        <v>30208.33</v>
      </c>
      <c r="Q29" s="3477">
        <v>0</v>
      </c>
      <c r="R29" s="3477" t="s">
        <v>633</v>
      </c>
      <c r="S29" s="3477" t="s">
        <v>4802</v>
      </c>
    </row>
    <row r="30" spans="1:19">
      <c r="A30" s="3477" t="s">
        <v>4773</v>
      </c>
      <c r="B30" s="3477" t="s">
        <v>4674</v>
      </c>
      <c r="C30" s="3477" t="s">
        <v>4673</v>
      </c>
      <c r="D30" s="3477" t="s">
        <v>4683</v>
      </c>
      <c r="E30" s="3477">
        <v>17308.8</v>
      </c>
      <c r="F30" s="3477">
        <v>86544</v>
      </c>
      <c r="G30" s="3477" t="s">
        <v>4772</v>
      </c>
      <c r="H30" s="3477" t="s">
        <v>4670</v>
      </c>
      <c r="I30" s="3477" t="s">
        <v>4669</v>
      </c>
      <c r="J30" s="3477">
        <v>0</v>
      </c>
      <c r="K30" s="3477" t="s">
        <v>4771</v>
      </c>
      <c r="L30" s="3477" t="s">
        <v>4771</v>
      </c>
      <c r="M30" s="3477">
        <v>91400</v>
      </c>
      <c r="N30" s="3477">
        <v>91400</v>
      </c>
      <c r="O30" s="3477">
        <v>3520.37</v>
      </c>
      <c r="P30" s="3477">
        <v>10561.1</v>
      </c>
      <c r="Q30" s="3477">
        <v>0</v>
      </c>
      <c r="R30" s="3477" t="s">
        <v>633</v>
      </c>
      <c r="S30" s="3477" t="s">
        <v>4770</v>
      </c>
    </row>
    <row r="31" spans="1:19">
      <c r="A31" s="3477" t="s">
        <v>4769</v>
      </c>
      <c r="B31" s="3477" t="s">
        <v>4674</v>
      </c>
      <c r="C31" s="3477" t="s">
        <v>4673</v>
      </c>
      <c r="D31" s="3477" t="s">
        <v>4683</v>
      </c>
      <c r="E31" s="3477">
        <v>59169.74</v>
      </c>
      <c r="F31" s="3477">
        <v>130173.43</v>
      </c>
      <c r="G31" s="3477" t="s">
        <v>4768</v>
      </c>
      <c r="H31" s="3477" t="s">
        <v>4670</v>
      </c>
      <c r="I31" s="3477" t="s">
        <v>4669</v>
      </c>
      <c r="J31" s="3477">
        <v>0</v>
      </c>
      <c r="K31" s="3477" t="s">
        <v>4767</v>
      </c>
      <c r="L31" s="3477" t="s">
        <v>4767</v>
      </c>
      <c r="M31" s="3477">
        <v>131600</v>
      </c>
      <c r="N31" s="3477">
        <v>131600</v>
      </c>
      <c r="O31" s="3477">
        <v>1482.74</v>
      </c>
      <c r="P31" s="3477">
        <v>10109.59</v>
      </c>
      <c r="Q31" s="3477">
        <v>0</v>
      </c>
      <c r="R31" s="3477" t="s">
        <v>633</v>
      </c>
      <c r="S31" s="3477" t="s">
        <v>4764</v>
      </c>
    </row>
    <row r="32" spans="1:19">
      <c r="A32" s="3477" t="s">
        <v>4766</v>
      </c>
      <c r="B32" s="3477" t="s">
        <v>4674</v>
      </c>
      <c r="C32" s="3477" t="s">
        <v>4673</v>
      </c>
      <c r="D32" s="3477" t="s">
        <v>4683</v>
      </c>
      <c r="E32" s="3477">
        <v>12066.9</v>
      </c>
      <c r="F32" s="3477">
        <v>18100.349999999999</v>
      </c>
      <c r="G32" s="3477">
        <v>1.5</v>
      </c>
      <c r="H32" s="3477" t="s">
        <v>4670</v>
      </c>
      <c r="I32" s="3477" t="s">
        <v>4700</v>
      </c>
      <c r="J32" s="3477">
        <v>0</v>
      </c>
      <c r="K32" s="3477" t="s">
        <v>4765</v>
      </c>
      <c r="L32" s="3477" t="s">
        <v>4765</v>
      </c>
      <c r="M32" s="3477">
        <v>9400</v>
      </c>
      <c r="N32" s="3477">
        <v>9400</v>
      </c>
      <c r="O32" s="3477">
        <v>519.33000000000004</v>
      </c>
      <c r="P32" s="3477">
        <v>5193.2700000000004</v>
      </c>
      <c r="Q32" s="3477">
        <v>0</v>
      </c>
      <c r="R32" s="3477" t="s">
        <v>633</v>
      </c>
      <c r="S32" s="3477" t="s">
        <v>4764</v>
      </c>
    </row>
    <row r="33" spans="1:19">
      <c r="A33" s="3477" t="s">
        <v>4763</v>
      </c>
      <c r="B33" s="3477" t="s">
        <v>4674</v>
      </c>
      <c r="C33" s="3477" t="s">
        <v>4673</v>
      </c>
      <c r="D33" s="3477" t="s">
        <v>4683</v>
      </c>
      <c r="E33" s="3477">
        <v>15178.6</v>
      </c>
      <c r="F33" s="3477">
        <v>45535.8</v>
      </c>
      <c r="G33" s="3477">
        <v>3</v>
      </c>
      <c r="H33" s="3477" t="s">
        <v>4670</v>
      </c>
      <c r="I33" s="3477" t="s">
        <v>4669</v>
      </c>
      <c r="J33" s="3477">
        <v>0</v>
      </c>
      <c r="K33" s="3477" t="s">
        <v>4762</v>
      </c>
      <c r="L33" s="3477" t="s">
        <v>4762</v>
      </c>
      <c r="M33" s="3477">
        <v>58400</v>
      </c>
      <c r="N33" s="3477">
        <v>58400</v>
      </c>
      <c r="O33" s="3477">
        <v>2565.0100000000002</v>
      </c>
      <c r="P33" s="3477">
        <v>12825.07</v>
      </c>
      <c r="Q33" s="3477">
        <v>0</v>
      </c>
      <c r="R33" s="3477" t="s">
        <v>633</v>
      </c>
      <c r="S33" s="3477" t="s">
        <v>4761</v>
      </c>
    </row>
    <row r="34" spans="1:19">
      <c r="A34" s="3477" t="s">
        <v>4752</v>
      </c>
      <c r="B34" s="3477" t="s">
        <v>4674</v>
      </c>
      <c r="C34" s="3477" t="s">
        <v>4673</v>
      </c>
      <c r="D34" s="3477" t="s">
        <v>4683</v>
      </c>
      <c r="E34" s="3477">
        <v>15197.52</v>
      </c>
      <c r="F34" s="3477">
        <v>30395.05</v>
      </c>
      <c r="G34" s="3477">
        <v>2</v>
      </c>
      <c r="H34" s="3477" t="s">
        <v>4670</v>
      </c>
      <c r="I34" s="3477" t="s">
        <v>4751</v>
      </c>
      <c r="J34" s="3477" t="s">
        <v>4750</v>
      </c>
      <c r="K34" s="3477" t="s">
        <v>4749</v>
      </c>
      <c r="L34" s="3477" t="s">
        <v>4749</v>
      </c>
      <c r="M34" s="3477">
        <v>42600</v>
      </c>
      <c r="N34" s="3477">
        <v>42600</v>
      </c>
      <c r="O34" s="3477">
        <v>1868.73</v>
      </c>
      <c r="P34" s="3477">
        <v>14015.44</v>
      </c>
      <c r="Q34" s="3477">
        <v>0</v>
      </c>
      <c r="R34" s="3477" t="s">
        <v>633</v>
      </c>
      <c r="S34" s="3477" t="s">
        <v>4748</v>
      </c>
    </row>
    <row r="35" spans="1:19">
      <c r="A35" s="3477" t="s">
        <v>4684</v>
      </c>
      <c r="B35" s="3477" t="s">
        <v>4674</v>
      </c>
      <c r="C35" s="3477" t="s">
        <v>4673</v>
      </c>
      <c r="D35" s="3477" t="s">
        <v>4683</v>
      </c>
      <c r="E35" s="3477">
        <v>265269.8</v>
      </c>
      <c r="F35" s="3477">
        <v>665975.69999999995</v>
      </c>
      <c r="G35" s="3477" t="s">
        <v>4682</v>
      </c>
      <c r="H35" s="3477" t="s">
        <v>4670</v>
      </c>
      <c r="I35" s="3477" t="s">
        <v>4669</v>
      </c>
      <c r="J35" s="3477">
        <v>0</v>
      </c>
      <c r="K35" s="3477" t="s">
        <v>4681</v>
      </c>
      <c r="L35" s="3477" t="s">
        <v>4681</v>
      </c>
      <c r="M35" s="3477">
        <v>699300</v>
      </c>
      <c r="N35" s="3477">
        <v>699300</v>
      </c>
      <c r="O35" s="3477">
        <v>1757.46</v>
      </c>
      <c r="P35" s="3477">
        <v>10500.38</v>
      </c>
      <c r="Q35" s="3477">
        <v>0</v>
      </c>
      <c r="R35" s="3477" t="s">
        <v>633</v>
      </c>
      <c r="S35" s="3477" t="s">
        <v>4680</v>
      </c>
    </row>
    <row r="36" spans="1:19">
      <c r="A36" s="3477" t="s">
        <v>4679</v>
      </c>
      <c r="B36" s="3477" t="s">
        <v>4674</v>
      </c>
      <c r="C36" s="3477" t="s">
        <v>4673</v>
      </c>
      <c r="D36" s="3477" t="s">
        <v>4678</v>
      </c>
      <c r="E36" s="3477">
        <v>7289.19</v>
      </c>
      <c r="F36" s="3477">
        <v>21867.57</v>
      </c>
      <c r="G36" s="3477" t="s">
        <v>4671</v>
      </c>
      <c r="H36" s="3477" t="s">
        <v>4670</v>
      </c>
      <c r="I36" s="3477" t="s">
        <v>4677</v>
      </c>
      <c r="J36" s="3477">
        <v>0</v>
      </c>
      <c r="K36" s="3477" t="s">
        <v>4668</v>
      </c>
      <c r="L36" s="3477" t="s">
        <v>4668</v>
      </c>
      <c r="M36" s="3477">
        <v>35200</v>
      </c>
      <c r="N36" s="3477">
        <v>35200</v>
      </c>
      <c r="O36" s="3477">
        <v>3219.38</v>
      </c>
      <c r="P36" s="3477">
        <v>16096.9</v>
      </c>
      <c r="Q36" s="3477">
        <v>0</v>
      </c>
      <c r="R36" s="3477" t="s">
        <v>633</v>
      </c>
      <c r="S36" s="3477" t="s">
        <v>4676</v>
      </c>
    </row>
    <row r="37" spans="1:19">
      <c r="A37" s="3477" t="s">
        <v>4675</v>
      </c>
      <c r="B37" s="3477" t="s">
        <v>4674</v>
      </c>
      <c r="C37" s="3477" t="s">
        <v>4673</v>
      </c>
      <c r="D37" s="3477" t="s">
        <v>4672</v>
      </c>
      <c r="E37" s="3477">
        <v>12501.51</v>
      </c>
      <c r="F37" s="3477">
        <v>37505</v>
      </c>
      <c r="G37" s="3477" t="s">
        <v>4671</v>
      </c>
      <c r="H37" s="3477" t="s">
        <v>4670</v>
      </c>
      <c r="I37" s="3477" t="s">
        <v>4669</v>
      </c>
      <c r="J37" s="3477">
        <v>0</v>
      </c>
      <c r="K37" s="3477" t="s">
        <v>4668</v>
      </c>
      <c r="L37" s="3477" t="s">
        <v>4668</v>
      </c>
      <c r="M37" s="3477">
        <v>56000</v>
      </c>
      <c r="N37" s="3477">
        <v>56000</v>
      </c>
      <c r="O37" s="3477">
        <v>2986.31</v>
      </c>
      <c r="P37" s="3477">
        <v>14931.34</v>
      </c>
      <c r="Q37" s="3477">
        <v>0</v>
      </c>
      <c r="R37" s="3477" t="s">
        <v>633</v>
      </c>
      <c r="S37" s="3477" t="s">
        <v>4667</v>
      </c>
    </row>
  </sheetData>
  <autoFilter ref="A1:S1"/>
  <sortState ref="A2:T37">
    <sortCondition descending="1" ref="D1"/>
  </sortState>
  <phoneticPr fontId="134" type="noConversion"/>
  <pageMargins left="0.75" right="0.75" top="1" bottom="1" header="0.5" footer="0.5"/>
  <pageSetup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38" sqref="G38"/>
    </sheetView>
  </sheetViews>
  <sheetFormatPr defaultRowHeight="13.5"/>
  <cols>
    <col min="1" max="1" width="13.875" customWidth="1"/>
    <col min="11" max="17" width="0" hidden="1" customWidth="1"/>
    <col min="25" max="30" width="0" hidden="1" customWidth="1"/>
  </cols>
  <sheetData>
    <row r="1" spans="1:30">
      <c r="A1" s="3221">
        <f>基准地价修正!G23</f>
        <v>44963</v>
      </c>
      <c r="B1" s="3210" t="s">
        <v>2845</v>
      </c>
      <c r="C1" s="3211"/>
      <c r="D1" s="3211"/>
      <c r="E1" s="3211"/>
      <c r="F1" s="3211"/>
      <c r="G1" s="3211"/>
      <c r="H1" s="3211"/>
      <c r="I1" s="3211"/>
      <c r="J1" s="3165"/>
      <c r="K1" s="3211" t="s">
        <v>454</v>
      </c>
      <c r="L1" s="3211"/>
      <c r="M1" s="3211"/>
      <c r="N1" s="3211"/>
      <c r="O1" s="3211"/>
      <c r="P1" s="3211"/>
      <c r="Q1" s="3165"/>
      <c r="R1" s="3830" t="s">
        <v>456</v>
      </c>
      <c r="S1" s="3831"/>
      <c r="T1" s="3831"/>
      <c r="U1" s="3831"/>
      <c r="V1" s="3831"/>
      <c r="W1" s="3831"/>
      <c r="X1" s="3165"/>
      <c r="Y1" s="3830" t="s">
        <v>457</v>
      </c>
      <c r="Z1" s="3831"/>
      <c r="AA1" s="3831"/>
      <c r="AB1" s="3831"/>
      <c r="AC1" s="3831"/>
      <c r="AD1" s="383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30" t="s">
        <v>2833</v>
      </c>
      <c r="S21" s="3831"/>
      <c r="T21" s="3831"/>
      <c r="U21" s="3831"/>
      <c r="V21" s="3831"/>
      <c r="W21" s="3831"/>
      <c r="X21" s="3165"/>
      <c r="Y21" s="3830" t="s">
        <v>2834</v>
      </c>
      <c r="Z21" s="3831"/>
      <c r="AA21" s="3831"/>
      <c r="AB21" s="3831"/>
      <c r="AC21" s="3831"/>
      <c r="AD21" s="383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7" t="s">
        <v>452</v>
      </c>
      <c r="C1" s="3837"/>
      <c r="D1" s="3837"/>
      <c r="E1" s="3837"/>
      <c r="F1" s="3837"/>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4" t="s">
        <v>925</v>
      </c>
      <c r="E3" s="854" t="s">
        <v>931</v>
      </c>
      <c r="F3" s="854" t="s">
        <v>925</v>
      </c>
      <c r="G3" s="854" t="s">
        <v>926</v>
      </c>
      <c r="H3" s="854" t="s">
        <v>925</v>
      </c>
      <c r="I3" s="854" t="s">
        <v>926</v>
      </c>
    </row>
    <row r="4" spans="1:9" ht="15">
      <c r="A4" s="1505" t="str">
        <f>项目基本情况!S2</f>
        <v>房地产</v>
      </c>
      <c r="B4" s="854">
        <f>项目基本情况!C17</f>
        <v>168606.38000000117</v>
      </c>
      <c r="C4" s="854">
        <f>项目基本情况!C18</f>
        <v>0</v>
      </c>
      <c r="D4" s="854">
        <f ca="1">结果表!D118</f>
        <v>250549</v>
      </c>
      <c r="E4" s="854">
        <f ca="1">结果表!E118</f>
        <v>14860</v>
      </c>
      <c r="F4" s="854">
        <f ca="1">结果表!F118</f>
        <v>115216</v>
      </c>
      <c r="G4" s="854">
        <f ca="1">结果表!G118</f>
        <v>6833</v>
      </c>
      <c r="H4" s="854">
        <f ca="1">结果表!H118</f>
        <v>365765</v>
      </c>
      <c r="I4" s="854">
        <f ca="1">结果表!I118</f>
        <v>21693</v>
      </c>
    </row>
    <row r="5" spans="1:9" ht="30" customHeight="1">
      <c r="A5" s="3515" t="s">
        <v>927</v>
      </c>
      <c r="B5" s="3515"/>
      <c r="C5" s="3515"/>
      <c r="D5" s="3515" t="str">
        <f ca="1">结果表!D119</f>
        <v>贰拾伍亿零伍佰肆拾玖万元整</v>
      </c>
      <c r="E5" s="3515"/>
      <c r="F5" s="3515" t="str">
        <f ca="1">结果表!F119</f>
        <v>壹拾壹亿伍仟贰佰壹拾陆万元整</v>
      </c>
      <c r="G5" s="3515"/>
      <c r="H5" s="3515" t="str">
        <f ca="1">结果表!H119</f>
        <v>叁拾陆亿伍仟柒佰陆拾伍万元整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房地产抵押价值</v>
      </c>
      <c r="B8" s="3514"/>
      <c r="C8" s="3514"/>
      <c r="D8" s="3514">
        <f ca="1">结果表!D122</f>
        <v>365765</v>
      </c>
      <c r="E8" s="3514"/>
      <c r="F8" s="3514"/>
      <c r="G8" s="3514"/>
      <c r="H8" s="3514"/>
      <c r="I8" s="3514"/>
    </row>
    <row r="9" spans="1:9" ht="15">
      <c r="A9" s="3515" t="s">
        <v>927</v>
      </c>
      <c r="B9" s="3515"/>
      <c r="C9" s="3515"/>
      <c r="D9" s="3515" t="str">
        <f ca="1">结果表!D123</f>
        <v>叁拾陆亿伍仟柒佰陆拾伍万元整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7" t="s">
        <v>949</v>
      </c>
      <c r="B1" s="3527"/>
      <c r="C1" s="3527"/>
      <c r="D1" s="3527"/>
    </row>
    <row r="2" spans="1:4" ht="18">
      <c r="A2" s="3528" t="s">
        <v>933</v>
      </c>
      <c r="B2" s="3528"/>
      <c r="C2" s="3528"/>
      <c r="D2" s="352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8" t="s">
        <v>939</v>
      </c>
      <c r="B6" s="3528"/>
      <c r="C6" s="3528"/>
      <c r="D6" s="352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spans="1:4" ht="30" customHeight="1">
      <c r="A13" s="3521" t="str">
        <f>IF(项目基本情况!B8="抵押","3.抵押双方在办理抵押登记手续时，应使用本公司出具的正式《房地产评估报告》，特提醒报告使用者注意。","——")</f>
        <v>——</v>
      </c>
      <c r="B13" s="3526"/>
      <c r="C13" s="3526"/>
      <c r="D13" s="3526"/>
    </row>
    <row r="14" spans="1:4" ht="15.75" customHeight="1">
      <c r="A14" s="3521" t="str">
        <f>IF(项目基本情况!B8="抵押","4.本次评估估价师所知悉的法定优先受偿款情况说明如下：","——")</f>
        <v>——</v>
      </c>
      <c r="B14" s="3526"/>
      <c r="C14" s="3526"/>
      <c r="D14" s="3526"/>
    </row>
    <row r="15" spans="1:4" ht="42" customHeight="1">
      <c r="A15" s="3521" t="str">
        <f>IF(项目基本情况!B8="抵押","（1）"&amp;CONCATENATE(项目基本情况!L20,项目基本情况!L21,项目基本情况!L22),"——")</f>
        <v>——</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9" sqref="D9"/>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5" t="s">
        <v>956</v>
      </c>
      <c r="B15" s="3530" t="s">
        <v>109</v>
      </c>
      <c r="C15" s="3531"/>
    </row>
    <row r="16" spans="1:7" ht="13.5">
      <c r="A16" s="3536"/>
      <c r="B16" s="3530" t="s">
        <v>42</v>
      </c>
      <c r="C16" s="3531"/>
    </row>
    <row r="17" spans="1:3" ht="13.5">
      <c r="A17" s="3536"/>
      <c r="B17" s="3533" t="s">
        <v>957</v>
      </c>
      <c r="C17" s="1532" t="s">
        <v>956</v>
      </c>
    </row>
    <row r="18" spans="1:3" ht="13.5">
      <c r="A18" s="3536"/>
      <c r="B18" s="3533"/>
      <c r="C18" s="1532" t="s">
        <v>958</v>
      </c>
    </row>
    <row r="19" spans="1:3" ht="13.5">
      <c r="A19" s="3536"/>
      <c r="B19" s="3533"/>
      <c r="C19" s="1532" t="s">
        <v>959</v>
      </c>
    </row>
    <row r="20" spans="1:3" ht="13.5">
      <c r="A20" s="3537"/>
      <c r="B20" s="3532" t="s">
        <v>960</v>
      </c>
      <c r="C20" s="3531"/>
    </row>
    <row r="21" spans="1:3" ht="13.5">
      <c r="A21" s="1533" t="s">
        <v>961</v>
      </c>
      <c r="B21" s="1534"/>
      <c r="C21" s="1535"/>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2" t="s">
        <v>967</v>
      </c>
    </row>
    <row r="26" spans="1:3" ht="13.5">
      <c r="A26" s="3534"/>
      <c r="B26" s="3533"/>
      <c r="C26" s="1532" t="s">
        <v>968</v>
      </c>
    </row>
    <row r="27" spans="1:3" ht="13.5">
      <c r="A27" s="3534"/>
      <c r="B27" s="3533"/>
      <c r="C27" s="1532" t="s">
        <v>969</v>
      </c>
    </row>
    <row r="28" spans="1:3" ht="13.5">
      <c r="A28" s="3534"/>
      <c r="B28" s="3533"/>
      <c r="C28" s="1532" t="s">
        <v>970</v>
      </c>
    </row>
    <row r="29" spans="1:3" ht="13.5">
      <c r="A29" s="3534"/>
      <c r="B29" s="3533"/>
      <c r="C29" s="1532" t="s">
        <v>971</v>
      </c>
    </row>
    <row r="30" spans="1:3" ht="13.5">
      <c r="A30" s="3534"/>
      <c r="B30" s="3533"/>
      <c r="C30" s="1532" t="s">
        <v>972</v>
      </c>
    </row>
    <row r="31" spans="1:3" ht="13.5">
      <c r="A31" s="3534"/>
      <c r="B31" s="3533"/>
      <c r="C31" s="1532" t="s">
        <v>973</v>
      </c>
    </row>
    <row r="32" spans="1:3" ht="13.5">
      <c r="A32" s="3534"/>
      <c r="B32" s="3533"/>
      <c r="C32" s="1532" t="s">
        <v>974</v>
      </c>
    </row>
    <row r="33" spans="1:3" ht="13.5">
      <c r="A33" s="3534"/>
      <c r="B33" s="353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8" sqref="B3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3"/>
      <c r="E18" s="3540" t="s">
        <v>2162</v>
      </c>
      <c r="F18" s="3539"/>
      <c r="G18" s="353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全年预估</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地下车库收益法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土地案例</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2023-02-06T08:17:09Z</dcterms:modified>
</cp:coreProperties>
</file>