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drawings/drawing4.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1.xml" ContentType="application/vnd.openxmlformats-officedocument.spreadsheetml.comments+xml"/>
  <Override PartName="/xl/drawings/drawing7.xml" ContentType="application/vnd.openxmlformats-officedocument.drawing+xml"/>
  <Override PartName="/xl/comments2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23.xml" ContentType="application/vnd.openxmlformats-officedocument.spreadsheetml.comments+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8535" yWindow="1290" windowWidth="17280" windowHeight="8970" tabRatio="877" firstSheet="8" activeTab="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土地面积" sheetId="86" r:id="rId17"/>
    <sheet name="面积表" sheetId="83" r:id="rId18"/>
    <sheet name="结果汇总表" sheetId="87" r:id="rId19"/>
    <sheet name="结果表" sheetId="9" state="hidden" r:id="rId20"/>
    <sheet name="基准地价-住宅" sheetId="46" r:id="rId21"/>
    <sheet name="剩余法-住宅" sheetId="12" r:id="rId22"/>
    <sheet name="剩余法-现房" sheetId="43" state="hidden" r:id="rId23"/>
    <sheet name="比较法-工业" sheetId="40"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酒店收入计算" sheetId="57" state="hidden" r:id="rId30"/>
    <sheet name="不动产比较法-住宅" sheetId="21" state="hidden" r:id="rId31"/>
    <sheet name="不动产比较法-商业" sheetId="33" state="hidden" r:id="rId32"/>
    <sheet name="不动产比较法住宅" sheetId="34" state="hidden" r:id="rId33"/>
    <sheet name="住宅销售案例" sheetId="68" state="hidden" r:id="rId34"/>
    <sheet name="基准地价-商业" sheetId="73" r:id="rId35"/>
    <sheet name="剩余法-商业" sheetId="75" r:id="rId36"/>
    <sheet name="商业出售案例" sheetId="90" r:id="rId37"/>
    <sheet name="基准地价-办公" sheetId="85" r:id="rId38"/>
    <sheet name="收益还原法" sheetId="44" state="hidden" r:id="rId39"/>
    <sheet name="不动产比较法-办公租金" sheetId="69"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 name="办公租金案例" sheetId="70" state="hidden" r:id="rId46"/>
    <sheet name="剩余法-地下车库" sheetId="80" state="hidden" r:id="rId47"/>
    <sheet name="办公租金案例 (2)" sheetId="81" state="hidden" r:id="rId48"/>
    <sheet name="不动产收益法-车库" sheetId="77" state="hidden" r:id="rId49"/>
    <sheet name="车库租金" sheetId="78" state="hidden" r:id="rId50"/>
    <sheet name="剩余法-地下仓储" sheetId="82" state="hidden" r:id="rId51"/>
    <sheet name="不动产收益法-仓储" sheetId="15" state="hidden" r:id="rId52"/>
    <sheet name="仓储租金" sheetId="79" state="hidden" r:id="rId53"/>
    <sheet name="剩余法-办公" sheetId="88" r:id="rId54"/>
    <sheet name="办公出售案例" sheetId="89" r:id="rId55"/>
    <sheet name="成本逼近法" sheetId="11" r:id="rId56"/>
    <sheet name="土地一级开发成本" sheetId="84" r:id="rId57"/>
    <sheet name="土地比较法-住宅、综合" sheetId="39" r:id="rId58"/>
    <sheet name="地价" sheetId="59" r:id="rId59"/>
    <sheet name="住宅商品房共有产权房案例" sheetId="76" r:id="rId60"/>
  </sheets>
  <externalReferences>
    <externalReference r:id="rId61"/>
  </externalReferences>
  <definedNames>
    <definedName name="_xlnm._FilterDatabase" localSheetId="23" hidden="1">'比较法-工业'!$A$1:$L$45</definedName>
    <definedName name="_xlnm._FilterDatabase" localSheetId="39" hidden="1">'不动产比较法-办公租金'!$A$1:$L$50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1" hidden="1">'不动产比较法-商业'!$A$1:$L$49</definedName>
    <definedName name="_xlnm._FilterDatabase" localSheetId="32" hidden="1">不动产比较法住宅!$A$1:$L$50</definedName>
    <definedName name="_xlnm._FilterDatabase" localSheetId="30" hidden="1">'不动产比较法-住宅'!$A$1:$L$49</definedName>
    <definedName name="_xlnm._FilterDatabase" localSheetId="10" hidden="1">'数据-基础表'!$A$12:$AT$572</definedName>
    <definedName name="_xlnm._FilterDatabase" localSheetId="57" hidden="1">'土地比较法-住宅、综合'!$A$1:$L$50</definedName>
    <definedName name="_xlnm._FilterDatabase" localSheetId="9" hidden="1">项目基本情况!$A$48:$N$48</definedName>
    <definedName name="_xlnm.Print_Area" localSheetId="17">面积表!$B$5:$F$27</definedName>
    <definedName name="八级">区片价!$P$1:$P$40</definedName>
    <definedName name="办公层高" localSheetId="39">'不动产比较法-办公租金'!$B$119:$M$119</definedName>
    <definedName name="办公层高" localSheetId="33">'[1]不动产比较法-办公'!$B$119:$M$119</definedName>
    <definedName name="办公层高">不动产比较法住宅!$B$119:$M$119</definedName>
    <definedName name="办公朝向" localSheetId="39">'不动产比较法-办公租金'!$B$91:$M$91</definedName>
    <definedName name="办公朝向" localSheetId="33">'[1]不动产比较法-办公'!$B$91:$M$91</definedName>
    <definedName name="办公朝向">不动产比较法住宅!$B$91:$M$91</definedName>
    <definedName name="办公道路级别" localSheetId="39">'不动产比较法-办公租金'!$B$87:$M$87</definedName>
    <definedName name="办公道路级别" localSheetId="33">'[1]不动产比较法-办公'!$B$87:$M$87</definedName>
    <definedName name="办公道路级别">不动产比较法住宅!$B$87:$M$87</definedName>
    <definedName name="办公公共部分装修" localSheetId="39">'不动产比较法-办公租金'!$B$108:$M$108</definedName>
    <definedName name="办公公共部分装修" localSheetId="33">'[1]不动产比较法-办公'!$B$108:$M$108</definedName>
    <definedName name="办公公共部分装修">不动产比较法住宅!$B$108:$M$108</definedName>
    <definedName name="办公基础设施水平" localSheetId="39">'不动产比较法-办公租金'!$B$117:$M$117</definedName>
    <definedName name="办公基础设施水平" localSheetId="33">'[1]不动产比较法-办公'!$B$117:$M$117</definedName>
    <definedName name="办公基础设施水平">不动产比较法住宅!$B$117:$M$117</definedName>
    <definedName name="办公集聚程度" localSheetId="33">[1]定义!$M$1:$M$6</definedName>
    <definedName name="办公集聚程度">定义!$M$1:$M$6</definedName>
    <definedName name="办公建筑结构" localSheetId="39">'不动产比较法-办公租金'!$B$106:$M$106</definedName>
    <definedName name="办公建筑结构" localSheetId="33">'[1]不动产比较法-办公'!$B$106:$M$106</definedName>
    <definedName name="办公建筑结构">不动产比较法住宅!$B$106:$M$106</definedName>
    <definedName name="办公建筑类型" localSheetId="39">'不动产比较法-办公租金'!$B$101:$M$101</definedName>
    <definedName name="办公建筑类型" localSheetId="33">'[1]不动产比较法-办公'!$B$101:$M$101</definedName>
    <definedName name="办公建筑类型">不动产比较法住宅!$B$101:$M$101</definedName>
    <definedName name="办公交易情况" localSheetId="39">'不动产比较法-办公租金'!$A$62:$M$62</definedName>
    <definedName name="办公交易情况" localSheetId="33">'[1]不动产比较法-办公'!$A$62:$M$62</definedName>
    <definedName name="办公交易情况">不动产比较法住宅!$A$62:$M$62</definedName>
    <definedName name="办公楼层" localSheetId="39">'不动产比较法-办公租金'!$B$89:$M$89</definedName>
    <definedName name="办公楼层" localSheetId="33">'[1]不动产比较法-办公'!$B$89:$M$89</definedName>
    <definedName name="办公楼层">不动产比较法住宅!$B$89:$M$89</definedName>
    <definedName name="办公内部装修" localSheetId="39">'不动产比较法-办公租金'!$B$123:$M$123</definedName>
    <definedName name="办公内部装修" localSheetId="33">'[1]不动产比较法-办公'!$B$123:$M$123</definedName>
    <definedName name="办公内部装修">不动产比较法住宅!$B$123:$M$123</definedName>
    <definedName name="办公物业管理" localSheetId="39">'不动产比较法-办公租金'!$B$115:$M$115</definedName>
    <definedName name="办公物业管理" localSheetId="33">'[1]不动产比较法-办公'!$B$115:$M$115</definedName>
    <definedName name="办公物业管理">不动产比较法住宅!$B$115:$M$115</definedName>
    <definedName name="办公用途" localSheetId="39">'不动产比较法-办公租金'!$B$64:$M$64</definedName>
    <definedName name="办公用途" localSheetId="33">'[1]不动产比较法-办公'!$B$64:$M$64</definedName>
    <definedName name="办公用途">不动产比较法住宅!$B$64:$M$64</definedName>
    <definedName name="仓储公共部分装修" localSheetId="33">#REF!</definedName>
    <definedName name="仓储公共部分装修">'不动产比较法-仓储'!$B$77:$M$77</definedName>
    <definedName name="仓储交易情况" localSheetId="33">#REF!</definedName>
    <definedName name="仓储交易情况">'不动产比较法-仓储'!$A$49:$M$49</definedName>
    <definedName name="仓储楼层" localSheetId="33">#REF!</definedName>
    <definedName name="仓储楼层">'不动产比较法-仓储'!$B$69:$M$69</definedName>
    <definedName name="仓储物业等级" localSheetId="33">#REF!</definedName>
    <definedName name="仓储物业等级">'不动产比较法-仓储'!$B$82:$M$82</definedName>
    <definedName name="仓储用途" localSheetId="33">#REF!</definedName>
    <definedName name="仓储用途">'不动产比较法-仓储'!$B$51:$M$51</definedName>
    <definedName name="产业集聚程度">定义!$N$1:$N$6</definedName>
    <definedName name="车位公共部分装修" localSheetId="33">#REF!</definedName>
    <definedName name="车位公共部分装修">'不动产比较法-车位'!$B$83:$M$83</definedName>
    <definedName name="车位交易情况" localSheetId="33">#REF!</definedName>
    <definedName name="车位交易情况">'不动产比较法-车位'!$A$51:$M$51</definedName>
    <definedName name="车位类型" localSheetId="33">#REF!</definedName>
    <definedName name="车位类型">'不动产比较法-车位'!$B$93:$M$93</definedName>
    <definedName name="车位楼层" localSheetId="33">#REF!</definedName>
    <definedName name="车位楼层">'不动产比较法-车位'!$B$71:$M$71</definedName>
    <definedName name="车位配套类型" localSheetId="33">#REF!</definedName>
    <definedName name="车位配套类型">'不动产比较法-车位'!$B$79:$M$79</definedName>
    <definedName name="车位物业等级" localSheetId="33">#REF!</definedName>
    <definedName name="车位物业等级">'不动产比较法-车位'!$B$88:$M$88</definedName>
    <definedName name="车位用途" localSheetId="33">#REF!</definedName>
    <definedName name="车位用途">'不动产比较法-车位'!$B$53:$M$53</definedName>
    <definedName name="城镇土地纳税等级分级范围" localSheetId="33">'[1]数据-取费表'!$A$53:$A$63</definedName>
    <definedName name="城镇土地纳税等级分级范围">'数据-取费表'!$A$53:$A$63</definedName>
    <definedName name="单价内涵">定义!$V$1:$V$3</definedName>
    <definedName name="地类判定" localSheetId="33">[1]定义!$H$1:$H$9</definedName>
    <definedName name="地类判定">定义!$H$1:$H$9</definedName>
    <definedName name="二级">区片价!$J$1:$J$20</definedName>
    <definedName name="二级分类" localSheetId="33">[1]修正!$C$17:$C$39</definedName>
    <definedName name="二级分类">修正!$C$17:$C$39</definedName>
    <definedName name="法定最高年限" localSheetId="33">[1]定义!$G$2:$G$4</definedName>
    <definedName name="法定最高年限">定义!$G$2:$G$4</definedName>
    <definedName name="工业公共部分装修" localSheetId="33">#REF!</definedName>
    <definedName name="工业公共部分装修">'不动产比较法-工业'!$B$95:$M$95</definedName>
    <definedName name="工业基础设施水平" localSheetId="33">#REF!</definedName>
    <definedName name="工业基础设施水平">'不动产比较法-工业'!$B$102:$M$102</definedName>
    <definedName name="工业建筑结构" localSheetId="33">#REF!</definedName>
    <definedName name="工业建筑结构">'不动产比较法-工业'!$B$93:$M$93</definedName>
    <definedName name="工业建筑类型" localSheetId="33">#REF!</definedName>
    <definedName name="工业建筑类型">'不动产比较法-工业'!$B$88:$M$88</definedName>
    <definedName name="工业交易情况" localSheetId="33">#REF!</definedName>
    <definedName name="工业交易情况">'不动产比较法-工业'!$A$55:$M$55</definedName>
    <definedName name="工业内部装修" localSheetId="33">#REF!</definedName>
    <definedName name="工业内部装修">'不动产比较法-工业'!$B$104:$M$104</definedName>
    <definedName name="工业物业管理" localSheetId="33">#REF!</definedName>
    <definedName name="工业物业管理">'不动产比较法-工业'!$B$100:$M$100</definedName>
    <definedName name="工业用途" localSheetId="33">#REF!</definedName>
    <definedName name="工业用途">'不动产比较法-工业'!$B$57:$M$57</definedName>
    <definedName name="公共配套设施" localSheetId="33">[1]定义!$Q$1:$Q$6</definedName>
    <definedName name="公共配套设施">定义!$Q$1:$Q$6</definedName>
    <definedName name="估价方法" localSheetId="33">[1]定义!$B$1:$B$50</definedName>
    <definedName name="估价方法">定义!$B$1:$B$50</definedName>
    <definedName name="环境" localSheetId="33">[1]定义!$S$1:$S$6</definedName>
    <definedName name="环境">定义!$S$1:$S$6</definedName>
    <definedName name="基础设施水平" localSheetId="33">[1]定义!$R$1:$R$6</definedName>
    <definedName name="基础设施水平">定义!$R$1:$R$6</definedName>
    <definedName name="季度" localSheetId="37">'基准地价-办公'!$N$19:$AB$19</definedName>
    <definedName name="季度" localSheetId="34">'基准地价-商业'!$N$19:$AB$19</definedName>
    <definedName name="季度">'基准地价-住宅'!$N$19:$AB$19</definedName>
    <definedName name="季度2014">地价!$A$2:$A$31</definedName>
    <definedName name="价值类型2" localSheetId="33">[1]定义!$B$54:$B$56</definedName>
    <definedName name="价值类型2">定义!$B$54:$B$56</definedName>
    <definedName name="交通便捷度" localSheetId="33">[1]定义!$O$1:$O$6</definedName>
    <definedName name="交通便捷度">定义!$O$1:$O$6</definedName>
    <definedName name="九级">区片价!$Q$1:$Q$46</definedName>
    <definedName name="居住社区成熟度" localSheetId="33">[1]定义!$K$1:$K$6</definedName>
    <definedName name="居住社区成熟度">定义!$K$1:$K$6</definedName>
    <definedName name="类别" localSheetId="33">[1]定义!$J$1:$J$3</definedName>
    <definedName name="类别">定义!$J$1:$J$3</definedName>
    <definedName name="临街状况" localSheetId="33">[1]定义!$T$1:$T$5</definedName>
    <definedName name="临街状况">定义!$T$1:$T$5</definedName>
    <definedName name="六级">区片价!$N$1:$N$49</definedName>
    <definedName name="内部装修维护情况" localSheetId="33">[1]定义!$U$1:$U$6</definedName>
    <definedName name="内部装修维护情况">定义!$U$1:$U$6</definedName>
    <definedName name="判定" localSheetId="33">[1]定义!$D$1:$D$4</definedName>
    <definedName name="判定">定义!$D$1:$D$4</definedName>
    <definedName name="七级">区片价!$O$1:$O$49</definedName>
    <definedName name="七通一平" localSheetId="33">[1]修正!$A$6:$A$14</definedName>
    <definedName name="七通一平">修正!$A$6:$A$14</definedName>
    <definedName name="区域土地利用方向">定义!$P$1:$P$6</definedName>
    <definedName name="三级">区片价!$K$1:$K$21</definedName>
    <definedName name="商业层高" localSheetId="33">'[1]不动产比较法-商业'!$B$116:$M$116</definedName>
    <definedName name="商业层高">'不动产比较法-商业'!$B$116:$M$116</definedName>
    <definedName name="商业成新度">'不动产比较法-商业'!$B$109:$M$109</definedName>
    <definedName name="商业繁华度" localSheetId="33">[1]定义!$L$1:$L$6</definedName>
    <definedName name="商业繁华度">定义!$L$1:$L$6</definedName>
    <definedName name="商业公共部分装修" localSheetId="33">'[1]不动产比较法-商业'!$B$107:$M$107</definedName>
    <definedName name="商业公共部分装修">'不动产比较法-商业'!$B$107:$M$107</definedName>
    <definedName name="商业基础设施水平" localSheetId="33">'[1]不动产比较法-商业'!$B$112:$M$112</definedName>
    <definedName name="商业基础设施水平">'不动产比较法-商业'!$B$112:$M$112</definedName>
    <definedName name="商业建筑结构" localSheetId="33">'[1]不动产比较法-商业'!$B$105:$M$105</definedName>
    <definedName name="商业建筑结构">'不动产比较法-商业'!$B$105:$M$105</definedName>
    <definedName name="商业交易情况" localSheetId="33">'[1]不动产比较法-商业'!$A$61:$M$61</definedName>
    <definedName name="商业交易情况">'不动产比较法-商业'!$A$61:$M$61</definedName>
    <definedName name="商业街名称" localSheetId="33">[1]修正!$C$59:$C$119</definedName>
    <definedName name="商业街名称">修正!$C$59:$C$119</definedName>
    <definedName name="商业进深比" localSheetId="33">'[1]不动产比较法-商业'!$B$120:$M$120</definedName>
    <definedName name="商业进深比">'不动产比较法-商业'!$B$120:$M$120</definedName>
    <definedName name="商业类型" localSheetId="33">'[1]不动产比较法-商业'!$B$100:$M$100</definedName>
    <definedName name="商业类型">'不动产比较法-商业'!$B$100:$M$100</definedName>
    <definedName name="商业临街状况" localSheetId="33">'[1]不动产比较法-商业'!$B$86:$M$86</definedName>
    <definedName name="商业临街状况">'不动产比较法-商业'!$B$86:$M$86</definedName>
    <definedName name="商业楼层" localSheetId="33">'[1]不动产比较法-商业'!$B$92:$M$92</definedName>
    <definedName name="商业楼层">'不动产比较法-商业'!$B$92:$M$92</definedName>
    <definedName name="商业内部装修" localSheetId="33">'[1]不动产比较法-商业'!$B$122:$M$122</definedName>
    <definedName name="商业内部装修">'不动产比较法-商业'!$B$122:$M$122</definedName>
    <definedName name="商业人流量" localSheetId="33">'[1]不动产比较法-商业'!$B$90:$M$90</definedName>
    <definedName name="商业人流量">'不动产比较法-商业'!$B$90:$M$90</definedName>
    <definedName name="商业业态" localSheetId="33">'[1]不动产比较法-商业'!$B$114:$M$114</definedName>
    <definedName name="商业业态">'不动产比较法-商业'!$B$114:$M$114</definedName>
    <definedName name="商业用途" localSheetId="33">'[1]不动产比较法-商业'!$B$63:$M$63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3">#REF!</definedName>
    <definedName name="是否封闭">'不动产比较法-仓储'!$B$89:$M$89</definedName>
    <definedName name="是否直接入户" localSheetId="33">#REF!</definedName>
    <definedName name="是否直接入户">'不动产比较法-车位'!$B$95:$M$95</definedName>
    <definedName name="四级">区片价!$L$1:$L$28</definedName>
    <definedName name="套工工程地质条件" localSheetId="33">#REF!</definedName>
    <definedName name="套工工程地质条件">'比较法-工业'!$B$116:$M$116</definedName>
    <definedName name="套工交易情况" localSheetId="33">#REF!</definedName>
    <definedName name="套工交易情况">'土地比较法-住宅、综合'!$A$75:$M$75</definedName>
    <definedName name="套工开发程度" localSheetId="33">#REF!</definedName>
    <definedName name="套工开发程度">'比较法-工业'!$B$114:$M$114</definedName>
    <definedName name="套工临街等级" localSheetId="33">#REF!</definedName>
    <definedName name="套工临街等级">'比较法-工业'!$B$99:$M$99</definedName>
    <definedName name="套工土地级别" localSheetId="33">#REF!</definedName>
    <definedName name="套工土地级别">'比较法-工业'!$B$101:$M$101</definedName>
    <definedName name="套工用途" localSheetId="33">#REF!</definedName>
    <definedName name="套工用途">'比较法-工业'!$B$72:$M$72</definedName>
    <definedName name="套工宗地形状" localSheetId="33">#REF!</definedName>
    <definedName name="套工宗地形状">'比较法-工业'!$B$112:$M$112</definedName>
    <definedName name="套综道路等级" localSheetId="33">#REF!</definedName>
    <definedName name="套综道路等级">'土地比较法-住宅、综合'!$B$108:$M$108</definedName>
    <definedName name="套综工程地质条件" localSheetId="33">#REF!</definedName>
    <definedName name="套综工程地质条件">'土地比较法-住宅、综合'!$B$127:$M$127</definedName>
    <definedName name="套综交易情况" localSheetId="33">#REF!</definedName>
    <definedName name="套综交易情况">'土地比较法-住宅、综合'!$A$75:$M$75</definedName>
    <definedName name="套综临街宽度及深度" localSheetId="33">#REF!</definedName>
    <definedName name="套综临街宽度及深度">'土地比较法-住宅、综合'!$B$123:$M$123</definedName>
    <definedName name="套综土地级别" localSheetId="33">#REF!</definedName>
    <definedName name="套综土地级别">'土地比较法-住宅、综合'!$B$110:$M$110</definedName>
    <definedName name="套综用途" localSheetId="33">#REF!</definedName>
    <definedName name="套综用途">'土地比较法-住宅、综合'!$B$77:$M$77</definedName>
    <definedName name="套综宗地内开发程度" localSheetId="33">#REF!</definedName>
    <definedName name="套综宗地内开发程度">'土地比较法-住宅、综合'!$B$125:$M$125</definedName>
    <definedName name="套综宗地形状" localSheetId="33">#REF!</definedName>
    <definedName name="套综宗地形状">'土地比较法-住宅、综合'!$B$121:$M$121</definedName>
    <definedName name="土地估价师" localSheetId="33">[1]估价师及机构信息!$D$3:$D$24</definedName>
    <definedName name="土地估价师">估价师及机构信息!$D$3:$D$24</definedName>
    <definedName name="土地级别" localSheetId="33">[1]定义!$C$1:$C$14</definedName>
    <definedName name="土地级别">定义!$C$1:$C$14</definedName>
    <definedName name="土地利用方向">定义!$P$1:$P$6</definedName>
    <definedName name="土地年限区间" localSheetId="33">[1]定义!$I$1:$I$8</definedName>
    <definedName name="土地年限区间">定义!$I$1:$I$8</definedName>
    <definedName name="位置" localSheetId="33">[1]定义!$E$2:$E$4</definedName>
    <definedName name="位置">定义!$E$2:$E$4</definedName>
    <definedName name="五等判定" localSheetId="33">[1]定义!$W$1:$W$6</definedName>
    <definedName name="五等判定">定义!$W$1:$W$6</definedName>
    <definedName name="五级">区片价!$M$1:$M$35</definedName>
    <definedName name="项目类型" localSheetId="33">'[1]数据-汇总表'!$C$17:$C$26</definedName>
    <definedName name="项目类型">'数据-汇总表'!$C$17:$C$26</definedName>
    <definedName name="写字楼等级" localSheetId="39">'不动产比较法-办公租金'!$B$113:$M$113</definedName>
    <definedName name="写字楼等级" localSheetId="33">'[1]不动产比较法-办公'!$B$113:$M$113</definedName>
    <definedName name="写字楼等级">不动产比较法住宅!$B$113:$M$113</definedName>
    <definedName name="一级">区片价!$I$1:$I$6</definedName>
    <definedName name="一修多修正项2" localSheetId="33">[1]典型户型修正!$5:$5</definedName>
    <definedName name="一修多修正项2">典型户型修正!$5:$5</definedName>
    <definedName name="一修多修正项3" localSheetId="33">[1]典型户型修正!$7:$7</definedName>
    <definedName name="一修多修正项3">典型户型修正!$7:$7</definedName>
    <definedName name="一修多修正项4" localSheetId="33">[1]典型户型修正!$9:$9</definedName>
    <definedName name="一修多修正项4">典型户型修正!$9:$9</definedName>
    <definedName name="一修多修正项5" localSheetId="33">[1]典型户型修正!$11:$11</definedName>
    <definedName name="一修多修正项5">典型户型修正!$11:$11</definedName>
    <definedName name="一修多修正项6" localSheetId="33">[1]典型户型修正!$13:$13</definedName>
    <definedName name="一修多修正项6">典型户型修正!$13:$13</definedName>
    <definedName name="一修多修正项7" localSheetId="33">[1]典型户型修正!$15:$15</definedName>
    <definedName name="一修多修正项7">典型户型修正!$15:$15</definedName>
    <definedName name="一修多修正项8" localSheetId="33">[1]典型户型修正!$17:$17</definedName>
    <definedName name="一修多修正项8">典型户型修正!$17:$17</definedName>
    <definedName name="用途类型" localSheetId="33">[1]定义!$A$1:$A$50</definedName>
    <definedName name="用途类型">定义!$A$1:$A$50</definedName>
    <definedName name="有无电梯" localSheetId="33">#REF!</definedName>
    <definedName name="有无电梯">'不动产比较法-仓储'!$B$84:$M$84</definedName>
    <definedName name="主用途" localSheetId="33">[1]定义!$F$1:$F$10</definedName>
    <definedName name="主用途">定义!$F$1:$F$10</definedName>
    <definedName name="住宅朝向" localSheetId="33">'[1]不动产比较法-住宅'!$B$88:$M$88</definedName>
    <definedName name="住宅朝向">'不动产比较法-住宅'!$B$88:$M$88</definedName>
    <definedName name="住宅房型" localSheetId="33">'[1]不动产比较法-住宅'!$B$118:$M$118</definedName>
    <definedName name="住宅房型">'不动产比较法-住宅'!$B$118:$M$118</definedName>
    <definedName name="住宅公共部分装修" localSheetId="33">'[1]不动产比较法-住宅'!$B$109:$M$109</definedName>
    <definedName name="住宅公共部分装修">'不动产比较法-住宅'!$B$109:$M$109</definedName>
    <definedName name="住宅基础设施水平" localSheetId="33">'[1]不动产比较法-住宅'!$B$116:$M$116</definedName>
    <definedName name="住宅基础设施水平">'不动产比较法-住宅'!$B$116:$M$116</definedName>
    <definedName name="住宅建筑结构" localSheetId="33">'[1]不动产比较法-住宅'!$B$105:$M$105</definedName>
    <definedName name="住宅建筑结构">'不动产比较法-住宅'!$B$105:$M$105</definedName>
    <definedName name="住宅建筑类型" localSheetId="33">'[1]不动产比较法-住宅'!$B$100:$M$100</definedName>
    <definedName name="住宅建筑类型">'不动产比较法-住宅'!$B$100:$M$100</definedName>
    <definedName name="住宅建筑品质" localSheetId="33">'[1]不动产比较法-住宅'!$B$107:$M$107</definedName>
    <definedName name="住宅建筑品质">'不动产比较法-住宅'!$B$107:$M$107</definedName>
    <definedName name="住宅交易情况" localSheetId="33">'[1]不动产比较法-住宅'!$A$61:$M$61</definedName>
    <definedName name="住宅交易情况">'不动产比较法-住宅'!$A$61:$M$61</definedName>
    <definedName name="住宅楼层" localSheetId="33">'[1]不动产比较法-住宅'!$B$86:$M$86</definedName>
    <definedName name="住宅楼层">'不动产比较法-住宅'!$B$86:$M$86</definedName>
    <definedName name="住宅内部装修" localSheetId="33">'[1]不动产比较法-住宅'!$B$122:$M$122</definedName>
    <definedName name="住宅内部装修">'不动产比较法-住宅'!$B$122:$M$122</definedName>
    <definedName name="住宅物业管理" localSheetId="33">'[1]不动产比较法-住宅'!$B$114:$M$114</definedName>
    <definedName name="住宅物业管理">'不动产比较法-住宅'!$B$114:$M$114</definedName>
    <definedName name="住宅用途" localSheetId="33">'[1]不动产比较法-住宅'!$B$63:$M$63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iterate="1" concurrentCalc="0"/>
</workbook>
</file>

<file path=xl/calcChain.xml><?xml version="1.0" encoding="utf-8"?>
<calcChain xmlns="http://schemas.openxmlformats.org/spreadsheetml/2006/main">
  <c r="C15" i="11" l="1"/>
  <c r="I4" i="65"/>
  <c r="E20" i="46"/>
  <c r="O28" i="46"/>
  <c r="G20" i="46"/>
  <c r="C20" i="46"/>
  <c r="C29" i="46"/>
  <c r="B4" i="87"/>
  <c r="D16" i="12"/>
  <c r="C16" i="12"/>
  <c r="C18" i="12"/>
  <c r="D19" i="12"/>
  <c r="C19" i="12"/>
  <c r="D21" i="12"/>
  <c r="C21" i="12"/>
  <c r="D22" i="12"/>
  <c r="C22" i="12"/>
  <c r="C20" i="12"/>
  <c r="C23" i="12"/>
  <c r="I5" i="65"/>
  <c r="B22" i="1"/>
  <c r="C2" i="65"/>
  <c r="I1" i="65"/>
  <c r="I6" i="65"/>
  <c r="E2" i="65"/>
  <c r="B40" i="1"/>
  <c r="F26" i="12"/>
  <c r="C28" i="12"/>
  <c r="C26" i="12"/>
  <c r="C31" i="12"/>
  <c r="C30" i="12"/>
  <c r="F33" i="12"/>
  <c r="C35" i="12"/>
  <c r="C33" i="12"/>
  <c r="C27" i="12"/>
  <c r="D26" i="12"/>
  <c r="C32" i="12"/>
  <c r="D30" i="12"/>
  <c r="C34" i="12"/>
  <c r="D33" i="12"/>
  <c r="C36" i="12"/>
  <c r="B2" i="12"/>
  <c r="B3" i="12"/>
  <c r="D4" i="87"/>
  <c r="F4" i="87"/>
  <c r="G4" i="87"/>
  <c r="E20" i="85"/>
  <c r="N28" i="85"/>
  <c r="G20" i="85"/>
  <c r="C20" i="85"/>
  <c r="C29" i="85"/>
  <c r="B6" i="87"/>
  <c r="C15" i="88"/>
  <c r="D16" i="88"/>
  <c r="C16" i="88"/>
  <c r="C18" i="88"/>
  <c r="D19" i="88"/>
  <c r="C19" i="88"/>
  <c r="D21" i="88"/>
  <c r="C21" i="88"/>
  <c r="D22" i="88"/>
  <c r="C22" i="88"/>
  <c r="C20" i="88"/>
  <c r="C23" i="88"/>
  <c r="F26" i="88"/>
  <c r="C28" i="88"/>
  <c r="C26" i="88"/>
  <c r="C31" i="88"/>
  <c r="C30" i="88"/>
  <c r="F33" i="88"/>
  <c r="C35" i="88"/>
  <c r="C33" i="88"/>
  <c r="C27" i="88"/>
  <c r="D26" i="88"/>
  <c r="C32" i="88"/>
  <c r="D30" i="88"/>
  <c r="C34" i="88"/>
  <c r="D33" i="88"/>
  <c r="C36" i="88"/>
  <c r="B2" i="88"/>
  <c r="B3" i="88"/>
  <c r="D6" i="87"/>
  <c r="F6" i="87"/>
  <c r="B13" i="87"/>
  <c r="D13" i="87"/>
  <c r="F13" i="87"/>
  <c r="J13" i="87"/>
  <c r="K13" i="87"/>
  <c r="E20" i="73"/>
  <c r="M28" i="73"/>
  <c r="G20" i="73"/>
  <c r="C20" i="73"/>
  <c r="C29" i="73"/>
  <c r="B5" i="87"/>
  <c r="B12" i="87"/>
  <c r="C15" i="75"/>
  <c r="D16" i="75"/>
  <c r="C16" i="75"/>
  <c r="C18" i="75"/>
  <c r="D19" i="75"/>
  <c r="C19" i="75"/>
  <c r="D21" i="75"/>
  <c r="C21" i="75"/>
  <c r="D22" i="75"/>
  <c r="C22" i="75"/>
  <c r="C20" i="75"/>
  <c r="C23" i="75"/>
  <c r="F26" i="75"/>
  <c r="C28" i="75"/>
  <c r="C26" i="75"/>
  <c r="C31" i="75"/>
  <c r="C30" i="75"/>
  <c r="F33" i="75"/>
  <c r="C35" i="75"/>
  <c r="C33" i="75"/>
  <c r="C27" i="75"/>
  <c r="D26" i="75"/>
  <c r="C32" i="75"/>
  <c r="D30" i="75"/>
  <c r="C34" i="75"/>
  <c r="D33" i="75"/>
  <c r="C36" i="75"/>
  <c r="B2" i="75"/>
  <c r="B3" i="75"/>
  <c r="D5" i="87"/>
  <c r="D12" i="87"/>
  <c r="F12" i="87"/>
  <c r="J12" i="87"/>
  <c r="B11" i="87"/>
  <c r="D11" i="87"/>
  <c r="F11" i="87"/>
  <c r="J11" i="87"/>
  <c r="J3" i="65"/>
  <c r="C3" i="65"/>
  <c r="J5" i="65"/>
  <c r="J1" i="65"/>
  <c r="J4" i="65"/>
  <c r="E3" i="65"/>
  <c r="F17" i="11"/>
  <c r="C10" i="11"/>
  <c r="C17" i="11"/>
  <c r="C18" i="11"/>
  <c r="C19" i="11"/>
  <c r="C20" i="11"/>
  <c r="C21" i="11"/>
  <c r="C22" i="11"/>
  <c r="C23" i="11"/>
  <c r="B2" i="11"/>
  <c r="B3" i="11"/>
  <c r="H4" i="87"/>
  <c r="F14" i="84"/>
  <c r="F15" i="84"/>
  <c r="E24" i="83"/>
  <c r="I13" i="3"/>
  <c r="K13" i="3"/>
  <c r="F19" i="6"/>
  <c r="B20" i="87"/>
  <c r="M13" i="3"/>
  <c r="F20" i="6"/>
  <c r="B21" i="87"/>
  <c r="O13" i="3"/>
  <c r="F21" i="6"/>
  <c r="B22" i="87"/>
  <c r="S13" i="3"/>
  <c r="Q13" i="3"/>
  <c r="G22" i="6"/>
  <c r="B23" i="87"/>
  <c r="G23" i="6"/>
  <c r="B24" i="87"/>
  <c r="B25" i="87"/>
  <c r="C11" i="87"/>
  <c r="B29" i="87"/>
  <c r="C29" i="87"/>
  <c r="D29" i="87"/>
  <c r="B30" i="87"/>
  <c r="C30" i="87"/>
  <c r="D30" i="87"/>
  <c r="B31" i="87"/>
  <c r="C31" i="87"/>
  <c r="D31" i="87"/>
  <c r="B32" i="87"/>
  <c r="C32" i="87"/>
  <c r="D32" i="87"/>
  <c r="C33" i="87"/>
  <c r="B36" i="87"/>
  <c r="C36" i="87"/>
  <c r="D36" i="87"/>
  <c r="B37" i="87"/>
  <c r="C37" i="87"/>
  <c r="D37" i="87"/>
  <c r="B38" i="87"/>
  <c r="C38" i="87"/>
  <c r="D38" i="87"/>
  <c r="B39" i="87"/>
  <c r="C39" i="87"/>
  <c r="D39" i="87"/>
  <c r="C40" i="87"/>
  <c r="BB13" i="3"/>
  <c r="BC13" i="3"/>
  <c r="BD13" i="3"/>
  <c r="BE13" i="3"/>
  <c r="BF13" i="3"/>
  <c r="BG13" i="3"/>
  <c r="BH13" i="3"/>
  <c r="BI13" i="3"/>
  <c r="BJ13" i="3"/>
  <c r="BK13" i="3"/>
  <c r="BA13" i="3"/>
  <c r="AD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E3" i="6"/>
  <c r="D10" i="11"/>
  <c r="F2" i="84"/>
  <c r="F3" i="84"/>
  <c r="F4" i="84"/>
  <c r="F5" i="84"/>
  <c r="F6" i="84"/>
  <c r="F7" i="84"/>
  <c r="F8" i="84"/>
  <c r="F9" i="84"/>
  <c r="F10" i="84"/>
  <c r="F11" i="84"/>
  <c r="F12" i="84"/>
  <c r="F13" i="84"/>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C8" i="11"/>
  <c r="F16" i="84"/>
  <c r="D33" i="87"/>
  <c r="D40" i="87"/>
  <c r="E48" i="39"/>
  <c r="R48" i="39"/>
  <c r="E9" i="39"/>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P25" i="46"/>
  <c r="B73" i="39"/>
  <c r="F9" i="39"/>
  <c r="AA9" i="39"/>
  <c r="F10" i="39"/>
  <c r="AA10" i="39"/>
  <c r="F11" i="39"/>
  <c r="AA11" i="39"/>
  <c r="E13" i="39"/>
  <c r="BB10" i="3"/>
  <c r="BB5" i="3"/>
  <c r="BC10" i="3"/>
  <c r="BC5" i="3"/>
  <c r="BD10" i="3"/>
  <c r="BE10" i="3"/>
  <c r="BF10" i="3"/>
  <c r="BG10" i="3"/>
  <c r="BH10" i="3"/>
  <c r="BI10" i="3"/>
  <c r="BJ10" i="3"/>
  <c r="BK10" i="3"/>
  <c r="BD5" i="3"/>
  <c r="BE5" i="3"/>
  <c r="BF5" i="3"/>
  <c r="BG5" i="3"/>
  <c r="BH5" i="3"/>
  <c r="BI5" i="3"/>
  <c r="BJ5" i="3"/>
  <c r="BK5" i="3"/>
  <c r="E8" i="6"/>
  <c r="F27" i="6"/>
  <c r="BQ5" i="3"/>
  <c r="BS5" i="3"/>
  <c r="F28" i="6"/>
  <c r="BM5" i="3"/>
  <c r="BO5" i="3"/>
  <c r="F29" i="6"/>
  <c r="F30" i="6"/>
  <c r="F31" i="6"/>
  <c r="AY6" i="3"/>
  <c r="D3" i="6"/>
  <c r="E19" i="6"/>
  <c r="D19" i="6"/>
  <c r="E20" i="6"/>
  <c r="D20" i="6"/>
  <c r="E21" i="6"/>
  <c r="D21" i="6"/>
  <c r="E22" i="6"/>
  <c r="D22" i="6"/>
  <c r="E23" i="6"/>
  <c r="D23" i="6"/>
  <c r="E24" i="6"/>
  <c r="D24" i="6"/>
  <c r="E25" i="6"/>
  <c r="D25" i="6"/>
  <c r="E26" i="6"/>
  <c r="D26" i="6"/>
  <c r="D27" i="6"/>
  <c r="BR5" i="3"/>
  <c r="BT5" i="3"/>
  <c r="G28" i="6"/>
  <c r="E28" i="6"/>
  <c r="D28" i="6"/>
  <c r="BN5" i="3"/>
  <c r="BP5" i="3"/>
  <c r="G29" i="6"/>
  <c r="E29" i="6"/>
  <c r="D29" i="6"/>
  <c r="D30" i="6"/>
  <c r="D31" i="6"/>
  <c r="I6" i="6"/>
  <c r="I7" i="6"/>
  <c r="C13" i="39"/>
  <c r="F13" i="39"/>
  <c r="AA13" i="39"/>
  <c r="B84" i="39"/>
  <c r="F14" i="39"/>
  <c r="AA14" i="39"/>
  <c r="B86" i="39"/>
  <c r="F15" i="39"/>
  <c r="AA15" i="39"/>
  <c r="B88" i="39"/>
  <c r="F16" i="39"/>
  <c r="AA16" i="39"/>
  <c r="D91" i="39"/>
  <c r="E91" i="39"/>
  <c r="F17" i="39"/>
  <c r="AA17" i="39"/>
  <c r="F19" i="39"/>
  <c r="AA19" i="39"/>
  <c r="F21" i="39"/>
  <c r="AA21" i="39"/>
  <c r="F23" i="39"/>
  <c r="AA23" i="39"/>
  <c r="F25" i="39"/>
  <c r="AA25" i="39"/>
  <c r="F27" i="39"/>
  <c r="AA27" i="39"/>
  <c r="F29" i="39"/>
  <c r="AA29" i="39"/>
  <c r="F31" i="39"/>
  <c r="AA31" i="39"/>
  <c r="B106" i="39"/>
  <c r="F33" i="39"/>
  <c r="AA33" i="39"/>
  <c r="F34" i="39"/>
  <c r="AA34" i="39"/>
  <c r="F36" i="39"/>
  <c r="AA36" i="39"/>
  <c r="B112" i="39"/>
  <c r="F37" i="39"/>
  <c r="AA37" i="39"/>
  <c r="B114" i="39"/>
  <c r="F38" i="39"/>
  <c r="AA38" i="39"/>
  <c r="B116" i="39"/>
  <c r="F39" i="39"/>
  <c r="AA39" i="39"/>
  <c r="E40" i="39"/>
  <c r="C40" i="39"/>
  <c r="F40" i="39"/>
  <c r="AA40" i="39"/>
  <c r="F41" i="39"/>
  <c r="AA41" i="39"/>
  <c r="F42" i="39"/>
  <c r="AA42" i="39"/>
  <c r="F43" i="39"/>
  <c r="AA43" i="39"/>
  <c r="F44" i="39"/>
  <c r="AA44" i="39"/>
  <c r="B129" i="39"/>
  <c r="F45" i="39"/>
  <c r="AA45" i="39"/>
  <c r="B131" i="39"/>
  <c r="F46" i="39"/>
  <c r="AA46" i="39"/>
  <c r="B133" i="39"/>
  <c r="F47" i="39"/>
  <c r="AA47" i="39"/>
  <c r="I48" i="39"/>
  <c r="G48" i="39"/>
  <c r="I40" i="39"/>
  <c r="G40" i="39"/>
  <c r="I13" i="39"/>
  <c r="G13" i="39"/>
  <c r="I9" i="39"/>
  <c r="G9" i="39"/>
  <c r="I7" i="39"/>
  <c r="G7" i="39"/>
  <c r="E7" i="39"/>
  <c r="D39" i="46"/>
  <c r="D38" i="46"/>
  <c r="F25" i="88"/>
  <c r="C25" i="88"/>
  <c r="F24" i="88"/>
  <c r="F23" i="88"/>
  <c r="E22" i="88"/>
  <c r="E21" i="88"/>
  <c r="E19" i="88"/>
  <c r="F17" i="88"/>
  <c r="E16" i="88"/>
  <c r="F15" i="88"/>
  <c r="F14" i="88"/>
  <c r="K9" i="88"/>
  <c r="J9" i="88"/>
  <c r="I9" i="88"/>
  <c r="H9" i="88"/>
  <c r="G9" i="88"/>
  <c r="F9" i="88"/>
  <c r="E9" i="88"/>
  <c r="D9" i="88"/>
  <c r="C9" i="88"/>
  <c r="C10" i="88"/>
  <c r="C6" i="88"/>
  <c r="A6" i="1"/>
  <c r="A7" i="1"/>
  <c r="A8" i="1"/>
  <c r="K1" i="88"/>
  <c r="H10" i="87"/>
  <c r="C6" i="87"/>
  <c r="C13" i="87"/>
  <c r="D29" i="46"/>
  <c r="D29" i="73"/>
  <c r="D29" i="85"/>
  <c r="E16" i="87"/>
  <c r="C16" i="87"/>
  <c r="A16" i="87"/>
  <c r="C5" i="87"/>
  <c r="E6" i="87"/>
  <c r="E13" i="87"/>
  <c r="E11" i="87"/>
  <c r="E5" i="87"/>
  <c r="E12" i="87"/>
  <c r="C12" i="87"/>
  <c r="C42" i="1"/>
  <c r="C29" i="88"/>
  <c r="C24" i="88"/>
  <c r="C7" i="87"/>
  <c r="C14" i="87"/>
  <c r="E30" i="86"/>
  <c r="B35" i="86"/>
  <c r="K8" i="1"/>
  <c r="BA5" i="3"/>
  <c r="E27" i="6"/>
  <c r="K21" i="6"/>
  <c r="S8" i="1"/>
  <c r="B1" i="86"/>
  <c r="E7" i="87"/>
  <c r="E14" i="87"/>
  <c r="C8" i="87"/>
  <c r="F113" i="85"/>
  <c r="N99" i="85"/>
  <c r="M99" i="85"/>
  <c r="M108" i="85"/>
  <c r="L99" i="85"/>
  <c r="K99" i="85"/>
  <c r="K108" i="85"/>
  <c r="J99" i="85"/>
  <c r="I99" i="85"/>
  <c r="I108" i="85"/>
  <c r="H99" i="85"/>
  <c r="G99" i="85"/>
  <c r="G108" i="85"/>
  <c r="F99" i="85"/>
  <c r="E99" i="85"/>
  <c r="E108" i="85"/>
  <c r="D99" i="85"/>
  <c r="D108" i="85"/>
  <c r="C99" i="85"/>
  <c r="C100" i="85"/>
  <c r="M87" i="85"/>
  <c r="N87" i="85"/>
  <c r="K87" i="85"/>
  <c r="J87" i="85"/>
  <c r="D87" i="85"/>
  <c r="G18" i="20"/>
  <c r="B87" i="85"/>
  <c r="M86" i="85"/>
  <c r="N86" i="85"/>
  <c r="K86" i="85"/>
  <c r="J86" i="85"/>
  <c r="D86" i="85"/>
  <c r="M85" i="85"/>
  <c r="N85" i="85"/>
  <c r="K85" i="85"/>
  <c r="J85" i="85"/>
  <c r="D85" i="85"/>
  <c r="G20" i="20"/>
  <c r="B85" i="85"/>
  <c r="M84" i="85"/>
  <c r="N84" i="85"/>
  <c r="K84" i="85"/>
  <c r="J84" i="85"/>
  <c r="D84" i="85"/>
  <c r="G19" i="20"/>
  <c r="B84" i="85"/>
  <c r="M83" i="85"/>
  <c r="N83" i="85"/>
  <c r="K83" i="85"/>
  <c r="J83" i="85"/>
  <c r="D83" i="85"/>
  <c r="B83" i="85"/>
  <c r="M82" i="85"/>
  <c r="N82" i="85"/>
  <c r="K82" i="85"/>
  <c r="J82" i="85"/>
  <c r="D82" i="85"/>
  <c r="B82" i="85"/>
  <c r="M81" i="85"/>
  <c r="N81" i="85"/>
  <c r="K81" i="85"/>
  <c r="J81" i="85"/>
  <c r="D81" i="85"/>
  <c r="G16" i="20"/>
  <c r="B81" i="85"/>
  <c r="M80" i="85"/>
  <c r="N80" i="85"/>
  <c r="K80" i="85"/>
  <c r="J80" i="85"/>
  <c r="F80" i="85"/>
  <c r="H80" i="85"/>
  <c r="H86" i="85"/>
  <c r="D80" i="85"/>
  <c r="E80" i="85"/>
  <c r="B78" i="85"/>
  <c r="G15" i="20"/>
  <c r="B80" i="85"/>
  <c r="D76" i="85"/>
  <c r="C20" i="20"/>
  <c r="B76" i="85"/>
  <c r="C22" i="20"/>
  <c r="B74" i="85"/>
  <c r="C21" i="20"/>
  <c r="B73" i="85"/>
  <c r="C24" i="20"/>
  <c r="B72" i="85"/>
  <c r="B71" i="85"/>
  <c r="D70" i="85"/>
  <c r="C18" i="20"/>
  <c r="B70" i="85"/>
  <c r="F69" i="85"/>
  <c r="H69" i="85"/>
  <c r="G69" i="85"/>
  <c r="C15" i="20"/>
  <c r="B69" i="85"/>
  <c r="B66" i="85"/>
  <c r="G2" i="85"/>
  <c r="I2" i="85"/>
  <c r="N7" i="85"/>
  <c r="F58" i="85"/>
  <c r="H65" i="85"/>
  <c r="G65" i="85"/>
  <c r="K65" i="85"/>
  <c r="J65" i="85"/>
  <c r="D65" i="85"/>
  <c r="B65" i="85"/>
  <c r="D64" i="85"/>
  <c r="B64" i="85"/>
  <c r="B62" i="85"/>
  <c r="B60" i="85"/>
  <c r="D59" i="85"/>
  <c r="B59" i="85"/>
  <c r="D58" i="85"/>
  <c r="C17" i="20"/>
  <c r="B58" i="85"/>
  <c r="D55" i="85"/>
  <c r="B55" i="85"/>
  <c r="B54" i="85"/>
  <c r="B53" i="85"/>
  <c r="B51" i="85"/>
  <c r="B49" i="85"/>
  <c r="D48" i="85"/>
  <c r="B48" i="85"/>
  <c r="C16" i="20"/>
  <c r="B47" i="85"/>
  <c r="H39" i="85"/>
  <c r="H38" i="85"/>
  <c r="H37" i="85"/>
  <c r="H36" i="85"/>
  <c r="H35" i="85"/>
  <c r="H34" i="85"/>
  <c r="H33" i="85"/>
  <c r="D30" i="85"/>
  <c r="D1" i="85"/>
  <c r="J20" i="85"/>
  <c r="O28" i="59"/>
  <c r="C29" i="59"/>
  <c r="O29" i="59"/>
  <c r="C30" i="59"/>
  <c r="O30" i="59"/>
  <c r="C31" i="59"/>
  <c r="D31" i="59"/>
  <c r="M19" i="85"/>
  <c r="I19" i="85"/>
  <c r="O7" i="59"/>
  <c r="O8" i="59"/>
  <c r="O9" i="59"/>
  <c r="O10" i="59"/>
  <c r="O11" i="59"/>
  <c r="O12" i="59"/>
  <c r="O13" i="59"/>
  <c r="O14" i="59"/>
  <c r="O15" i="59"/>
  <c r="O16" i="59"/>
  <c r="O17" i="59"/>
  <c r="O18" i="59"/>
  <c r="O19" i="59"/>
  <c r="O20" i="59"/>
  <c r="O21" i="59"/>
  <c r="O22" i="59"/>
  <c r="O23" i="59"/>
  <c r="O24" i="59"/>
  <c r="O25" i="59"/>
  <c r="O26" i="59"/>
  <c r="O27" i="59"/>
  <c r="O31" i="59"/>
  <c r="Y7" i="59"/>
  <c r="Z7" i="59"/>
  <c r="C19" i="85"/>
  <c r="C18" i="85"/>
  <c r="C16" i="85"/>
  <c r="F15" i="85"/>
  <c r="E15" i="85"/>
  <c r="D15" i="85"/>
  <c r="C15" i="85"/>
  <c r="C12" i="85"/>
  <c r="AI9" i="85"/>
  <c r="AI12" i="85"/>
  <c r="AG9" i="85"/>
  <c r="AG12" i="85"/>
  <c r="AE9" i="85"/>
  <c r="AE12" i="85"/>
  <c r="AC9" i="85"/>
  <c r="AC12" i="85"/>
  <c r="AA9" i="85"/>
  <c r="AA12" i="85"/>
  <c r="Y12" i="85"/>
  <c r="Y10" i="85"/>
  <c r="C10" i="85"/>
  <c r="C11" i="85"/>
  <c r="E11" i="85"/>
  <c r="AJ9" i="85"/>
  <c r="AJ12" i="85"/>
  <c r="AI10" i="85"/>
  <c r="AH9" i="85"/>
  <c r="AH12" i="85"/>
  <c r="AG10" i="85"/>
  <c r="AF9" i="85"/>
  <c r="AF12" i="85"/>
  <c r="AE10" i="85"/>
  <c r="AD9" i="85"/>
  <c r="AD12" i="85"/>
  <c r="AC10" i="85"/>
  <c r="AB9" i="85"/>
  <c r="AB12" i="85"/>
  <c r="AA10" i="85"/>
  <c r="Z9" i="85"/>
  <c r="Z12" i="85"/>
  <c r="C9" i="85"/>
  <c r="C7" i="85"/>
  <c r="A7" i="85"/>
  <c r="N12" i="85"/>
  <c r="N1" i="85"/>
  <c r="E30" i="83"/>
  <c r="E8" i="87"/>
  <c r="E15" i="87"/>
  <c r="C15" i="87"/>
  <c r="N5" i="85"/>
  <c r="N3" i="85"/>
  <c r="M7" i="85"/>
  <c r="N10" i="85"/>
  <c r="N11" i="85"/>
  <c r="M1" i="85"/>
  <c r="M2" i="85"/>
  <c r="M4" i="85"/>
  <c r="N6" i="85"/>
  <c r="M8" i="85"/>
  <c r="M9" i="85"/>
  <c r="M12" i="85"/>
  <c r="H113" i="85"/>
  <c r="F39" i="85"/>
  <c r="F38" i="85"/>
  <c r="F37" i="85"/>
  <c r="F36" i="85"/>
  <c r="F35" i="85"/>
  <c r="F34" i="85"/>
  <c r="F33" i="85"/>
  <c r="N17" i="85"/>
  <c r="L17" i="85"/>
  <c r="J17" i="85"/>
  <c r="H17" i="85"/>
  <c r="C17" i="85"/>
  <c r="X7" i="85"/>
  <c r="O17" i="85"/>
  <c r="M17" i="85"/>
  <c r="K17" i="85"/>
  <c r="I17" i="85"/>
  <c r="D17" i="85"/>
  <c r="C6" i="85"/>
  <c r="E10" i="85"/>
  <c r="Z10" i="85"/>
  <c r="AD10" i="85"/>
  <c r="AH10" i="85"/>
  <c r="M69" i="85"/>
  <c r="K69" i="85"/>
  <c r="J69" i="85"/>
  <c r="E9" i="85"/>
  <c r="E8" i="85"/>
  <c r="AB10" i="85"/>
  <c r="AF10" i="85"/>
  <c r="AJ10" i="85"/>
  <c r="N2" i="85"/>
  <c r="M3" i="85"/>
  <c r="N4" i="85"/>
  <c r="M5" i="85"/>
  <c r="M6" i="85"/>
  <c r="F47" i="85"/>
  <c r="N8" i="85"/>
  <c r="N9" i="85"/>
  <c r="M10" i="85"/>
  <c r="M11" i="85"/>
  <c r="H76" i="85"/>
  <c r="G76" i="85"/>
  <c r="H75" i="85"/>
  <c r="G75" i="85"/>
  <c r="H77" i="85"/>
  <c r="G77" i="85"/>
  <c r="H74" i="85"/>
  <c r="G74" i="85"/>
  <c r="H73" i="85"/>
  <c r="G73" i="85"/>
  <c r="H72" i="85"/>
  <c r="G72" i="85"/>
  <c r="H71" i="85"/>
  <c r="G71" i="85"/>
  <c r="H70" i="85"/>
  <c r="G70" i="85"/>
  <c r="H82" i="85"/>
  <c r="H84" i="85"/>
  <c r="H87" i="85"/>
  <c r="F108" i="85"/>
  <c r="F100" i="85"/>
  <c r="H108" i="85"/>
  <c r="H100" i="85"/>
  <c r="J108" i="85"/>
  <c r="J100" i="85"/>
  <c r="L108" i="85"/>
  <c r="L100" i="85"/>
  <c r="N108" i="85"/>
  <c r="N100" i="85"/>
  <c r="D100" i="85"/>
  <c r="G100" i="85"/>
  <c r="K100" i="85"/>
  <c r="C108" i="85"/>
  <c r="H81" i="85"/>
  <c r="H83" i="85"/>
  <c r="H85" i="85"/>
  <c r="E100" i="85"/>
  <c r="I100" i="85"/>
  <c r="M100" i="85"/>
  <c r="H51" i="85"/>
  <c r="G51" i="85"/>
  <c r="H50" i="85"/>
  <c r="G50" i="85"/>
  <c r="H55" i="85"/>
  <c r="G55" i="85"/>
  <c r="H54" i="85"/>
  <c r="G54" i="85"/>
  <c r="H53" i="85"/>
  <c r="G53" i="85"/>
  <c r="H52" i="85"/>
  <c r="G52" i="85"/>
  <c r="H49" i="85"/>
  <c r="G49" i="85"/>
  <c r="H48" i="85"/>
  <c r="G48" i="85"/>
  <c r="H47" i="85"/>
  <c r="G47" i="85"/>
  <c r="M70" i="85"/>
  <c r="N70" i="85"/>
  <c r="K70" i="85"/>
  <c r="J70" i="85"/>
  <c r="M72" i="85"/>
  <c r="N72" i="85"/>
  <c r="K72" i="85"/>
  <c r="M74" i="85"/>
  <c r="N74" i="85"/>
  <c r="K74" i="85"/>
  <c r="J74" i="85"/>
  <c r="D74" i="85"/>
  <c r="K75" i="85"/>
  <c r="M75" i="85"/>
  <c r="N75" i="85"/>
  <c r="N69" i="85"/>
  <c r="D69" i="85"/>
  <c r="E69" i="85"/>
  <c r="B67" i="85"/>
  <c r="M71" i="85"/>
  <c r="N71" i="85"/>
  <c r="K71" i="85"/>
  <c r="M73" i="85"/>
  <c r="K73" i="85"/>
  <c r="J73" i="85"/>
  <c r="M77" i="85"/>
  <c r="K77" i="85"/>
  <c r="J77" i="85"/>
  <c r="K76" i="85"/>
  <c r="J76" i="85"/>
  <c r="M76" i="85"/>
  <c r="N76" i="85"/>
  <c r="C5" i="85"/>
  <c r="D5" i="85"/>
  <c r="G17" i="85"/>
  <c r="F23" i="77"/>
  <c r="B24" i="1"/>
  <c r="F23" i="15"/>
  <c r="C9" i="82"/>
  <c r="C10" i="82"/>
  <c r="D9" i="82"/>
  <c r="D10" i="82"/>
  <c r="F9" i="82"/>
  <c r="F10" i="82"/>
  <c r="F14" i="82"/>
  <c r="F15" i="82"/>
  <c r="E16" i="82"/>
  <c r="F17" i="82"/>
  <c r="E19" i="82"/>
  <c r="E21" i="82"/>
  <c r="E22" i="82"/>
  <c r="F23" i="82"/>
  <c r="F24" i="82"/>
  <c r="F25" i="82"/>
  <c r="C25" i="82"/>
  <c r="G28" i="82"/>
  <c r="G27" i="82"/>
  <c r="G26" i="82"/>
  <c r="K9" i="82"/>
  <c r="J9" i="82"/>
  <c r="I9" i="82"/>
  <c r="H9" i="82"/>
  <c r="G9" i="82"/>
  <c r="C9" i="80"/>
  <c r="C10" i="80"/>
  <c r="D9" i="80"/>
  <c r="D10" i="80"/>
  <c r="E9" i="80"/>
  <c r="E10" i="80"/>
  <c r="F14" i="80"/>
  <c r="F15" i="80"/>
  <c r="E16" i="80"/>
  <c r="F17" i="80"/>
  <c r="E19" i="80"/>
  <c r="E21" i="80"/>
  <c r="E22" i="80"/>
  <c r="F23" i="80"/>
  <c r="F24" i="80"/>
  <c r="F25" i="80"/>
  <c r="C25" i="80"/>
  <c r="G28" i="80"/>
  <c r="G27" i="80"/>
  <c r="G26" i="80"/>
  <c r="K9" i="80"/>
  <c r="J9" i="80"/>
  <c r="I9" i="80"/>
  <c r="H9" i="80"/>
  <c r="G9" i="80"/>
  <c r="E9" i="12"/>
  <c r="E10" i="12"/>
  <c r="F9" i="12"/>
  <c r="F10" i="12"/>
  <c r="D9" i="12"/>
  <c r="D10" i="12"/>
  <c r="C16" i="46"/>
  <c r="C16" i="73"/>
  <c r="B43" i="1"/>
  <c r="B41" i="1"/>
  <c r="F32" i="77"/>
  <c r="K14" i="1"/>
  <c r="M14" i="1"/>
  <c r="A11" i="1"/>
  <c r="S11" i="1"/>
  <c r="A12" i="1"/>
  <c r="S12" i="1"/>
  <c r="A13" i="1"/>
  <c r="S13" i="1"/>
  <c r="F15" i="77"/>
  <c r="F17" i="77"/>
  <c r="F18" i="77"/>
  <c r="F20" i="77"/>
  <c r="F21" i="77"/>
  <c r="F28" i="77"/>
  <c r="F33" i="77"/>
  <c r="B52" i="1"/>
  <c r="F34" i="77"/>
  <c r="L22" i="6"/>
  <c r="AE10" i="1"/>
  <c r="M47" i="77"/>
  <c r="J50" i="77"/>
  <c r="K59" i="77"/>
  <c r="P75" i="77"/>
  <c r="Q73" i="77"/>
  <c r="F59" i="77"/>
  <c r="D60" i="77"/>
  <c r="F60" i="77"/>
  <c r="F61" i="77"/>
  <c r="P62" i="77"/>
  <c r="Q60" i="77"/>
  <c r="Q59" i="77"/>
  <c r="F58" i="77"/>
  <c r="Q52" i="77"/>
  <c r="F31" i="77"/>
  <c r="M18" i="77"/>
  <c r="M20" i="77"/>
  <c r="D24" i="77"/>
  <c r="D23" i="77"/>
  <c r="D22" i="77"/>
  <c r="M19" i="77"/>
  <c r="M17" i="77"/>
  <c r="K11" i="1"/>
  <c r="M11" i="1"/>
  <c r="O11" i="1"/>
  <c r="P11" i="1"/>
  <c r="K12" i="1"/>
  <c r="M12" i="1"/>
  <c r="K13" i="1"/>
  <c r="M13" i="1"/>
  <c r="F14" i="75"/>
  <c r="K1" i="75"/>
  <c r="F15" i="75"/>
  <c r="E16" i="75"/>
  <c r="F17" i="75"/>
  <c r="E19" i="75"/>
  <c r="E21" i="75"/>
  <c r="E22" i="75"/>
  <c r="F23" i="75"/>
  <c r="F24" i="75"/>
  <c r="F25" i="75"/>
  <c r="C25" i="75"/>
  <c r="G28" i="75"/>
  <c r="G27" i="75"/>
  <c r="G26" i="75"/>
  <c r="K9" i="75"/>
  <c r="J9" i="75"/>
  <c r="I9" i="75"/>
  <c r="H9" i="75"/>
  <c r="G9" i="75"/>
  <c r="F9" i="75"/>
  <c r="E9" i="75"/>
  <c r="D9" i="75"/>
  <c r="L20" i="6"/>
  <c r="H17" i="4"/>
  <c r="AH8" i="1"/>
  <c r="AH7" i="1"/>
  <c r="F113" i="73"/>
  <c r="L99" i="73"/>
  <c r="L108" i="73"/>
  <c r="H99" i="73"/>
  <c r="H108" i="73"/>
  <c r="D99" i="73"/>
  <c r="D108" i="73"/>
  <c r="L100" i="73"/>
  <c r="H100" i="73"/>
  <c r="D100" i="73"/>
  <c r="N99" i="73"/>
  <c r="N108" i="73"/>
  <c r="M99" i="73"/>
  <c r="K99" i="73"/>
  <c r="J99" i="73"/>
  <c r="J108" i="73"/>
  <c r="I99" i="73"/>
  <c r="G99" i="73"/>
  <c r="F99" i="73"/>
  <c r="F108" i="73"/>
  <c r="E99" i="73"/>
  <c r="C99" i="73"/>
  <c r="M87" i="73"/>
  <c r="N87" i="73"/>
  <c r="K87" i="73"/>
  <c r="J87" i="73"/>
  <c r="D87" i="73"/>
  <c r="B87" i="73"/>
  <c r="M86" i="73"/>
  <c r="N86" i="73"/>
  <c r="K86" i="73"/>
  <c r="J86" i="73"/>
  <c r="D86" i="73"/>
  <c r="M85" i="73"/>
  <c r="N85" i="73"/>
  <c r="K85" i="73"/>
  <c r="J85" i="73"/>
  <c r="D85" i="73"/>
  <c r="B85" i="73"/>
  <c r="M84" i="73"/>
  <c r="N84" i="73"/>
  <c r="K84" i="73"/>
  <c r="J84" i="73"/>
  <c r="D84" i="73"/>
  <c r="B84" i="73"/>
  <c r="M83" i="73"/>
  <c r="N83" i="73"/>
  <c r="K83" i="73"/>
  <c r="J83" i="73"/>
  <c r="D83" i="73"/>
  <c r="B83" i="73"/>
  <c r="M82" i="73"/>
  <c r="N82" i="73"/>
  <c r="K82" i="73"/>
  <c r="J82" i="73"/>
  <c r="D82" i="73"/>
  <c r="B82" i="73"/>
  <c r="M81" i="73"/>
  <c r="N81" i="73"/>
  <c r="K81" i="73"/>
  <c r="J81" i="73"/>
  <c r="D81" i="73"/>
  <c r="B81" i="73"/>
  <c r="M80" i="73"/>
  <c r="N80" i="73"/>
  <c r="K80" i="73"/>
  <c r="J80" i="73"/>
  <c r="F80" i="73"/>
  <c r="H80" i="73"/>
  <c r="H86" i="73"/>
  <c r="D80" i="73"/>
  <c r="E80" i="73"/>
  <c r="B78" i="73"/>
  <c r="B80" i="73"/>
  <c r="D76" i="73"/>
  <c r="B76" i="73"/>
  <c r="B74" i="73"/>
  <c r="B73" i="73"/>
  <c r="B72" i="73"/>
  <c r="B71" i="73"/>
  <c r="D70" i="73"/>
  <c r="B70" i="73"/>
  <c r="B69" i="73"/>
  <c r="B66" i="73"/>
  <c r="D65" i="73"/>
  <c r="B65" i="73"/>
  <c r="D64" i="73"/>
  <c r="B64" i="73"/>
  <c r="B62" i="73"/>
  <c r="B60" i="73"/>
  <c r="D59" i="73"/>
  <c r="B59" i="73"/>
  <c r="F58" i="73"/>
  <c r="D58" i="73"/>
  <c r="B58" i="73"/>
  <c r="D55" i="73"/>
  <c r="B55" i="73"/>
  <c r="B54" i="73"/>
  <c r="B53" i="73"/>
  <c r="B51" i="73"/>
  <c r="B49" i="73"/>
  <c r="D48" i="73"/>
  <c r="B48" i="73"/>
  <c r="G2" i="73"/>
  <c r="I2" i="73"/>
  <c r="N7" i="73"/>
  <c r="B47" i="73"/>
  <c r="H39" i="73"/>
  <c r="H38" i="73"/>
  <c r="H37" i="73"/>
  <c r="H36" i="73"/>
  <c r="H35" i="73"/>
  <c r="H34" i="73"/>
  <c r="H33" i="73"/>
  <c r="J20" i="73"/>
  <c r="M19" i="73"/>
  <c r="I19" i="73"/>
  <c r="G19" i="85"/>
  <c r="G19" i="73"/>
  <c r="P25" i="73"/>
  <c r="C19" i="73"/>
  <c r="C18" i="73"/>
  <c r="F15" i="73"/>
  <c r="E15" i="73"/>
  <c r="D15" i="73"/>
  <c r="C15" i="73"/>
  <c r="AJ9" i="73"/>
  <c r="AJ12" i="73"/>
  <c r="AH9" i="73"/>
  <c r="AH12" i="73"/>
  <c r="AF9" i="73"/>
  <c r="AF12" i="73"/>
  <c r="AD9" i="73"/>
  <c r="AD12" i="73"/>
  <c r="AB9" i="73"/>
  <c r="AB12" i="73"/>
  <c r="Z9" i="73"/>
  <c r="Z12" i="73"/>
  <c r="Y12" i="73"/>
  <c r="C12" i="73"/>
  <c r="Y10" i="73"/>
  <c r="C10" i="73"/>
  <c r="C11" i="73"/>
  <c r="AJ10" i="73"/>
  <c r="AI9" i="73"/>
  <c r="AI12" i="73"/>
  <c r="AH10" i="73"/>
  <c r="AG9" i="73"/>
  <c r="AG12" i="73"/>
  <c r="AF10" i="73"/>
  <c r="AE9" i="73"/>
  <c r="AE12" i="73"/>
  <c r="AD10" i="73"/>
  <c r="AC9" i="73"/>
  <c r="AC12" i="73"/>
  <c r="AB10" i="73"/>
  <c r="AA9" i="73"/>
  <c r="AA12" i="73"/>
  <c r="Z10" i="73"/>
  <c r="C9" i="73"/>
  <c r="A7" i="73"/>
  <c r="M12" i="73"/>
  <c r="H113" i="73"/>
  <c r="M1" i="73"/>
  <c r="E11" i="73"/>
  <c r="E10" i="73"/>
  <c r="E9" i="73"/>
  <c r="E8" i="73"/>
  <c r="C7" i="73"/>
  <c r="M5" i="73"/>
  <c r="N9" i="73"/>
  <c r="M10" i="73"/>
  <c r="AA10" i="73"/>
  <c r="AC10" i="73"/>
  <c r="AE10" i="73"/>
  <c r="AG10" i="73"/>
  <c r="AI10" i="73"/>
  <c r="M11" i="73"/>
  <c r="N12" i="73"/>
  <c r="C17" i="73"/>
  <c r="H17" i="73"/>
  <c r="J17" i="73"/>
  <c r="L17" i="73"/>
  <c r="N17" i="73"/>
  <c r="P22" i="73"/>
  <c r="P23" i="73"/>
  <c r="P24" i="73"/>
  <c r="F33" i="73"/>
  <c r="F34" i="73"/>
  <c r="F35" i="73"/>
  <c r="F36" i="73"/>
  <c r="F37" i="73"/>
  <c r="F38" i="73"/>
  <c r="F39" i="73"/>
  <c r="H66" i="73"/>
  <c r="G66" i="73"/>
  <c r="H65" i="73"/>
  <c r="G65" i="73"/>
  <c r="K65" i="73"/>
  <c r="J65" i="73"/>
  <c r="H58" i="73"/>
  <c r="G58" i="73"/>
  <c r="H59" i="73"/>
  <c r="G59" i="73"/>
  <c r="M59" i="73"/>
  <c r="N59" i="73"/>
  <c r="H60" i="73"/>
  <c r="G60" i="73"/>
  <c r="H63" i="73"/>
  <c r="G63" i="73"/>
  <c r="H64" i="73"/>
  <c r="G64" i="73"/>
  <c r="N2" i="73"/>
  <c r="M3" i="73"/>
  <c r="N4" i="73"/>
  <c r="M6" i="73"/>
  <c r="F69" i="73"/>
  <c r="N8" i="73"/>
  <c r="N1" i="73"/>
  <c r="M2" i="73"/>
  <c r="N3" i="73"/>
  <c r="M4" i="73"/>
  <c r="N5" i="73"/>
  <c r="N6" i="73"/>
  <c r="M7" i="73"/>
  <c r="C6" i="73"/>
  <c r="D5" i="73"/>
  <c r="M8" i="73"/>
  <c r="M9" i="73"/>
  <c r="N10" i="73"/>
  <c r="N11" i="73"/>
  <c r="D17" i="73"/>
  <c r="I17" i="73"/>
  <c r="K17" i="73"/>
  <c r="M17" i="73"/>
  <c r="O17" i="73"/>
  <c r="O19" i="73"/>
  <c r="N15" i="59"/>
  <c r="B15" i="59"/>
  <c r="N14" i="59"/>
  <c r="B14" i="59"/>
  <c r="N13" i="59"/>
  <c r="B13" i="59"/>
  <c r="N12" i="59"/>
  <c r="B12" i="59"/>
  <c r="N11" i="59"/>
  <c r="B11" i="59"/>
  <c r="N10" i="59"/>
  <c r="B10" i="59"/>
  <c r="N9" i="59"/>
  <c r="B9" i="59"/>
  <c r="N8" i="59"/>
  <c r="B8" i="59"/>
  <c r="N7" i="59"/>
  <c r="B7" i="59"/>
  <c r="N6" i="59"/>
  <c r="B6" i="59"/>
  <c r="N5" i="59"/>
  <c r="B5" i="59"/>
  <c r="C15" i="59"/>
  <c r="C14" i="59"/>
  <c r="C13" i="59"/>
  <c r="C12" i="59"/>
  <c r="C11" i="59"/>
  <c r="C10" i="59"/>
  <c r="C9" i="59"/>
  <c r="C8" i="59"/>
  <c r="C7" i="59"/>
  <c r="O6" i="59"/>
  <c r="C6" i="59"/>
  <c r="O5" i="59"/>
  <c r="C5" i="59"/>
  <c r="D5" i="59"/>
  <c r="P15" i="59"/>
  <c r="E15" i="59"/>
  <c r="P14" i="59"/>
  <c r="E14" i="59"/>
  <c r="P13" i="59"/>
  <c r="E13" i="59"/>
  <c r="P12" i="59"/>
  <c r="E12" i="59"/>
  <c r="P11" i="59"/>
  <c r="E11" i="59"/>
  <c r="P10" i="59"/>
  <c r="E10" i="59"/>
  <c r="P9" i="59"/>
  <c r="E9" i="59"/>
  <c r="P8" i="59"/>
  <c r="E8" i="59"/>
  <c r="P7" i="59"/>
  <c r="E7" i="59"/>
  <c r="P6" i="59"/>
  <c r="E6" i="59"/>
  <c r="P5" i="59"/>
  <c r="E5" i="59"/>
  <c r="Q15" i="59"/>
  <c r="F15" i="59"/>
  <c r="Q14" i="59"/>
  <c r="F14" i="59"/>
  <c r="Q13" i="59"/>
  <c r="F13" i="59"/>
  <c r="Q12" i="59"/>
  <c r="F12" i="59"/>
  <c r="Q11" i="59"/>
  <c r="F11" i="59"/>
  <c r="Q10" i="59"/>
  <c r="F10" i="59"/>
  <c r="Q9" i="59"/>
  <c r="F9" i="59"/>
  <c r="Q8" i="59"/>
  <c r="F8" i="59"/>
  <c r="Q7" i="59"/>
  <c r="F7" i="59"/>
  <c r="Q6" i="59"/>
  <c r="F6" i="59"/>
  <c r="Q5" i="59"/>
  <c r="F5" i="59"/>
  <c r="D6" i="59"/>
  <c r="D7" i="59"/>
  <c r="D8" i="59"/>
  <c r="D9" i="59"/>
  <c r="D10" i="59"/>
  <c r="D11" i="59"/>
  <c r="D12" i="59"/>
  <c r="D13" i="59"/>
  <c r="D14" i="59"/>
  <c r="D15" i="59"/>
  <c r="D16" i="59"/>
  <c r="N19" i="59"/>
  <c r="B19" i="59"/>
  <c r="N18" i="59"/>
  <c r="B18" i="59"/>
  <c r="N17" i="59"/>
  <c r="B17" i="59"/>
  <c r="C19" i="59"/>
  <c r="C18" i="59"/>
  <c r="C17" i="59"/>
  <c r="D17" i="59"/>
  <c r="P19" i="59"/>
  <c r="E19" i="59"/>
  <c r="P18" i="59"/>
  <c r="E18" i="59"/>
  <c r="P17" i="59"/>
  <c r="E17" i="59"/>
  <c r="Q19" i="59"/>
  <c r="F19" i="59"/>
  <c r="Q18" i="59"/>
  <c r="F18" i="59"/>
  <c r="Q17" i="59"/>
  <c r="F17" i="59"/>
  <c r="D18" i="59"/>
  <c r="D19" i="59"/>
  <c r="D20" i="59"/>
  <c r="N20" i="59"/>
  <c r="B21" i="59"/>
  <c r="C21" i="59"/>
  <c r="D21" i="59"/>
  <c r="P20" i="59"/>
  <c r="E21" i="59"/>
  <c r="Q20" i="59"/>
  <c r="F21" i="59"/>
  <c r="N21" i="59"/>
  <c r="B22" i="59"/>
  <c r="C22" i="59"/>
  <c r="D22" i="59"/>
  <c r="P21" i="59"/>
  <c r="E22" i="59"/>
  <c r="Q21" i="59"/>
  <c r="F22" i="59"/>
  <c r="N22" i="59"/>
  <c r="B23" i="59"/>
  <c r="C23" i="59"/>
  <c r="D23" i="59"/>
  <c r="P22" i="59"/>
  <c r="E23" i="59"/>
  <c r="Q22" i="59"/>
  <c r="F23" i="59"/>
  <c r="D24" i="59"/>
  <c r="N24" i="59"/>
  <c r="B25" i="59"/>
  <c r="C25" i="59"/>
  <c r="D25" i="59"/>
  <c r="P24" i="59"/>
  <c r="E25" i="59"/>
  <c r="Q24" i="59"/>
  <c r="F25" i="59"/>
  <c r="N25" i="59"/>
  <c r="B26" i="59"/>
  <c r="C26" i="59"/>
  <c r="D26" i="59"/>
  <c r="P25" i="59"/>
  <c r="E26" i="59"/>
  <c r="Q25" i="59"/>
  <c r="F26" i="59"/>
  <c r="N26" i="59"/>
  <c r="B27" i="59"/>
  <c r="C27" i="59"/>
  <c r="D27" i="59"/>
  <c r="P26" i="59"/>
  <c r="E27" i="59"/>
  <c r="Q26" i="59"/>
  <c r="F27" i="59"/>
  <c r="D28" i="59"/>
  <c r="N28" i="59"/>
  <c r="B29" i="59"/>
  <c r="D29" i="59"/>
  <c r="P28" i="59"/>
  <c r="E29" i="59"/>
  <c r="Q28" i="59"/>
  <c r="F29" i="59"/>
  <c r="N29" i="59"/>
  <c r="B30" i="59"/>
  <c r="D30" i="59"/>
  <c r="P29" i="59"/>
  <c r="E30" i="59"/>
  <c r="Q29" i="59"/>
  <c r="F30" i="59"/>
  <c r="N30" i="59"/>
  <c r="B31" i="59"/>
  <c r="P30" i="59"/>
  <c r="E31" i="59"/>
  <c r="Q30" i="59"/>
  <c r="F31" i="59"/>
  <c r="M20" i="73"/>
  <c r="P21" i="73"/>
  <c r="H61" i="73"/>
  <c r="G61" i="73"/>
  <c r="H62" i="73"/>
  <c r="G62" i="73"/>
  <c r="H82" i="73"/>
  <c r="H84" i="73"/>
  <c r="H87" i="73"/>
  <c r="F100" i="73"/>
  <c r="J100" i="73"/>
  <c r="N100" i="73"/>
  <c r="H81" i="73"/>
  <c r="H83" i="73"/>
  <c r="H85" i="73"/>
  <c r="C108" i="73"/>
  <c r="C100" i="73"/>
  <c r="E108" i="73"/>
  <c r="E100" i="73"/>
  <c r="G108" i="73"/>
  <c r="G100" i="73"/>
  <c r="I108" i="73"/>
  <c r="I100" i="73"/>
  <c r="K108" i="73"/>
  <c r="K100" i="73"/>
  <c r="M108" i="73"/>
  <c r="M100" i="73"/>
  <c r="H76" i="73"/>
  <c r="G76" i="73"/>
  <c r="K76" i="73"/>
  <c r="J76" i="73"/>
  <c r="H75" i="73"/>
  <c r="G75" i="73"/>
  <c r="M75" i="73"/>
  <c r="H77" i="73"/>
  <c r="G77" i="73"/>
  <c r="M77" i="73"/>
  <c r="H74" i="73"/>
  <c r="G74" i="73"/>
  <c r="H73" i="73"/>
  <c r="G73" i="73"/>
  <c r="M73" i="73"/>
  <c r="H72" i="73"/>
  <c r="G72" i="73"/>
  <c r="M72" i="73"/>
  <c r="N72" i="73"/>
  <c r="H71" i="73"/>
  <c r="G71" i="73"/>
  <c r="M71" i="73"/>
  <c r="N71" i="73"/>
  <c r="H70" i="73"/>
  <c r="G70" i="73"/>
  <c r="M70" i="73"/>
  <c r="N70" i="73"/>
  <c r="H69" i="73"/>
  <c r="G69" i="73"/>
  <c r="M69" i="73"/>
  <c r="D69" i="73"/>
  <c r="E69" i="73"/>
  <c r="B67" i="73"/>
  <c r="M58" i="73"/>
  <c r="N58" i="73"/>
  <c r="K58" i="73"/>
  <c r="J58" i="73"/>
  <c r="G17" i="73"/>
  <c r="K59" i="73"/>
  <c r="J59" i="73"/>
  <c r="M65" i="73"/>
  <c r="N65" i="73"/>
  <c r="K70" i="73"/>
  <c r="J70" i="73"/>
  <c r="K72" i="73"/>
  <c r="D72" i="73"/>
  <c r="N75" i="73"/>
  <c r="K69" i="73"/>
  <c r="J69" i="73"/>
  <c r="K71" i="73"/>
  <c r="J71" i="73"/>
  <c r="K73" i="73"/>
  <c r="J73" i="73"/>
  <c r="K77" i="73"/>
  <c r="J77" i="73"/>
  <c r="M76" i="73"/>
  <c r="N76" i="73"/>
  <c r="D71" i="73"/>
  <c r="N69" i="73"/>
  <c r="C6" i="69"/>
  <c r="C19" i="46"/>
  <c r="G6" i="34"/>
  <c r="I5" i="34"/>
  <c r="G5" i="34"/>
  <c r="E5" i="34"/>
  <c r="E5" i="69"/>
  <c r="B131" i="69"/>
  <c r="B129" i="69"/>
  <c r="B127" i="69"/>
  <c r="D126" i="69"/>
  <c r="E126" i="69"/>
  <c r="F126" i="69"/>
  <c r="G126" i="69"/>
  <c r="D124" i="69"/>
  <c r="E124" i="69"/>
  <c r="F124" i="69"/>
  <c r="G124" i="69"/>
  <c r="H124" i="69"/>
  <c r="I124" i="69"/>
  <c r="J124" i="69"/>
  <c r="K124" i="69"/>
  <c r="L124" i="69"/>
  <c r="M124" i="69"/>
  <c r="D120" i="69"/>
  <c r="E120" i="69"/>
  <c r="F120" i="69"/>
  <c r="G120" i="69"/>
  <c r="H120" i="69"/>
  <c r="I120" i="69"/>
  <c r="J120" i="69"/>
  <c r="K120" i="69"/>
  <c r="L120" i="69"/>
  <c r="M120" i="69"/>
  <c r="D118" i="69"/>
  <c r="E118" i="69"/>
  <c r="F118" i="69"/>
  <c r="G118" i="69"/>
  <c r="D116" i="69"/>
  <c r="E116" i="69"/>
  <c r="F116" i="69"/>
  <c r="G116" i="69"/>
  <c r="H116" i="69"/>
  <c r="I116" i="69"/>
  <c r="J116" i="69"/>
  <c r="K116" i="69"/>
  <c r="L116" i="69"/>
  <c r="M116" i="69"/>
  <c r="D114" i="69"/>
  <c r="E114" i="69"/>
  <c r="F114" i="69"/>
  <c r="G114" i="69"/>
  <c r="H114" i="69"/>
  <c r="I114" i="69"/>
  <c r="J114" i="69"/>
  <c r="K114" i="69"/>
  <c r="L114" i="69"/>
  <c r="M114" i="69"/>
  <c r="D112" i="69"/>
  <c r="E112" i="69"/>
  <c r="F112" i="69"/>
  <c r="G112" i="69"/>
  <c r="H112" i="69"/>
  <c r="I112" i="69"/>
  <c r="J112" i="69"/>
  <c r="K112" i="69"/>
  <c r="L112" i="69"/>
  <c r="M112" i="69"/>
  <c r="G110" i="69"/>
  <c r="F110" i="69"/>
  <c r="E110" i="69"/>
  <c r="D110" i="69"/>
  <c r="C110" i="69"/>
  <c r="D109" i="69"/>
  <c r="E109" i="69"/>
  <c r="F109" i="69"/>
  <c r="G109" i="69"/>
  <c r="H109" i="69"/>
  <c r="I109" i="69"/>
  <c r="J109" i="69"/>
  <c r="K109" i="69"/>
  <c r="L109" i="69"/>
  <c r="M109" i="69"/>
  <c r="D107" i="69"/>
  <c r="E107" i="69"/>
  <c r="F107" i="69"/>
  <c r="G107" i="69"/>
  <c r="H107" i="69"/>
  <c r="I107" i="69"/>
  <c r="J107" i="69"/>
  <c r="K107" i="69"/>
  <c r="L107" i="69"/>
  <c r="M107" i="69"/>
  <c r="M103" i="69"/>
  <c r="L103" i="69"/>
  <c r="K103" i="69"/>
  <c r="J103" i="69"/>
  <c r="I103" i="69"/>
  <c r="H103" i="69"/>
  <c r="G103" i="69"/>
  <c r="F103" i="69"/>
  <c r="E103" i="69"/>
  <c r="D103" i="69"/>
  <c r="C103" i="69"/>
  <c r="D102" i="69"/>
  <c r="E102" i="69"/>
  <c r="F102" i="69"/>
  <c r="G102" i="69"/>
  <c r="H102" i="69"/>
  <c r="I102" i="69"/>
  <c r="J102" i="69"/>
  <c r="K102" i="69"/>
  <c r="L102" i="69"/>
  <c r="M102" i="69"/>
  <c r="B99" i="69"/>
  <c r="B97" i="69"/>
  <c r="B95" i="69"/>
  <c r="B93" i="69"/>
  <c r="D92" i="69"/>
  <c r="E92" i="69"/>
  <c r="F92" i="69"/>
  <c r="G92" i="69"/>
  <c r="H92" i="69"/>
  <c r="I92" i="69"/>
  <c r="J92" i="69"/>
  <c r="K92" i="69"/>
  <c r="L92" i="69"/>
  <c r="M92" i="69"/>
  <c r="B91" i="69"/>
  <c r="D90" i="69"/>
  <c r="E90" i="69"/>
  <c r="F90" i="69"/>
  <c r="G90" i="69"/>
  <c r="H90" i="69"/>
  <c r="I90" i="69"/>
  <c r="J90" i="69"/>
  <c r="K90" i="69"/>
  <c r="L90" i="69"/>
  <c r="M90" i="69"/>
  <c r="B89" i="69"/>
  <c r="D88" i="69"/>
  <c r="E88" i="69"/>
  <c r="D86" i="69"/>
  <c r="E86" i="69"/>
  <c r="F86" i="69"/>
  <c r="G86" i="69"/>
  <c r="D84" i="69"/>
  <c r="E84" i="69"/>
  <c r="F84" i="69"/>
  <c r="G84" i="69"/>
  <c r="D82" i="69"/>
  <c r="E82" i="69"/>
  <c r="D80" i="69"/>
  <c r="E80" i="69"/>
  <c r="D78" i="69"/>
  <c r="E78" i="69"/>
  <c r="B75" i="69"/>
  <c r="B73" i="69"/>
  <c r="B71" i="69"/>
  <c r="D70" i="69"/>
  <c r="E70" i="69"/>
  <c r="F70" i="69"/>
  <c r="G70" i="69"/>
  <c r="H70" i="69"/>
  <c r="I70" i="69"/>
  <c r="J70" i="69"/>
  <c r="K70" i="69"/>
  <c r="L70" i="69"/>
  <c r="M70" i="69"/>
  <c r="M68" i="69"/>
  <c r="L68" i="69"/>
  <c r="K68" i="69"/>
  <c r="J68" i="69"/>
  <c r="I68" i="69"/>
  <c r="H68" i="69"/>
  <c r="G68" i="69"/>
  <c r="F68" i="69"/>
  <c r="E68" i="69"/>
  <c r="D68" i="69"/>
  <c r="C68" i="69"/>
  <c r="F67" i="69"/>
  <c r="G67" i="69"/>
  <c r="H67" i="69"/>
  <c r="I67" i="69"/>
  <c r="C64" i="69"/>
  <c r="I55" i="69"/>
  <c r="J55" i="69"/>
  <c r="G55" i="69"/>
  <c r="H55" i="69"/>
  <c r="E55" i="69"/>
  <c r="F55" i="69"/>
  <c r="P50" i="69"/>
  <c r="P49" i="69"/>
  <c r="V48" i="69"/>
  <c r="T48" i="69"/>
  <c r="R48" i="69"/>
  <c r="P48" i="69"/>
  <c r="Q47" i="69"/>
  <c r="Z47" i="69"/>
  <c r="J47" i="69"/>
  <c r="W47" i="69"/>
  <c r="H47" i="69"/>
  <c r="AB47" i="69"/>
  <c r="F47" i="69"/>
  <c r="AA47" i="69"/>
  <c r="Q46" i="69"/>
  <c r="Z46" i="69"/>
  <c r="J46" i="69"/>
  <c r="AC46" i="69"/>
  <c r="H46" i="69"/>
  <c r="AB46" i="69"/>
  <c r="F46" i="69"/>
  <c r="AA46" i="69"/>
  <c r="Q45" i="69"/>
  <c r="Z45" i="69"/>
  <c r="J45" i="69"/>
  <c r="AC45" i="69"/>
  <c r="H45" i="69"/>
  <c r="AB45" i="69"/>
  <c r="F45" i="69"/>
  <c r="AA45" i="69"/>
  <c r="Q44" i="69"/>
  <c r="Z44" i="69"/>
  <c r="J44" i="69"/>
  <c r="AC44" i="69"/>
  <c r="H44" i="69"/>
  <c r="AB44" i="69"/>
  <c r="F44" i="69"/>
  <c r="AA44" i="69"/>
  <c r="Q43" i="69"/>
  <c r="Z43" i="69"/>
  <c r="J43" i="69"/>
  <c r="AC43" i="69"/>
  <c r="H43" i="69"/>
  <c r="AB43" i="69"/>
  <c r="F43" i="69"/>
  <c r="AA43" i="69"/>
  <c r="Q42" i="69"/>
  <c r="Z42" i="69"/>
  <c r="J42" i="69"/>
  <c r="AC42" i="69"/>
  <c r="H42" i="69"/>
  <c r="AB42" i="69"/>
  <c r="F42" i="69"/>
  <c r="AA42" i="69"/>
  <c r="Q41" i="69"/>
  <c r="Z41" i="69"/>
  <c r="J41" i="69"/>
  <c r="AC41" i="69"/>
  <c r="H41" i="69"/>
  <c r="AB41" i="69"/>
  <c r="F41" i="69"/>
  <c r="AA41" i="69"/>
  <c r="Q40" i="69"/>
  <c r="Z40" i="69"/>
  <c r="J40" i="69"/>
  <c r="AC40" i="69"/>
  <c r="H40" i="69"/>
  <c r="AB40" i="69"/>
  <c r="F40" i="69"/>
  <c r="AA40" i="69"/>
  <c r="Q39" i="69"/>
  <c r="Z39" i="69"/>
  <c r="J39" i="69"/>
  <c r="AC39" i="69"/>
  <c r="H39" i="69"/>
  <c r="AB39" i="69"/>
  <c r="F39" i="69"/>
  <c r="AA39" i="69"/>
  <c r="Q38" i="69"/>
  <c r="Z38" i="69"/>
  <c r="J38" i="69"/>
  <c r="AC38" i="69"/>
  <c r="H38" i="69"/>
  <c r="AB38" i="69"/>
  <c r="F38" i="69"/>
  <c r="AA38" i="69"/>
  <c r="Q37" i="69"/>
  <c r="Z37" i="69"/>
  <c r="J37" i="69"/>
  <c r="AC37" i="69"/>
  <c r="H37" i="69"/>
  <c r="AB37" i="69"/>
  <c r="F37" i="69"/>
  <c r="AA37" i="69"/>
  <c r="Q36" i="69"/>
  <c r="Z36" i="69"/>
  <c r="J36" i="69"/>
  <c r="AC36" i="69"/>
  <c r="H36" i="69"/>
  <c r="AB36" i="69"/>
  <c r="F36" i="69"/>
  <c r="AA36" i="69"/>
  <c r="Q35" i="69"/>
  <c r="Z35" i="69"/>
  <c r="J35" i="69"/>
  <c r="AC35" i="69"/>
  <c r="H35" i="69"/>
  <c r="AB35" i="69"/>
  <c r="F35" i="69"/>
  <c r="AA35" i="69"/>
  <c r="Q34" i="69"/>
  <c r="Z34" i="69"/>
  <c r="Q33" i="69"/>
  <c r="Z33" i="69"/>
  <c r="J33" i="69"/>
  <c r="AC33" i="69"/>
  <c r="H33" i="69"/>
  <c r="AB33" i="69"/>
  <c r="F33" i="69"/>
  <c r="AA33" i="69"/>
  <c r="Q32" i="69"/>
  <c r="Z32" i="69"/>
  <c r="J32" i="69"/>
  <c r="AC32" i="69"/>
  <c r="H32" i="69"/>
  <c r="AB32" i="69"/>
  <c r="F32" i="69"/>
  <c r="AA32" i="69"/>
  <c r="Q31" i="69"/>
  <c r="Z31" i="69"/>
  <c r="J31" i="69"/>
  <c r="AC31" i="69"/>
  <c r="H31" i="69"/>
  <c r="AB31" i="69"/>
  <c r="F31" i="69"/>
  <c r="AA31" i="69"/>
  <c r="Q30" i="69"/>
  <c r="Z30" i="69"/>
  <c r="J30" i="69"/>
  <c r="AC30" i="69"/>
  <c r="H30" i="69"/>
  <c r="AB30" i="69"/>
  <c r="F30" i="69"/>
  <c r="AA30" i="69"/>
  <c r="Q29" i="69"/>
  <c r="Z29" i="69"/>
  <c r="J29" i="69"/>
  <c r="AC29" i="69"/>
  <c r="H29" i="69"/>
  <c r="AB29" i="69"/>
  <c r="F29" i="69"/>
  <c r="AA29" i="69"/>
  <c r="Q28" i="69"/>
  <c r="Z28" i="69"/>
  <c r="J28" i="69"/>
  <c r="AC28" i="69"/>
  <c r="H28" i="69"/>
  <c r="AB28" i="69"/>
  <c r="F28" i="69"/>
  <c r="AA28" i="69"/>
  <c r="Q27" i="69"/>
  <c r="Z27" i="69"/>
  <c r="J27" i="69"/>
  <c r="AC27" i="69"/>
  <c r="H27" i="69"/>
  <c r="AB27" i="69"/>
  <c r="F27" i="69"/>
  <c r="AA27" i="69"/>
  <c r="Q25" i="69"/>
  <c r="Z25" i="69"/>
  <c r="J25" i="69"/>
  <c r="AC25" i="69"/>
  <c r="H25" i="69"/>
  <c r="AB25" i="69"/>
  <c r="Q23" i="69"/>
  <c r="Z23" i="69"/>
  <c r="J23" i="69"/>
  <c r="AC23" i="69"/>
  <c r="H23" i="69"/>
  <c r="AB23" i="69"/>
  <c r="F23" i="69"/>
  <c r="AA23" i="69"/>
  <c r="C23" i="69"/>
  <c r="Q21" i="69"/>
  <c r="Z21" i="69"/>
  <c r="J21" i="69"/>
  <c r="H21" i="69"/>
  <c r="AB21" i="69"/>
  <c r="F21" i="69"/>
  <c r="C21" i="69"/>
  <c r="Q19" i="69"/>
  <c r="Z19" i="69"/>
  <c r="C19" i="69"/>
  <c r="Q17" i="69"/>
  <c r="Z17" i="69"/>
  <c r="C17" i="69"/>
  <c r="Q15" i="69"/>
  <c r="Z15" i="69"/>
  <c r="C15" i="69"/>
  <c r="Q14" i="69"/>
  <c r="Z14" i="69"/>
  <c r="J14" i="69"/>
  <c r="AC14" i="69"/>
  <c r="H14" i="69"/>
  <c r="AB14" i="69"/>
  <c r="F14" i="69"/>
  <c r="AA14" i="69"/>
  <c r="Q13" i="69"/>
  <c r="Z13" i="69"/>
  <c r="J13" i="69"/>
  <c r="AC13" i="69"/>
  <c r="H13" i="69"/>
  <c r="AB13" i="69"/>
  <c r="F13" i="69"/>
  <c r="AA13" i="69"/>
  <c r="Q12" i="69"/>
  <c r="Z12" i="69"/>
  <c r="J12" i="69"/>
  <c r="AC12" i="69"/>
  <c r="H12" i="69"/>
  <c r="AB12" i="69"/>
  <c r="F12" i="69"/>
  <c r="AA12" i="69"/>
  <c r="Q11" i="69"/>
  <c r="Z11" i="69"/>
  <c r="J11" i="69"/>
  <c r="AC11" i="69"/>
  <c r="H11" i="69"/>
  <c r="AB11" i="69"/>
  <c r="F11" i="69"/>
  <c r="AA11" i="69"/>
  <c r="Q10" i="69"/>
  <c r="Z10" i="69"/>
  <c r="J10" i="69"/>
  <c r="AC10" i="69"/>
  <c r="H10" i="69"/>
  <c r="AB10" i="69"/>
  <c r="F10" i="69"/>
  <c r="AA10" i="69"/>
  <c r="Q9" i="69"/>
  <c r="Z9" i="69"/>
  <c r="J9" i="69"/>
  <c r="AC9" i="69"/>
  <c r="H9" i="69"/>
  <c r="AB9" i="69"/>
  <c r="F9" i="69"/>
  <c r="AA9" i="69"/>
  <c r="J8" i="69"/>
  <c r="W8" i="69"/>
  <c r="H8" i="69"/>
  <c r="AB8" i="69"/>
  <c r="F8" i="69"/>
  <c r="S8" i="69"/>
  <c r="B60" i="68"/>
  <c r="D30" i="73"/>
  <c r="D1" i="73"/>
  <c r="D30" i="46"/>
  <c r="C34" i="34"/>
  <c r="F82" i="69"/>
  <c r="G82" i="69"/>
  <c r="H19" i="69"/>
  <c r="AB19" i="69"/>
  <c r="J19" i="69"/>
  <c r="AC19" i="69"/>
  <c r="F19" i="69"/>
  <c r="AA19" i="69"/>
  <c r="F78" i="69"/>
  <c r="G78" i="69"/>
  <c r="J15" i="69"/>
  <c r="AC15" i="69"/>
  <c r="F15" i="69"/>
  <c r="AA15" i="69"/>
  <c r="H15" i="69"/>
  <c r="AB15" i="69"/>
  <c r="F80" i="69"/>
  <c r="G80" i="69"/>
  <c r="H17" i="69"/>
  <c r="AB17" i="69"/>
  <c r="J17" i="69"/>
  <c r="AC17" i="69"/>
  <c r="F17" i="69"/>
  <c r="AA17" i="69"/>
  <c r="F88" i="69"/>
  <c r="G88" i="69"/>
  <c r="H88" i="69"/>
  <c r="I88" i="69"/>
  <c r="J88" i="69"/>
  <c r="K88" i="69"/>
  <c r="L88" i="69"/>
  <c r="M88" i="69"/>
  <c r="F25" i="69"/>
  <c r="AA25" i="69"/>
  <c r="U8" i="69"/>
  <c r="U9" i="69"/>
  <c r="S10" i="69"/>
  <c r="W10" i="69"/>
  <c r="U11" i="69"/>
  <c r="S12" i="69"/>
  <c r="W12" i="69"/>
  <c r="U13" i="69"/>
  <c r="S14" i="69"/>
  <c r="W14" i="69"/>
  <c r="S15" i="69"/>
  <c r="W15" i="69"/>
  <c r="W17" i="69"/>
  <c r="W19" i="69"/>
  <c r="AA21" i="69"/>
  <c r="S21" i="69"/>
  <c r="AC21" i="69"/>
  <c r="W21" i="69"/>
  <c r="U21" i="69"/>
  <c r="U23" i="69"/>
  <c r="AA8" i="69"/>
  <c r="AC8" i="69"/>
  <c r="S9" i="69"/>
  <c r="W9" i="69"/>
  <c r="U10" i="69"/>
  <c r="S11" i="69"/>
  <c r="W11" i="69"/>
  <c r="U12" i="69"/>
  <c r="S13" i="69"/>
  <c r="W13" i="69"/>
  <c r="U14" i="69"/>
  <c r="U15" i="69"/>
  <c r="U17" i="69"/>
  <c r="W25" i="69"/>
  <c r="U27" i="69"/>
  <c r="S28" i="69"/>
  <c r="W28" i="69"/>
  <c r="U29" i="69"/>
  <c r="S30" i="69"/>
  <c r="W30" i="69"/>
  <c r="U31" i="69"/>
  <c r="S32" i="69"/>
  <c r="W32" i="69"/>
  <c r="U33" i="69"/>
  <c r="U35" i="69"/>
  <c r="S36" i="69"/>
  <c r="W36" i="69"/>
  <c r="U37" i="69"/>
  <c r="S38" i="69"/>
  <c r="W38" i="69"/>
  <c r="U39" i="69"/>
  <c r="S40" i="69"/>
  <c r="W40" i="69"/>
  <c r="U41" i="69"/>
  <c r="S42" i="69"/>
  <c r="W42" i="69"/>
  <c r="U43" i="69"/>
  <c r="S44" i="69"/>
  <c r="W44" i="69"/>
  <c r="U45" i="69"/>
  <c r="S46" i="69"/>
  <c r="W46" i="69"/>
  <c r="U47" i="69"/>
  <c r="AC47" i="69"/>
  <c r="S23" i="69"/>
  <c r="W23" i="69"/>
  <c r="U25" i="69"/>
  <c r="S27" i="69"/>
  <c r="W27" i="69"/>
  <c r="U28" i="69"/>
  <c r="S29" i="69"/>
  <c r="W29" i="69"/>
  <c r="U30" i="69"/>
  <c r="S31" i="69"/>
  <c r="W31" i="69"/>
  <c r="U32" i="69"/>
  <c r="S33" i="69"/>
  <c r="W33" i="69"/>
  <c r="S35" i="69"/>
  <c r="W35" i="69"/>
  <c r="U36" i="69"/>
  <c r="S37" i="69"/>
  <c r="W37" i="69"/>
  <c r="U38" i="69"/>
  <c r="S39" i="69"/>
  <c r="W39" i="69"/>
  <c r="U40" i="69"/>
  <c r="S41" i="69"/>
  <c r="W41" i="69"/>
  <c r="U42" i="69"/>
  <c r="S43" i="69"/>
  <c r="W43" i="69"/>
  <c r="U44" i="69"/>
  <c r="S45" i="69"/>
  <c r="W45" i="69"/>
  <c r="U46" i="69"/>
  <c r="S47" i="69"/>
  <c r="U19" i="69"/>
  <c r="S19" i="69"/>
  <c r="S17" i="69"/>
  <c r="S25" i="69"/>
  <c r="F25" i="12"/>
  <c r="C25" i="12"/>
  <c r="M15" i="49"/>
  <c r="L15" i="49"/>
  <c r="K15" i="49"/>
  <c r="J15" i="49"/>
  <c r="I15" i="49"/>
  <c r="H15" i="49"/>
  <c r="G15" i="49"/>
  <c r="F15" i="49"/>
  <c r="E15" i="49"/>
  <c r="D15" i="49"/>
  <c r="C15" i="49"/>
  <c r="B15" i="49"/>
  <c r="J50" i="15"/>
  <c r="J51" i="15"/>
  <c r="N16" i="59"/>
  <c r="Q16" i="59"/>
  <c r="P16" i="59"/>
  <c r="L4" i="9"/>
  <c r="M4" i="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N4" i="63"/>
  <c r="A27" i="51"/>
  <c r="B20" i="63"/>
  <c r="K75" i="9"/>
  <c r="K6" i="4"/>
  <c r="K76" i="9"/>
  <c r="K77" i="9"/>
  <c r="K79" i="9"/>
  <c r="K81" i="9"/>
  <c r="O76" i="9"/>
  <c r="L76" i="9"/>
  <c r="B22" i="31"/>
  <c r="E15" i="66"/>
  <c r="F15" i="66"/>
  <c r="E16" i="66"/>
  <c r="F16" i="66"/>
  <c r="E17" i="66"/>
  <c r="F17" i="66"/>
  <c r="E18" i="66"/>
  <c r="F18" i="66"/>
  <c r="E19" i="66"/>
  <c r="F19" i="66"/>
  <c r="E20" i="66"/>
  <c r="F20" i="66"/>
  <c r="E21" i="66"/>
  <c r="F21" i="66"/>
  <c r="E22" i="66"/>
  <c r="F22" i="66"/>
  <c r="E23" i="66"/>
  <c r="F23" i="66"/>
  <c r="B3" i="66"/>
  <c r="U15" i="59"/>
  <c r="S2" i="31"/>
  <c r="M2" i="31"/>
  <c r="N2" i="31"/>
  <c r="O2" i="31"/>
  <c r="P2" i="31"/>
  <c r="Q2" i="31"/>
  <c r="R2" i="31"/>
  <c r="C1" i="65"/>
  <c r="N1" i="65"/>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C57" i="10"/>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B21" i="63"/>
  <c r="B67" i="63"/>
  <c r="I19" i="46"/>
  <c r="D80" i="59"/>
  <c r="F79" i="59"/>
  <c r="F78" i="59"/>
  <c r="F77" i="59"/>
  <c r="E79" i="59"/>
  <c r="E78" i="59"/>
  <c r="E77" i="59"/>
  <c r="C79" i="59"/>
  <c r="D79" i="59"/>
  <c r="B79" i="59"/>
  <c r="B78" i="59"/>
  <c r="B77" i="59"/>
  <c r="D76" i="59"/>
  <c r="F75" i="59"/>
  <c r="F74" i="59"/>
  <c r="F73" i="59"/>
  <c r="E75" i="59"/>
  <c r="E74" i="59"/>
  <c r="E73" i="59"/>
  <c r="C75" i="59"/>
  <c r="D75" i="59"/>
  <c r="B75" i="59"/>
  <c r="B74" i="59"/>
  <c r="B73"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F59" i="59"/>
  <c r="V59" i="59"/>
  <c r="E59" i="59"/>
  <c r="E58" i="59"/>
  <c r="P58" i="59"/>
  <c r="C59" i="59"/>
  <c r="B59" i="59"/>
  <c r="N59" i="59"/>
  <c r="F58" i="59"/>
  <c r="F57" i="59"/>
  <c r="Q57" i="59"/>
  <c r="B58" i="59"/>
  <c r="D56" i="59"/>
  <c r="Q55" i="59"/>
  <c r="P55" i="59"/>
  <c r="O55" i="59"/>
  <c r="N55" i="59"/>
  <c r="Q54" i="59"/>
  <c r="P54" i="59"/>
  <c r="O54" i="59"/>
  <c r="N54" i="59"/>
  <c r="Q53" i="59"/>
  <c r="P53" i="59"/>
  <c r="O53" i="59"/>
  <c r="N53" i="59"/>
  <c r="Q52" i="59"/>
  <c r="F53" i="59"/>
  <c r="F54" i="59"/>
  <c r="F55" i="59"/>
  <c r="V55"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C50" i="59"/>
  <c r="N48" i="59"/>
  <c r="B49" i="59"/>
  <c r="B50" i="59"/>
  <c r="B51" i="59"/>
  <c r="S51" i="59"/>
  <c r="D48" i="59"/>
  <c r="Q47" i="59"/>
  <c r="P47" i="59"/>
  <c r="O47" i="59"/>
  <c r="N47" i="59"/>
  <c r="Q46" i="59"/>
  <c r="P46" i="59"/>
  <c r="O46" i="59"/>
  <c r="N46" i="59"/>
  <c r="Q45" i="59"/>
  <c r="P45" i="59"/>
  <c r="O45" i="59"/>
  <c r="N45" i="59"/>
  <c r="Q44" i="59"/>
  <c r="F45" i="59"/>
  <c r="F46" i="59"/>
  <c r="F47" i="59"/>
  <c r="V47" i="59"/>
  <c r="P44" i="59"/>
  <c r="E45" i="59"/>
  <c r="E46" i="59"/>
  <c r="E47" i="59"/>
  <c r="U47" i="59"/>
  <c r="O44" i="59"/>
  <c r="C45" i="59"/>
  <c r="C46" i="59"/>
  <c r="N44" i="59"/>
  <c r="B45" i="59"/>
  <c r="D44" i="59"/>
  <c r="Q43" i="59"/>
  <c r="P43" i="59"/>
  <c r="O43" i="59"/>
  <c r="N43" i="59"/>
  <c r="Q42" i="59"/>
  <c r="P42" i="59"/>
  <c r="O42" i="59"/>
  <c r="N42" i="59"/>
  <c r="Q41" i="59"/>
  <c r="P41" i="59"/>
  <c r="O41" i="59"/>
  <c r="N41" i="59"/>
  <c r="Q40" i="59"/>
  <c r="F41" i="59"/>
  <c r="F42" i="59"/>
  <c r="F43" i="59"/>
  <c r="V43" i="59"/>
  <c r="P40" i="59"/>
  <c r="E41" i="59"/>
  <c r="E42" i="59"/>
  <c r="E43" i="59"/>
  <c r="U43" i="59"/>
  <c r="O40" i="59"/>
  <c r="C41" i="59"/>
  <c r="N40" i="59"/>
  <c r="B41" i="59"/>
  <c r="B42" i="59"/>
  <c r="B43" i="59"/>
  <c r="S43" i="59"/>
  <c r="D40" i="59"/>
  <c r="T39" i="59"/>
  <c r="Q39" i="59"/>
  <c r="P39" i="59"/>
  <c r="O39" i="59"/>
  <c r="N39" i="59"/>
  <c r="D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E34" i="59"/>
  <c r="E35" i="59"/>
  <c r="U35" i="59"/>
  <c r="O32" i="59"/>
  <c r="C33" i="59"/>
  <c r="N32" i="59"/>
  <c r="B33" i="59"/>
  <c r="B34" i="59"/>
  <c r="B35" i="59"/>
  <c r="S35" i="59"/>
  <c r="D32" i="59"/>
  <c r="Q31" i="59"/>
  <c r="P31" i="59"/>
  <c r="N31" i="59"/>
  <c r="AB30" i="59"/>
  <c r="AA30" i="59"/>
  <c r="Y30" i="59"/>
  <c r="Z30" i="59"/>
  <c r="X30" i="59"/>
  <c r="AB29" i="59"/>
  <c r="AA29" i="59"/>
  <c r="Y29" i="59"/>
  <c r="Z29" i="59"/>
  <c r="X29" i="59"/>
  <c r="X28" i="59"/>
  <c r="Q27" i="59"/>
  <c r="AB27" i="59"/>
  <c r="P27" i="59"/>
  <c r="AA27" i="59"/>
  <c r="Y27" i="59"/>
  <c r="Z27" i="59"/>
  <c r="N27" i="59"/>
  <c r="AB26" i="59"/>
  <c r="AA26" i="59"/>
  <c r="Y26" i="59"/>
  <c r="Z26" i="59"/>
  <c r="AB25" i="59"/>
  <c r="AA25" i="59"/>
  <c r="Y25" i="59"/>
  <c r="Z25" i="59"/>
  <c r="AB24" i="59"/>
  <c r="AA24" i="59"/>
  <c r="X24" i="59"/>
  <c r="Q23" i="59"/>
  <c r="P23" i="59"/>
  <c r="AA23" i="59"/>
  <c r="N23" i="59"/>
  <c r="X23" i="59"/>
  <c r="AA22" i="59"/>
  <c r="X22" i="59"/>
  <c r="AA21" i="59"/>
  <c r="X21" i="59"/>
  <c r="V23" i="59"/>
  <c r="Y20" i="59"/>
  <c r="Z20" i="59"/>
  <c r="AB3" i="59"/>
  <c r="S59" i="59"/>
  <c r="F38" i="59"/>
  <c r="F39" i="59"/>
  <c r="V39" i="59"/>
  <c r="F50" i="59"/>
  <c r="F51" i="59"/>
  <c r="V51" i="59"/>
  <c r="C34" i="59"/>
  <c r="C35" i="59"/>
  <c r="D33" i="59"/>
  <c r="D45" i="59"/>
  <c r="D49" i="59"/>
  <c r="C54" i="59"/>
  <c r="C55" i="59"/>
  <c r="D53" i="59"/>
  <c r="E57" i="59"/>
  <c r="P56" i="59"/>
  <c r="N58" i="59"/>
  <c r="B57" i="59"/>
  <c r="N56" i="59"/>
  <c r="Q58" i="59"/>
  <c r="T59" i="59"/>
  <c r="O59" i="59"/>
  <c r="D59" i="59"/>
  <c r="C58" i="59"/>
  <c r="P59" i="59"/>
  <c r="U59" i="59"/>
  <c r="Q59" i="59"/>
  <c r="C62" i="59"/>
  <c r="E62" i="59"/>
  <c r="E61" i="59"/>
  <c r="D63" i="59"/>
  <c r="C66" i="59"/>
  <c r="C65" i="59"/>
  <c r="D65" i="59"/>
  <c r="E66" i="59"/>
  <c r="E65" i="59"/>
  <c r="D67" i="59"/>
  <c r="C70" i="59"/>
  <c r="E70" i="59"/>
  <c r="E69" i="59"/>
  <c r="D71" i="59"/>
  <c r="C74" i="59"/>
  <c r="C73" i="59"/>
  <c r="D73" i="59"/>
  <c r="C78" i="59"/>
  <c r="D78" i="59"/>
  <c r="U16" i="4"/>
  <c r="S16" i="4"/>
  <c r="Q16" i="4"/>
  <c r="O16" i="4"/>
  <c r="M16" i="4"/>
  <c r="K16" i="4"/>
  <c r="P57" i="59"/>
  <c r="C77" i="59"/>
  <c r="D77" i="59"/>
  <c r="D70" i="59"/>
  <c r="C69" i="59"/>
  <c r="D69" i="59"/>
  <c r="D62" i="59"/>
  <c r="C61" i="59"/>
  <c r="D61" i="59"/>
  <c r="C57" i="59"/>
  <c r="D57" i="59"/>
  <c r="O58" i="59"/>
  <c r="D58" i="59"/>
  <c r="D74" i="59"/>
  <c r="D66" i="59"/>
  <c r="D54" i="59"/>
  <c r="D34" i="59"/>
  <c r="O57" i="59"/>
  <c r="O56" i="59"/>
  <c r="O27" i="6"/>
  <c r="N27" i="6"/>
  <c r="P26" i="6"/>
  <c r="L26" i="6"/>
  <c r="P25" i="6"/>
  <c r="L25" i="6"/>
  <c r="P24" i="6"/>
  <c r="L24" i="6"/>
  <c r="P23" i="6"/>
  <c r="L23" i="6"/>
  <c r="P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Q21" i="33"/>
  <c r="Z21" i="33"/>
  <c r="C21" i="33"/>
  <c r="D83" i="33"/>
  <c r="E83" i="33"/>
  <c r="F83" i="33"/>
  <c r="G83" i="33"/>
  <c r="Q21" i="21"/>
  <c r="Z21" i="21"/>
  <c r="D83" i="21"/>
  <c r="E83" i="21"/>
  <c r="F21" i="21"/>
  <c r="AA21" i="21"/>
  <c r="C21" i="21"/>
  <c r="Q27" i="40"/>
  <c r="Z27" i="40"/>
  <c r="D96" i="40"/>
  <c r="E96" i="40"/>
  <c r="F27" i="40"/>
  <c r="AA27" i="40"/>
  <c r="Q31" i="39"/>
  <c r="Z31" i="39"/>
  <c r="D105" i="39"/>
  <c r="E105" i="39"/>
  <c r="B85" i="46"/>
  <c r="B65" i="46"/>
  <c r="S18" i="36"/>
  <c r="S18" i="35"/>
  <c r="S21" i="37"/>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D58" i="46"/>
  <c r="K50" i="46"/>
  <c r="D83"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D76" i="46"/>
  <c r="D70" i="46"/>
  <c r="D65" i="46"/>
  <c r="D64" i="46"/>
  <c r="D59"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J50" i="46"/>
  <c r="D50" i="46"/>
  <c r="J54" i="46"/>
  <c r="D54" i="46"/>
  <c r="Q73" i="15"/>
  <c r="Q60" i="15"/>
  <c r="Q59" i="15"/>
  <c r="Q52" i="15"/>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D10" i="1"/>
  <c r="R12" i="1"/>
  <c r="B13" i="1"/>
  <c r="E13" i="1"/>
  <c r="A9" i="1"/>
  <c r="A10" i="1"/>
  <c r="T4" i="1"/>
  <c r="G79" i="36"/>
  <c r="G85" i="35"/>
  <c r="G97" i="37"/>
  <c r="G110" i="34"/>
  <c r="G109" i="33"/>
  <c r="L2" i="31"/>
  <c r="K2" i="31"/>
  <c r="J2" i="31"/>
  <c r="I2" i="31"/>
  <c r="H2" i="31"/>
  <c r="G2" i="31"/>
  <c r="F2" i="31"/>
  <c r="E2" i="31"/>
  <c r="D2" i="31"/>
  <c r="C2" i="31"/>
  <c r="D60" i="15"/>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F6" i="1"/>
  <c r="I19" i="4"/>
  <c r="H19" i="4"/>
  <c r="G19" i="4"/>
  <c r="F10" i="1"/>
  <c r="F9" i="1"/>
  <c r="AP9" i="1"/>
  <c r="F19" i="4"/>
  <c r="F8" i="1"/>
  <c r="AE8" i="1"/>
  <c r="E19" i="4"/>
  <c r="F7" i="1"/>
  <c r="B2" i="52"/>
  <c r="E11" i="52"/>
  <c r="I2" i="46"/>
  <c r="N12" i="46"/>
  <c r="A7" i="46"/>
  <c r="F41" i="4"/>
  <c r="J52" i="40"/>
  <c r="H61" i="49"/>
  <c r="H39" i="46"/>
  <c r="H38" i="46"/>
  <c r="H37" i="46"/>
  <c r="H36" i="46"/>
  <c r="H35" i="46"/>
  <c r="H34" i="46"/>
  <c r="H33" i="46"/>
  <c r="J20" i="46"/>
  <c r="C18" i="46"/>
  <c r="F15" i="46"/>
  <c r="E15" i="46"/>
  <c r="D15" i="46"/>
  <c r="C15" i="46"/>
  <c r="C10" i="46"/>
  <c r="C11" i="46"/>
  <c r="C9" i="46"/>
  <c r="E32" i="6"/>
  <c r="L19" i="6"/>
  <c r="L27" i="6"/>
  <c r="C9" i="75"/>
  <c r="C10" i="75"/>
  <c r="C6" i="75"/>
  <c r="D38" i="4"/>
  <c r="C39" i="4"/>
  <c r="C35" i="4"/>
  <c r="E16" i="12"/>
  <c r="F14" i="12"/>
  <c r="F15" i="12"/>
  <c r="K6" i="1"/>
  <c r="M6" i="1"/>
  <c r="C13" i="12"/>
  <c r="C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BC11" i="3"/>
  <c r="BD11" i="3"/>
  <c r="C11"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AC38" i="34"/>
  <c r="D114" i="34"/>
  <c r="F38" i="34"/>
  <c r="AA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c r="D126" i="39"/>
  <c r="E126" i="39"/>
  <c r="F126" i="39"/>
  <c r="G126" i="39"/>
  <c r="H126" i="39"/>
  <c r="I126" i="39"/>
  <c r="J126" i="39"/>
  <c r="K126" i="39"/>
  <c r="L126" i="39"/>
  <c r="M126" i="39"/>
  <c r="D122" i="39"/>
  <c r="E122" i="39"/>
  <c r="F122" i="39"/>
  <c r="G122" i="39"/>
  <c r="H122" i="39"/>
  <c r="I122" i="39"/>
  <c r="J122" i="39"/>
  <c r="K122" i="39"/>
  <c r="L122" i="39"/>
  <c r="M12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D99" i="39"/>
  <c r="E99" i="39"/>
  <c r="F99" i="39"/>
  <c r="G99" i="39"/>
  <c r="D97" i="39"/>
  <c r="D95" i="39"/>
  <c r="E95" i="39"/>
  <c r="F95" i="39"/>
  <c r="G95" i="39"/>
  <c r="D93" i="39"/>
  <c r="E93" i="39"/>
  <c r="F93" i="39"/>
  <c r="G93" i="39"/>
  <c r="F91" i="39"/>
  <c r="G91"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F14" i="34"/>
  <c r="B73" i="34"/>
  <c r="B71" i="34"/>
  <c r="J12"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AC36" i="34"/>
  <c r="D107" i="34"/>
  <c r="E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F86" i="34"/>
  <c r="G86" i="34"/>
  <c r="D82" i="34"/>
  <c r="E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Q42" i="34"/>
  <c r="Z42" i="34"/>
  <c r="Q41" i="34"/>
  <c r="Z41" i="34"/>
  <c r="Q40" i="34"/>
  <c r="Z40" i="34"/>
  <c r="F40" i="34"/>
  <c r="S40" i="34"/>
  <c r="Q39" i="34"/>
  <c r="Z39" i="34"/>
  <c r="J39" i="34"/>
  <c r="AC39" i="34"/>
  <c r="H39" i="34"/>
  <c r="U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M102" i="21"/>
  <c r="D102" i="21"/>
  <c r="E102" i="21"/>
  <c r="F102" i="21"/>
  <c r="G102" i="21"/>
  <c r="H102" i="21"/>
  <c r="I102" i="21"/>
  <c r="J102" i="21"/>
  <c r="K102" i="21"/>
  <c r="L102" i="21"/>
  <c r="C102" i="21"/>
  <c r="C63" i="21"/>
  <c r="F9" i="21"/>
  <c r="S9" i="21"/>
  <c r="B87" i="46"/>
  <c r="C25" i="40"/>
  <c r="B81" i="46"/>
  <c r="B80" i="46"/>
  <c r="B72" i="46"/>
  <c r="B73" i="46"/>
  <c r="B76" i="46"/>
  <c r="B70" i="46"/>
  <c r="B58" i="46"/>
  <c r="B47" i="46"/>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G9" i="12"/>
  <c r="K5" i="3"/>
  <c r="J5" i="3"/>
  <c r="BL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H5" i="3"/>
  <c r="BB11" i="3"/>
  <c r="AD5" i="3"/>
  <c r="AE5" i="3"/>
  <c r="AF5" i="3"/>
  <c r="AG5" i="3"/>
  <c r="AH5" i="3"/>
  <c r="AI5" i="3"/>
  <c r="AJ5" i="3"/>
  <c r="AK5" i="3"/>
  <c r="AM5" i="3"/>
  <c r="AN5" i="3"/>
  <c r="AO5" i="3"/>
  <c r="AP5" i="3"/>
  <c r="AQ5" i="3"/>
  <c r="AR5" i="3"/>
  <c r="AS5" i="3"/>
  <c r="I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U42" i="34"/>
  <c r="E114" i="34"/>
  <c r="H36" i="34"/>
  <c r="U36" i="34"/>
  <c r="F37" i="34"/>
  <c r="AA37" i="34"/>
  <c r="F33" i="34"/>
  <c r="S33" i="34"/>
  <c r="AA28" i="34"/>
  <c r="J10" i="34"/>
  <c r="AC10" i="34"/>
  <c r="J28" i="34"/>
  <c r="W28" i="34"/>
  <c r="S38" i="33"/>
  <c r="E113" i="33"/>
  <c r="F36" i="33"/>
  <c r="S36" i="33"/>
  <c r="F19" i="33"/>
  <c r="S19" i="33"/>
  <c r="J19" i="33"/>
  <c r="S10" i="21"/>
  <c r="W40" i="33"/>
  <c r="F125" i="21"/>
  <c r="G125" i="21"/>
  <c r="G86" i="40"/>
  <c r="AB30" i="36"/>
  <c r="AC34" i="36"/>
  <c r="S22" i="35"/>
  <c r="H29" i="35"/>
  <c r="U34" i="37"/>
  <c r="S34" i="37"/>
  <c r="AA34" i="37"/>
  <c r="AB42" i="34"/>
  <c r="AB40" i="34"/>
  <c r="F113" i="33"/>
  <c r="G113" i="33"/>
  <c r="H113" i="33"/>
  <c r="I113" i="33"/>
  <c r="J113" i="33"/>
  <c r="K113" i="33"/>
  <c r="L113" i="33"/>
  <c r="M113" i="33"/>
  <c r="H37" i="33"/>
  <c r="AB37" i="33"/>
  <c r="S37" i="33"/>
  <c r="AC42" i="34"/>
  <c r="W42" i="34"/>
  <c r="AA42" i="34"/>
  <c r="S42" i="34"/>
  <c r="W38" i="34"/>
  <c r="J37" i="33"/>
  <c r="W37" i="33"/>
  <c r="J42" i="21"/>
  <c r="AC42" i="21"/>
  <c r="J44" i="34"/>
  <c r="AC44" i="34"/>
  <c r="F44" i="34"/>
  <c r="S44" i="34"/>
  <c r="J10" i="35"/>
  <c r="W10" i="35"/>
  <c r="AL5"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I4" i="4"/>
  <c r="K141" i="21"/>
  <c r="K143" i="21"/>
  <c r="K144" i="21"/>
  <c r="I59" i="40"/>
  <c r="C59" i="40"/>
  <c r="I60" i="40"/>
  <c r="C60" i="40"/>
  <c r="W9" i="33"/>
  <c r="F33" i="46"/>
  <c r="H9"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H13" i="39"/>
  <c r="AB13" i="39"/>
  <c r="J13" i="39"/>
  <c r="AC13" i="39"/>
  <c r="AA36" i="35"/>
  <c r="H11" i="37"/>
  <c r="AB11" i="37"/>
  <c r="W37" i="37"/>
  <c r="AA30" i="33"/>
  <c r="AA36" i="37"/>
  <c r="S42" i="33"/>
  <c r="U32" i="33"/>
  <c r="AB17" i="37"/>
  <c r="AC29" i="33"/>
  <c r="AA45" i="33"/>
  <c r="AC11" i="36"/>
  <c r="AC10" i="36"/>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F11" i="34"/>
  <c r="S11" i="34"/>
  <c r="E80" i="34"/>
  <c r="F80" i="34"/>
  <c r="H17" i="34"/>
  <c r="AB17" i="34"/>
  <c r="AC27" i="34"/>
  <c r="W27" i="34"/>
  <c r="S12" i="35"/>
  <c r="AB28" i="35"/>
  <c r="U28" i="35"/>
  <c r="J13" i="33"/>
  <c r="W13" i="33"/>
  <c r="H13" i="33"/>
  <c r="U13" i="33"/>
  <c r="H29" i="33"/>
  <c r="AB29" i="33"/>
  <c r="F29" i="33"/>
  <c r="AA29" i="33"/>
  <c r="H12" i="34"/>
  <c r="AB12" i="34"/>
  <c r="J14" i="34"/>
  <c r="W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H19" i="39"/>
  <c r="J19" i="39"/>
  <c r="W19" i="39"/>
  <c r="H43" i="39"/>
  <c r="U43" i="39"/>
  <c r="J43" i="39"/>
  <c r="F99" i="37"/>
  <c r="AC27" i="37"/>
  <c r="U25" i="35"/>
  <c r="U31" i="34"/>
  <c r="AC40" i="37"/>
  <c r="W40" i="37"/>
  <c r="W27" i="33"/>
  <c r="AC45" i="21"/>
  <c r="S28" i="33"/>
  <c r="S14" i="21"/>
  <c r="AB29" i="35"/>
  <c r="U29" i="35"/>
  <c r="AC19" i="33"/>
  <c r="W19" i="33"/>
  <c r="AC34" i="37"/>
  <c r="S35" i="37"/>
  <c r="AA35" i="37"/>
  <c r="AB10" i="35"/>
  <c r="AA32" i="21"/>
  <c r="S32" i="21"/>
  <c r="U38" i="21"/>
  <c r="AB34" i="21"/>
  <c r="F42" i="21"/>
  <c r="AA42" i="21"/>
  <c r="AB40" i="33"/>
  <c r="U40" i="33"/>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H17" i="39"/>
  <c r="U17" i="39"/>
  <c r="J17" i="39"/>
  <c r="W17" i="39"/>
  <c r="S21" i="39"/>
  <c r="H21" i="39"/>
  <c r="J21" i="39"/>
  <c r="W21" i="39"/>
  <c r="H33" i="39"/>
  <c r="U33" i="39"/>
  <c r="J33" i="39"/>
  <c r="S44" i="39"/>
  <c r="H44" i="39"/>
  <c r="U44" i="39"/>
  <c r="J44" i="39"/>
  <c r="W44" i="39"/>
  <c r="E128" i="39"/>
  <c r="F128" i="39"/>
  <c r="G128" i="39"/>
  <c r="H128" i="39"/>
  <c r="I128" i="39"/>
  <c r="J128" i="39"/>
  <c r="K128" i="39"/>
  <c r="L128" i="39"/>
  <c r="M128" i="39"/>
  <c r="S46" i="39"/>
  <c r="H46" i="39"/>
  <c r="U46" i="39"/>
  <c r="J46" i="39"/>
  <c r="W46" i="39"/>
  <c r="E103" i="39"/>
  <c r="F103" i="39"/>
  <c r="G103" i="39"/>
  <c r="H29" i="39"/>
  <c r="U29" i="39"/>
  <c r="H34" i="39"/>
  <c r="AB34" i="39"/>
  <c r="J34" i="39"/>
  <c r="AC34" i="39"/>
  <c r="H39" i="39"/>
  <c r="AB39" i="39"/>
  <c r="J39" i="39"/>
  <c r="J29" i="35"/>
  <c r="AC29" i="35"/>
  <c r="F29" i="35"/>
  <c r="S29" i="35"/>
  <c r="W30" i="36"/>
  <c r="AC30" i="36"/>
  <c r="S37" i="39"/>
  <c r="H37" i="39"/>
  <c r="U37" i="39"/>
  <c r="J37" i="39"/>
  <c r="W37" i="39"/>
  <c r="F36" i="44"/>
  <c r="F114" i="34"/>
  <c r="G114" i="34"/>
  <c r="H114" i="34"/>
  <c r="I114" i="34"/>
  <c r="J114" i="34"/>
  <c r="K114" i="34"/>
  <c r="L114" i="34"/>
  <c r="M114" i="34"/>
  <c r="H38" i="34"/>
  <c r="U38" i="34"/>
  <c r="H30" i="40"/>
  <c r="AB30" i="40"/>
  <c r="G100" i="40"/>
  <c r="J30" i="40"/>
  <c r="AC30" i="40"/>
  <c r="F38" i="40"/>
  <c r="AA38" i="40"/>
  <c r="AC12" i="21"/>
  <c r="W12" i="21"/>
  <c r="AB33" i="21"/>
  <c r="S35" i="21"/>
  <c r="AB10" i="21"/>
  <c r="U8" i="21"/>
  <c r="AB8" i="21"/>
  <c r="S34" i="21"/>
  <c r="AC36" i="21"/>
  <c r="AB8" i="33"/>
  <c r="U8" i="33"/>
  <c r="E106" i="33"/>
  <c r="H34" i="33"/>
  <c r="U34" i="33"/>
  <c r="F34" i="33"/>
  <c r="S34" i="33"/>
  <c r="E121" i="33"/>
  <c r="F41" i="33"/>
  <c r="S41" i="33"/>
  <c r="E78" i="34"/>
  <c r="F15" i="34"/>
  <c r="AA15" i="34"/>
  <c r="AC28" i="35"/>
  <c r="W28" i="35"/>
  <c r="J20" i="35"/>
  <c r="AC20" i="35"/>
  <c r="E72" i="35"/>
  <c r="F72" i="35"/>
  <c r="G72" i="35"/>
  <c r="H22" i="35"/>
  <c r="AB22" i="35"/>
  <c r="H23" i="35"/>
  <c r="F23" i="35"/>
  <c r="AA23" i="35"/>
  <c r="AB36" i="35"/>
  <c r="U36" i="35"/>
  <c r="W12" i="36"/>
  <c r="AC12" i="36"/>
  <c r="U31" i="36"/>
  <c r="S8" i="37"/>
  <c r="AA8" i="37"/>
  <c r="H14" i="39"/>
  <c r="AB14" i="39"/>
  <c r="J14" i="39"/>
  <c r="AC14" i="39"/>
  <c r="H16" i="39"/>
  <c r="U16" i="39"/>
  <c r="J16" i="39"/>
  <c r="AC16" i="39"/>
  <c r="E97" i="39"/>
  <c r="H27" i="39"/>
  <c r="AB27" i="39"/>
  <c r="J27" i="39"/>
  <c r="AC27" i="39"/>
  <c r="F15" i="40"/>
  <c r="AA15" i="40"/>
  <c r="J15" i="40"/>
  <c r="H15" i="40"/>
  <c r="AB15" i="40"/>
  <c r="E92" i="40"/>
  <c r="F92" i="40"/>
  <c r="H23" i="40"/>
  <c r="U23" i="40"/>
  <c r="H41" i="40"/>
  <c r="AB41" i="40"/>
  <c r="F41" i="40"/>
  <c r="AA41" i="40"/>
  <c r="J41" i="40"/>
  <c r="H36" i="33"/>
  <c r="AB36" i="33"/>
  <c r="H37" i="34"/>
  <c r="U37" i="34"/>
  <c r="H15" i="39"/>
  <c r="U15" i="39"/>
  <c r="J15" i="39"/>
  <c r="AC15" i="39"/>
  <c r="H25" i="39"/>
  <c r="U25" i="39"/>
  <c r="J25" i="39"/>
  <c r="AC25" i="39"/>
  <c r="H45" i="39"/>
  <c r="U45" i="39"/>
  <c r="J45" i="39"/>
  <c r="AC45" i="39"/>
  <c r="H47" i="39"/>
  <c r="AB47" i="39"/>
  <c r="J47" i="39"/>
  <c r="W47"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F34" i="44"/>
  <c r="J42" i="40"/>
  <c r="AC42" i="40"/>
  <c r="J40" i="40"/>
  <c r="AC40" i="40"/>
  <c r="J34" i="40"/>
  <c r="AC34" i="40"/>
  <c r="H16" i="40"/>
  <c r="AB16" i="40"/>
  <c r="H14" i="40"/>
  <c r="U14" i="40"/>
  <c r="F32" i="40"/>
  <c r="AA32" i="40"/>
  <c r="M6" i="46"/>
  <c r="N2" i="46"/>
  <c r="N7" i="46"/>
  <c r="M7" i="46"/>
  <c r="N3" i="46"/>
  <c r="N10" i="46"/>
  <c r="J13" i="40"/>
  <c r="W13" i="40"/>
  <c r="AB14" i="40"/>
  <c r="W40" i="40"/>
  <c r="F27" i="43"/>
  <c r="F71" i="9"/>
  <c r="AC14" i="40"/>
  <c r="W35" i="40"/>
  <c r="S33" i="40"/>
  <c r="AB32" i="40"/>
  <c r="AC47" i="39"/>
  <c r="S47" i="39"/>
  <c r="AB25" i="39"/>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W15" i="34"/>
  <c r="H41" i="33"/>
  <c r="U41" i="33"/>
  <c r="F121" i="33"/>
  <c r="G121" i="33"/>
  <c r="H121" i="33"/>
  <c r="I121" i="33"/>
  <c r="J121" i="33"/>
  <c r="K121" i="33"/>
  <c r="L121" i="33"/>
  <c r="M121" i="33"/>
  <c r="F30" i="40"/>
  <c r="AA30" i="40"/>
  <c r="H100" i="40"/>
  <c r="I100" i="40"/>
  <c r="J100" i="40"/>
  <c r="K100" i="40"/>
  <c r="L100" i="40"/>
  <c r="M100" i="40"/>
  <c r="AB37" i="39"/>
  <c r="AA29" i="35"/>
  <c r="U39" i="39"/>
  <c r="J29" i="39"/>
  <c r="AC29" i="39"/>
  <c r="AB21" i="39"/>
  <c r="U21" i="39"/>
  <c r="AB33" i="36"/>
  <c r="AA11" i="36"/>
  <c r="AA14" i="35"/>
  <c r="S14" i="35"/>
  <c r="G99" i="37"/>
  <c r="F33" i="37"/>
  <c r="AB19" i="39"/>
  <c r="U19" i="39"/>
  <c r="U46" i="34"/>
  <c r="AC30" i="34"/>
  <c r="U29" i="33"/>
  <c r="AC13" i="33"/>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41" i="33"/>
  <c r="AA34" i="33"/>
  <c r="F106" i="33"/>
  <c r="G106" i="33"/>
  <c r="H106" i="33"/>
  <c r="I106" i="33"/>
  <c r="J106" i="33"/>
  <c r="K106" i="33"/>
  <c r="L106" i="33"/>
  <c r="M106" i="33"/>
  <c r="J34" i="33"/>
  <c r="AC34" i="33"/>
  <c r="U30" i="40"/>
  <c r="W29" i="35"/>
  <c r="AC39" i="39"/>
  <c r="W39" i="39"/>
  <c r="S39" i="39"/>
  <c r="U34" i="39"/>
  <c r="AB29" i="39"/>
  <c r="AB46" i="39"/>
  <c r="AB44" i="39"/>
  <c r="AC33" i="39"/>
  <c r="W33" i="39"/>
  <c r="S33" i="39"/>
  <c r="U11" i="36"/>
  <c r="F80" i="35"/>
  <c r="G80" i="35"/>
  <c r="H80" i="35"/>
  <c r="I80" i="35"/>
  <c r="J80" i="35"/>
  <c r="K80" i="35"/>
  <c r="L80" i="35"/>
  <c r="M80" i="35"/>
  <c r="W14" i="35"/>
  <c r="F90" i="34"/>
  <c r="G90" i="34"/>
  <c r="H90" i="34"/>
  <c r="I90" i="34"/>
  <c r="J90" i="34"/>
  <c r="K90" i="34"/>
  <c r="L90" i="34"/>
  <c r="M90" i="34"/>
  <c r="F27" i="34"/>
  <c r="S27" i="34"/>
  <c r="AC43" i="39"/>
  <c r="W43" i="39"/>
  <c r="S43" i="39"/>
  <c r="G96" i="37"/>
  <c r="H96" i="37"/>
  <c r="I96" i="37"/>
  <c r="J96" i="37"/>
  <c r="K96" i="37"/>
  <c r="L96" i="37"/>
  <c r="M96" i="37"/>
  <c r="F32" i="37"/>
  <c r="S32" i="37"/>
  <c r="U11" i="35"/>
  <c r="AB11" i="35"/>
  <c r="S46" i="34"/>
  <c r="U32" i="34"/>
  <c r="U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AC36" i="33"/>
  <c r="F25" i="40"/>
  <c r="AA25" i="40"/>
  <c r="J11" i="33"/>
  <c r="W11" i="33"/>
  <c r="H33" i="37"/>
  <c r="AB33" i="37"/>
  <c r="U20" i="35"/>
  <c r="AB20" i="35"/>
  <c r="W23" i="40"/>
  <c r="D73" i="9"/>
  <c r="N73" i="9"/>
  <c r="AP11" i="1"/>
  <c r="B11" i="1"/>
  <c r="E11" i="1"/>
  <c r="B9" i="1"/>
  <c r="E9" i="1"/>
  <c r="B7" i="1"/>
  <c r="E7" i="1"/>
  <c r="C20" i="43"/>
  <c r="G11" i="1"/>
  <c r="M22" i="44"/>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A40" i="34"/>
  <c r="W33" i="34"/>
  <c r="U30" i="34"/>
  <c r="S32" i="34"/>
  <c r="AB33" i="34"/>
  <c r="AC35" i="34"/>
  <c r="AA30" i="34"/>
  <c r="AC32" i="34"/>
  <c r="AA33" i="34"/>
  <c r="U44" i="34"/>
  <c r="U34" i="34"/>
  <c r="U28" i="34"/>
  <c r="AA27" i="34"/>
  <c r="J25" i="34"/>
  <c r="AC25" i="34"/>
  <c r="H25" i="34"/>
  <c r="U25" i="34"/>
  <c r="F25" i="34"/>
  <c r="S25" i="34"/>
  <c r="J23" i="34"/>
  <c r="AC23" i="34"/>
  <c r="F23" i="34"/>
  <c r="H23" i="34"/>
  <c r="U23" i="34"/>
  <c r="U10" i="34"/>
  <c r="AC40" i="34"/>
  <c r="W44" i="34"/>
  <c r="W29" i="34"/>
  <c r="AC21" i="34"/>
  <c r="W21" i="34"/>
  <c r="AB21" i="34"/>
  <c r="U21" i="34"/>
  <c r="U27" i="34"/>
  <c r="AB41" i="34"/>
  <c r="S13" i="34"/>
  <c r="AA41"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C19" i="39"/>
  <c r="AC38" i="39"/>
  <c r="W29" i="39"/>
  <c r="S29" i="39"/>
  <c r="AC21" i="39"/>
  <c r="S14" i="39"/>
  <c r="AB15" i="39"/>
  <c r="U11" i="39"/>
  <c r="U41" i="39"/>
  <c r="U23" i="39"/>
  <c r="AB38" i="39"/>
  <c r="U31" i="39"/>
  <c r="AB31" i="39"/>
  <c r="S25" i="39"/>
  <c r="S38" i="39"/>
  <c r="S22" i="31"/>
  <c r="D18" i="9"/>
  <c r="M44" i="9"/>
  <c r="M43" i="9"/>
  <c r="B22" i="63"/>
  <c r="M20" i="15"/>
  <c r="D96" i="9"/>
  <c r="M18" i="15"/>
  <c r="A18" i="64"/>
  <c r="B74" i="63"/>
  <c r="C53" i="10"/>
  <c r="A25" i="64"/>
  <c r="A18" i="51"/>
  <c r="B14" i="63"/>
  <c r="F3" i="35"/>
  <c r="K1" i="43"/>
  <c r="K1" i="12"/>
  <c r="G1" i="44"/>
  <c r="G28" i="12"/>
  <c r="G26" i="12"/>
  <c r="D24" i="44"/>
  <c r="D26" i="44"/>
  <c r="G23" i="43"/>
  <c r="N4" i="46"/>
  <c r="F47" i="46"/>
  <c r="H53" i="46"/>
  <c r="M2" i="46"/>
  <c r="N9" i="46"/>
  <c r="M12" i="46"/>
  <c r="M3" i="46"/>
  <c r="H6" i="48"/>
  <c r="H5" i="48"/>
  <c r="F36" i="46"/>
  <c r="F39" i="46"/>
  <c r="H11" i="48"/>
  <c r="D84" i="46"/>
  <c r="E80" i="46"/>
  <c r="B78" i="46"/>
  <c r="E47" i="46"/>
  <c r="A4" i="64"/>
  <c r="A4" i="51"/>
  <c r="C51" i="10"/>
  <c r="I100" i="46"/>
  <c r="N100" i="46"/>
  <c r="H100" i="46"/>
  <c r="F108" i="46"/>
  <c r="B45" i="46"/>
  <c r="E100" i="46"/>
  <c r="G100" i="46"/>
  <c r="C100" i="46"/>
  <c r="J100" i="46"/>
  <c r="M100" i="46"/>
  <c r="AA12" i="36"/>
  <c r="U12" i="35"/>
  <c r="AB12" i="35"/>
  <c r="W11" i="35"/>
  <c r="AA11" i="35"/>
  <c r="S14" i="37"/>
  <c r="U13" i="37"/>
  <c r="S13" i="21"/>
  <c r="C24" i="9"/>
  <c r="C25" i="9"/>
  <c r="G8" i="1"/>
  <c r="B6" i="63"/>
  <c r="L5" i="54"/>
  <c r="B39" i="63"/>
  <c r="K5" i="54"/>
  <c r="B38" i="63"/>
  <c r="T41" i="4"/>
  <c r="A17" i="64"/>
  <c r="B46" i="50"/>
  <c r="B4" i="63"/>
  <c r="C46" i="36"/>
  <c r="C48" i="35"/>
  <c r="C52" i="37"/>
  <c r="D52" i="37"/>
  <c r="E52" i="37"/>
  <c r="F52" i="37"/>
  <c r="G52" i="37"/>
  <c r="H52" i="37"/>
  <c r="I52" i="37"/>
  <c r="J52" i="37"/>
  <c r="K52" i="37"/>
  <c r="O19" i="46"/>
  <c r="H86" i="46"/>
  <c r="H10" i="48"/>
  <c r="H85" i="46"/>
  <c r="R11" i="1"/>
  <c r="R13" i="1"/>
  <c r="B6" i="1"/>
  <c r="E6" i="1"/>
  <c r="B10" i="1"/>
  <c r="E10" i="1"/>
  <c r="B8" i="1"/>
  <c r="E8" i="1"/>
  <c r="B12" i="1"/>
  <c r="E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W47" i="34"/>
  <c r="AB29" i="34"/>
  <c r="AB47" i="34"/>
  <c r="AB13" i="34"/>
  <c r="AC13" i="34"/>
  <c r="S47" i="34"/>
  <c r="AA2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W34" i="39"/>
  <c r="W10" i="39"/>
  <c r="U42" i="39"/>
  <c r="W40" i="39"/>
  <c r="S32" i="40"/>
  <c r="C27" i="39"/>
  <c r="C17" i="40"/>
  <c r="C19" i="40"/>
  <c r="C17" i="39"/>
  <c r="C19" i="39"/>
  <c r="C21" i="39"/>
  <c r="C23" i="40"/>
  <c r="B48" i="46"/>
  <c r="B51" i="46"/>
  <c r="B55" i="46"/>
  <c r="B59" i="46"/>
  <c r="B62" i="46"/>
  <c r="B66" i="46"/>
  <c r="B53" i="46"/>
  <c r="B64" i="46"/>
  <c r="D24" i="15"/>
  <c r="K15" i="1"/>
  <c r="S14" i="36"/>
  <c r="AB20" i="36"/>
  <c r="AA20" i="36"/>
  <c r="AC14" i="36"/>
  <c r="W14" i="36"/>
  <c r="U14" i="36"/>
  <c r="AB14" i="36"/>
  <c r="U18" i="36"/>
  <c r="AB18" i="36"/>
  <c r="AA26" i="35"/>
  <c r="S26" i="35"/>
  <c r="U26" i="35"/>
  <c r="AB26" i="35"/>
  <c r="W26" i="35"/>
  <c r="AC26" i="35"/>
  <c r="S19" i="37"/>
  <c r="W19" i="37"/>
  <c r="AB19" i="37"/>
  <c r="U19" i="37"/>
  <c r="AC17" i="37"/>
  <c r="W17" i="37"/>
  <c r="AA23" i="34"/>
  <c r="S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AT6" i="3"/>
  <c r="A9" i="64"/>
  <c r="A9" i="51"/>
  <c r="B9" i="63"/>
  <c r="A3" i="55"/>
  <c r="B56" i="63"/>
  <c r="E4" i="4"/>
  <c r="B21" i="55"/>
  <c r="B72" i="63"/>
  <c r="C4" i="4"/>
  <c r="B20" i="55"/>
  <c r="B70" i="63"/>
  <c r="G66" i="36"/>
  <c r="J18" i="36"/>
  <c r="W18" i="36"/>
  <c r="AC18" i="36"/>
  <c r="C45" i="9"/>
  <c r="H14" i="66"/>
  <c r="B7" i="66"/>
  <c r="C44" i="9"/>
  <c r="G14" i="66"/>
  <c r="B6" i="66"/>
  <c r="O40" i="9"/>
  <c r="K31" i="9"/>
  <c r="K32" i="9"/>
  <c r="R7" i="54"/>
  <c r="B52" i="63"/>
  <c r="N69" i="9"/>
  <c r="O39" i="9"/>
  <c r="K29" i="9"/>
  <c r="M86" i="9"/>
  <c r="N86" i="9"/>
  <c r="M84" i="9"/>
  <c r="N84" i="9"/>
  <c r="M88" i="9"/>
  <c r="N88" i="9"/>
  <c r="M87" i="9"/>
  <c r="N87" i="9"/>
  <c r="M85" i="9"/>
  <c r="N85" i="9"/>
  <c r="M83" i="9"/>
  <c r="N83" i="9"/>
  <c r="N89" i="9"/>
  <c r="O89" i="9"/>
  <c r="K30" i="9"/>
  <c r="R6" i="54"/>
  <c r="B50" i="63"/>
  <c r="N76" i="9"/>
  <c r="C46" i="9"/>
  <c r="K33" i="9"/>
  <c r="O41" i="9"/>
  <c r="K34" i="9"/>
  <c r="R8" i="54"/>
  <c r="B54" i="63"/>
  <c r="A25" i="51"/>
  <c r="B18" i="63"/>
  <c r="J17" i="46"/>
  <c r="F34" i="46"/>
  <c r="F37" i="46"/>
  <c r="H49" i="46"/>
  <c r="U11" i="59"/>
  <c r="H1" i="65"/>
  <c r="H51" i="46"/>
  <c r="E17" i="46"/>
  <c r="O17" i="46"/>
  <c r="L17" i="46"/>
  <c r="O13" i="1"/>
  <c r="P13" i="1"/>
  <c r="O12" i="1"/>
  <c r="P12" i="1"/>
  <c r="G13" i="1"/>
  <c r="D46" i="36"/>
  <c r="E46" i="36"/>
  <c r="H50" i="46"/>
  <c r="F35" i="46"/>
  <c r="D100" i="46"/>
  <c r="AF12" i="46"/>
  <c r="K100" i="46"/>
  <c r="AB12" i="46"/>
  <c r="AJ12" i="46"/>
  <c r="H54" i="46"/>
  <c r="H47" i="46"/>
  <c r="AD12" i="46"/>
  <c r="AH12" i="46"/>
  <c r="H52" i="46"/>
  <c r="H55" i="46"/>
  <c r="I17" i="46"/>
  <c r="H48" i="46"/>
  <c r="M17" i="46"/>
  <c r="N17" i="46"/>
  <c r="X7" i="46"/>
  <c r="H113" i="46"/>
  <c r="F38" i="46"/>
  <c r="C17" i="46"/>
  <c r="H83" i="46"/>
  <c r="H87" i="46"/>
  <c r="H82" i="46"/>
  <c r="H84" i="46"/>
  <c r="H80" i="46"/>
  <c r="D17" i="46"/>
  <c r="H13" i="48"/>
  <c r="K17" i="46"/>
  <c r="H14" i="48"/>
  <c r="H15" i="48"/>
  <c r="M5" i="46"/>
  <c r="M8" i="46"/>
  <c r="C6" i="46"/>
  <c r="M4" i="46"/>
  <c r="N11" i="46"/>
  <c r="M9" i="46"/>
  <c r="N1" i="46"/>
  <c r="N8" i="46"/>
  <c r="F58" i="46"/>
  <c r="F69" i="46"/>
  <c r="H70" i="46"/>
  <c r="G70" i="46"/>
  <c r="N6" i="46"/>
  <c r="M11" i="46"/>
  <c r="N5" i="46"/>
  <c r="M10" i="46"/>
  <c r="M1" i="46"/>
  <c r="H8" i="48"/>
  <c r="H16" i="48"/>
  <c r="H7" i="48"/>
  <c r="H12" i="48"/>
  <c r="G21" i="43"/>
  <c r="G27" i="12"/>
  <c r="G22" i="43"/>
  <c r="G9" i="1"/>
  <c r="L16" i="4"/>
  <c r="N16" i="4"/>
  <c r="D65" i="40"/>
  <c r="D67" i="40"/>
  <c r="C28" i="77"/>
  <c r="C7" i="69"/>
  <c r="D41" i="59"/>
  <c r="C42" i="59"/>
  <c r="V15" i="59"/>
  <c r="D35" i="59"/>
  <c r="T35" i="59"/>
  <c r="C38" i="59"/>
  <c r="D38" i="59"/>
  <c r="D37" i="59"/>
  <c r="C47" i="59"/>
  <c r="D46" i="59"/>
  <c r="D50" i="59"/>
  <c r="C51" i="59"/>
  <c r="N57" i="59"/>
  <c r="U23" i="59"/>
  <c r="AA3" i="59"/>
  <c r="X20" i="59"/>
  <c r="S27" i="59"/>
  <c r="X25" i="59"/>
  <c r="X26" i="59"/>
  <c r="X27" i="59"/>
  <c r="S31" i="59"/>
  <c r="B46" i="59"/>
  <c r="B47" i="59"/>
  <c r="S47" i="59"/>
  <c r="S15" i="59"/>
  <c r="Y6" i="59"/>
  <c r="Z6" i="59"/>
  <c r="AB6" i="59"/>
  <c r="X6" i="59"/>
  <c r="AA6" i="59"/>
  <c r="S11" i="59"/>
  <c r="V11" i="59"/>
  <c r="T55" i="59"/>
  <c r="D55" i="59"/>
  <c r="T47" i="59"/>
  <c r="D47" i="59"/>
  <c r="Y3" i="59"/>
  <c r="Z3" i="59"/>
  <c r="X3" i="59"/>
  <c r="S23" i="59"/>
  <c r="AA20" i="59"/>
  <c r="AB20" i="59"/>
  <c r="Y21" i="59"/>
  <c r="Z21" i="59"/>
  <c r="AB21" i="59"/>
  <c r="Y22" i="59"/>
  <c r="Z22" i="59"/>
  <c r="AB22" i="59"/>
  <c r="Y23" i="59"/>
  <c r="Z23" i="59"/>
  <c r="AB23" i="59"/>
  <c r="Y24" i="59"/>
  <c r="Z24" i="59"/>
  <c r="U27" i="59"/>
  <c r="V27" i="59"/>
  <c r="AA28" i="59"/>
  <c r="U31" i="59"/>
  <c r="AB28" i="59"/>
  <c r="V31" i="59"/>
  <c r="Y28" i="59"/>
  <c r="Z28" i="59"/>
  <c r="Q56" i="59"/>
  <c r="Y19" i="59"/>
  <c r="Z19" i="59"/>
  <c r="AB19" i="59"/>
  <c r="T15" i="59"/>
  <c r="X17" i="59"/>
  <c r="AA18" i="59"/>
  <c r="X18" i="59"/>
  <c r="AB17" i="59"/>
  <c r="Y16" i="59"/>
  <c r="Z16" i="59"/>
  <c r="AB16" i="59"/>
  <c r="X15" i="59"/>
  <c r="AA15" i="59"/>
  <c r="X14" i="59"/>
  <c r="AA14" i="59"/>
  <c r="X13" i="59"/>
  <c r="Y13" i="59"/>
  <c r="Z13" i="59"/>
  <c r="AA13" i="59"/>
  <c r="AB13" i="59"/>
  <c r="Y11" i="59"/>
  <c r="Z11" i="59"/>
  <c r="AB11" i="59"/>
  <c r="X8" i="59"/>
  <c r="Y9" i="59"/>
  <c r="Z9" i="59"/>
  <c r="AA9" i="59"/>
  <c r="AA8" i="59"/>
  <c r="X19" i="59"/>
  <c r="AA19" i="59"/>
  <c r="AA17" i="59"/>
  <c r="AB18" i="59"/>
  <c r="Y18" i="59"/>
  <c r="Z18" i="59"/>
  <c r="Y17" i="59"/>
  <c r="Z17" i="59"/>
  <c r="AA16" i="59"/>
  <c r="X16" i="59"/>
  <c r="Y15" i="59"/>
  <c r="Z15" i="59"/>
  <c r="AB15" i="59"/>
  <c r="Y14" i="59"/>
  <c r="Z14" i="59"/>
  <c r="AB14" i="59"/>
  <c r="X12" i="59"/>
  <c r="Y12" i="59"/>
  <c r="Z12" i="59"/>
  <c r="AA12" i="59"/>
  <c r="AB12" i="59"/>
  <c r="X11" i="59"/>
  <c r="AA11" i="59"/>
  <c r="X9" i="59"/>
  <c r="Y8" i="59"/>
  <c r="Z8" i="59"/>
  <c r="AA10" i="59"/>
  <c r="AB9" i="59"/>
  <c r="X7" i="59"/>
  <c r="AB8" i="59"/>
  <c r="AB10" i="59"/>
  <c r="X10" i="59"/>
  <c r="Y10" i="59"/>
  <c r="Z10" i="59"/>
  <c r="S7" i="59"/>
  <c r="AB7" i="59"/>
  <c r="AB5" i="59"/>
  <c r="X5" i="59"/>
  <c r="V7" i="59"/>
  <c r="AA5" i="59"/>
  <c r="Y5" i="59"/>
  <c r="Z5" i="59"/>
  <c r="F124" i="34"/>
  <c r="J43" i="34"/>
  <c r="AA44" i="34"/>
  <c r="S38" i="34"/>
  <c r="W37" i="34"/>
  <c r="W36" i="34"/>
  <c r="AB35" i="34"/>
  <c r="S45" i="34"/>
  <c r="AC45" i="34"/>
  <c r="AB45" i="34"/>
  <c r="S39" i="34"/>
  <c r="AB39" i="34"/>
  <c r="AB38" i="34"/>
  <c r="AA36" i="34"/>
  <c r="W25" i="34"/>
  <c r="AB25" i="34"/>
  <c r="AA25" i="34"/>
  <c r="W23" i="34"/>
  <c r="AB23" i="34"/>
  <c r="F21" i="34"/>
  <c r="AA21" i="34"/>
  <c r="F82" i="34"/>
  <c r="G82" i="34"/>
  <c r="F19" i="34"/>
  <c r="H19" i="34"/>
  <c r="J19" i="34"/>
  <c r="AC19" i="34"/>
  <c r="W19" i="34"/>
  <c r="S17" i="34"/>
  <c r="W17" i="34"/>
  <c r="U17" i="34"/>
  <c r="U15" i="34"/>
  <c r="AC15" i="34"/>
  <c r="AC12" i="34"/>
  <c r="W12" i="34"/>
  <c r="S14" i="34"/>
  <c r="AA14" i="34"/>
  <c r="AC14" i="34"/>
  <c r="F12" i="34"/>
  <c r="AC11" i="34"/>
  <c r="U11" i="34"/>
  <c r="W10" i="34"/>
  <c r="S10" i="34"/>
  <c r="S9" i="34"/>
  <c r="U9" i="34"/>
  <c r="W9" i="34"/>
  <c r="W8" i="34"/>
  <c r="E10" i="46"/>
  <c r="E11" i="46"/>
  <c r="E9" i="46"/>
  <c r="E8" i="46"/>
  <c r="H61" i="46"/>
  <c r="G61" i="46"/>
  <c r="H64" i="46"/>
  <c r="G64" i="46"/>
  <c r="H59" i="46"/>
  <c r="G59" i="46"/>
  <c r="H65" i="46"/>
  <c r="G65" i="46"/>
  <c r="H58" i="46"/>
  <c r="G58" i="46"/>
  <c r="H63" i="46"/>
  <c r="G63" i="46"/>
  <c r="H66" i="46"/>
  <c r="G66" i="46"/>
  <c r="H62" i="46"/>
  <c r="G62" i="46"/>
  <c r="H60" i="46"/>
  <c r="G60" i="46"/>
  <c r="F28" i="15"/>
  <c r="F30" i="44"/>
  <c r="M20" i="44"/>
  <c r="F70" i="9"/>
  <c r="F32" i="15"/>
  <c r="F59" i="15"/>
  <c r="F72" i="9"/>
  <c r="F66" i="9"/>
  <c r="P72" i="9"/>
  <c r="G30" i="6"/>
  <c r="G31" i="6"/>
  <c r="G6" i="1"/>
  <c r="D59" i="34"/>
  <c r="E59" i="34"/>
  <c r="F59" i="34"/>
  <c r="G59" i="34"/>
  <c r="H59" i="34"/>
  <c r="C27" i="43"/>
  <c r="C28" i="15"/>
  <c r="C30" i="44"/>
  <c r="C31" i="43"/>
  <c r="I14" i="66"/>
  <c r="B8" i="66"/>
  <c r="AA7" i="59"/>
  <c r="P23" i="46"/>
  <c r="P24" i="46"/>
  <c r="B68" i="40"/>
  <c r="P21" i="46"/>
  <c r="P22" i="46"/>
  <c r="J54" i="44"/>
  <c r="F33" i="44"/>
  <c r="M17" i="15"/>
  <c r="M19" i="44"/>
  <c r="F58" i="15"/>
  <c r="F31" i="15"/>
  <c r="H71" i="46"/>
  <c r="G71" i="46"/>
  <c r="M71" i="46"/>
  <c r="N71" i="46"/>
  <c r="H73" i="46"/>
  <c r="G73" i="46"/>
  <c r="M73" i="46"/>
  <c r="H77" i="46"/>
  <c r="G77" i="46"/>
  <c r="M77" i="46"/>
  <c r="H75" i="46"/>
  <c r="G75" i="46"/>
  <c r="M75" i="46"/>
  <c r="N75" i="46"/>
  <c r="H76" i="46"/>
  <c r="G76" i="46"/>
  <c r="M76" i="46"/>
  <c r="N76" i="46"/>
  <c r="K17" i="4"/>
  <c r="A22" i="51"/>
  <c r="B16" i="63"/>
  <c r="C59" i="69"/>
  <c r="D59" i="69"/>
  <c r="E59" i="69"/>
  <c r="F59" i="69"/>
  <c r="G59" i="69"/>
  <c r="H59" i="69"/>
  <c r="I59" i="69"/>
  <c r="J59" i="69"/>
  <c r="K59" i="69"/>
  <c r="L59" i="69"/>
  <c r="M59" i="69"/>
  <c r="N59" i="69"/>
  <c r="O59" i="69"/>
  <c r="E65" i="40"/>
  <c r="F65" i="40"/>
  <c r="G65" i="40"/>
  <c r="H65" i="40"/>
  <c r="D51" i="59"/>
  <c r="T51" i="59"/>
  <c r="C43" i="59"/>
  <c r="D42" i="59"/>
  <c r="U19" i="59"/>
  <c r="S19" i="59"/>
  <c r="V19" i="59"/>
  <c r="T19" i="59"/>
  <c r="U7" i="59"/>
  <c r="AC43" i="34"/>
  <c r="W43" i="34"/>
  <c r="F43" i="34"/>
  <c r="G124" i="34"/>
  <c r="H124" i="34"/>
  <c r="I124" i="34"/>
  <c r="J124" i="34"/>
  <c r="K124" i="34"/>
  <c r="L124" i="34"/>
  <c r="M124" i="34"/>
  <c r="H43" i="34"/>
  <c r="S21" i="34"/>
  <c r="AA19" i="34"/>
  <c r="S19" i="34"/>
  <c r="AB19" i="34"/>
  <c r="U19" i="34"/>
  <c r="S12" i="34"/>
  <c r="AA12" i="34"/>
  <c r="C7" i="46"/>
  <c r="E30" i="6"/>
  <c r="L52" i="37"/>
  <c r="M52" i="37"/>
  <c r="F1" i="44"/>
  <c r="Q54" i="44"/>
  <c r="E67" i="40"/>
  <c r="T27" i="59"/>
  <c r="D43" i="59"/>
  <c r="T43" i="59"/>
  <c r="T11" i="59"/>
  <c r="T31" i="59"/>
  <c r="M19" i="46"/>
  <c r="AG6" i="1"/>
  <c r="AB43" i="34"/>
  <c r="U43" i="34"/>
  <c r="AA43" i="34"/>
  <c r="S43" i="34"/>
  <c r="F67" i="40"/>
  <c r="T23" i="59"/>
  <c r="O14" i="1"/>
  <c r="P14" i="1"/>
  <c r="N52" i="37"/>
  <c r="O52" i="37"/>
  <c r="G67" i="40"/>
  <c r="F7" i="37"/>
  <c r="I65" i="40"/>
  <c r="H67" i="40"/>
  <c r="AA7" i="37"/>
  <c r="R42" i="37"/>
  <c r="S7" i="37"/>
  <c r="J7" i="37"/>
  <c r="H7" i="37"/>
  <c r="AB7" i="37"/>
  <c r="T42" i="37"/>
  <c r="G42" i="37"/>
  <c r="J65" i="40"/>
  <c r="I67" i="40"/>
  <c r="T7" i="59"/>
  <c r="U7" i="37"/>
  <c r="AC7" i="37"/>
  <c r="V42" i="37"/>
  <c r="I42" i="37"/>
  <c r="W7" i="37"/>
  <c r="J67" i="40"/>
  <c r="K65" i="40"/>
  <c r="L65" i="40"/>
  <c r="K67" i="40"/>
  <c r="M20" i="46"/>
  <c r="L67" i="40"/>
  <c r="M65" i="40"/>
  <c r="N65" i="40"/>
  <c r="N67" i="40"/>
  <c r="M67" i="40"/>
  <c r="D21" i="9"/>
  <c r="B14" i="67"/>
  <c r="F10" i="44"/>
  <c r="F7" i="67"/>
  <c r="I3" i="65"/>
  <c r="F8" i="67"/>
  <c r="M29" i="44"/>
  <c r="M28" i="44"/>
  <c r="F6" i="15"/>
  <c r="F11" i="44"/>
  <c r="F39" i="44"/>
  <c r="D20" i="9"/>
  <c r="E11" i="67"/>
  <c r="B12" i="67"/>
  <c r="J6" i="65"/>
  <c r="M26" i="44"/>
  <c r="E13" i="67"/>
  <c r="F14" i="67"/>
  <c r="B9" i="67"/>
  <c r="M24" i="15"/>
  <c r="N3" i="65"/>
  <c r="F13" i="67"/>
  <c r="J15" i="15"/>
  <c r="M10" i="44"/>
  <c r="F40" i="44"/>
  <c r="F9" i="15"/>
  <c r="M30" i="44"/>
  <c r="F43" i="44"/>
  <c r="F38" i="15"/>
  <c r="F45" i="44"/>
  <c r="F8" i="15"/>
  <c r="N7" i="65"/>
  <c r="F18" i="44"/>
  <c r="F13" i="15"/>
  <c r="C21" i="9"/>
  <c r="B8" i="67"/>
  <c r="M28" i="15"/>
  <c r="J7" i="65"/>
  <c r="F10" i="67"/>
  <c r="M6" i="15"/>
  <c r="F9" i="67"/>
  <c r="J36" i="15"/>
  <c r="F38" i="44"/>
  <c r="M22" i="15"/>
  <c r="E9" i="67"/>
  <c r="F26" i="15"/>
  <c r="B7" i="67"/>
  <c r="E8" i="67"/>
  <c r="E7" i="67"/>
  <c r="F9" i="44"/>
  <c r="F37" i="15"/>
  <c r="M8" i="44"/>
  <c r="J17" i="44"/>
  <c r="M25" i="44"/>
  <c r="F12" i="67"/>
  <c r="E14" i="67"/>
  <c r="L48" i="44"/>
  <c r="M11" i="44"/>
  <c r="N4" i="65"/>
  <c r="F28" i="44"/>
  <c r="F40" i="15"/>
  <c r="C19" i="9"/>
  <c r="M8" i="15"/>
  <c r="D19" i="9"/>
  <c r="L48" i="15"/>
  <c r="B11" i="67"/>
  <c r="B13" i="67"/>
  <c r="B10" i="67"/>
  <c r="F15" i="44"/>
  <c r="M26" i="15"/>
  <c r="M24" i="44"/>
  <c r="M23" i="15"/>
  <c r="M9" i="15"/>
  <c r="I7" i="65"/>
  <c r="N5" i="65"/>
  <c r="F46" i="44"/>
  <c r="F11" i="67"/>
  <c r="M27" i="15"/>
  <c r="E12" i="67"/>
  <c r="L47" i="15"/>
  <c r="F36" i="15"/>
  <c r="F8" i="44"/>
  <c r="F16" i="15"/>
  <c r="L49" i="44"/>
  <c r="C20" i="9"/>
  <c r="N6" i="65"/>
  <c r="F42" i="15"/>
  <c r="E10" i="67"/>
  <c r="G27" i="88"/>
  <c r="G28" i="88"/>
  <c r="G26" i="88"/>
  <c r="AC17" i="39"/>
  <c r="S17" i="39"/>
  <c r="AB17" i="39"/>
  <c r="U13" i="39"/>
  <c r="E21" i="52"/>
  <c r="W11" i="39"/>
  <c r="K66" i="73"/>
  <c r="D66" i="73"/>
  <c r="M66" i="73"/>
  <c r="N66" i="73"/>
  <c r="D73" i="73"/>
  <c r="N73" i="73"/>
  <c r="N77" i="73"/>
  <c r="D77" i="73"/>
  <c r="J72" i="73"/>
  <c r="G17" i="46"/>
  <c r="H62" i="85"/>
  <c r="G62" i="85"/>
  <c r="H63" i="85"/>
  <c r="G63" i="85"/>
  <c r="H58" i="85"/>
  <c r="G58" i="85"/>
  <c r="H61" i="85"/>
  <c r="G61" i="85"/>
  <c r="H66" i="85"/>
  <c r="G66" i="85"/>
  <c r="H64" i="85"/>
  <c r="G64" i="85"/>
  <c r="H60" i="85"/>
  <c r="G60" i="85"/>
  <c r="H59" i="85"/>
  <c r="G59" i="85"/>
  <c r="B10" i="52"/>
  <c r="I46" i="37"/>
  <c r="J46" i="37"/>
  <c r="R43" i="37"/>
  <c r="E42" i="37"/>
  <c r="J9" i="40"/>
  <c r="H9" i="40"/>
  <c r="F9" i="40"/>
  <c r="G46" i="37"/>
  <c r="H46" i="37"/>
  <c r="G47" i="37"/>
  <c r="H47" i="37"/>
  <c r="I59" i="34"/>
  <c r="J59" i="34"/>
  <c r="K59" i="34"/>
  <c r="L59" i="34"/>
  <c r="M59" i="34"/>
  <c r="N59" i="34"/>
  <c r="O59" i="34"/>
  <c r="J7" i="34"/>
  <c r="F7" i="34"/>
  <c r="G58" i="33"/>
  <c r="D48" i="35"/>
  <c r="D58" i="21"/>
  <c r="B6" i="52"/>
  <c r="B13" i="52"/>
  <c r="E8" i="52"/>
  <c r="AP10" i="1"/>
  <c r="G10" i="1"/>
  <c r="G7" i="69"/>
  <c r="H7" i="69"/>
  <c r="I7" i="69"/>
  <c r="J7" i="69"/>
  <c r="E7" i="69"/>
  <c r="F7" i="69"/>
  <c r="F46" i="36"/>
  <c r="H7" i="34"/>
  <c r="AE7" i="1"/>
  <c r="I20" i="85"/>
  <c r="G7" i="1"/>
  <c r="AP7" i="1"/>
  <c r="AE6" i="1"/>
  <c r="I20" i="46"/>
  <c r="AP6" i="1"/>
  <c r="P25" i="85"/>
  <c r="O19" i="85"/>
  <c r="P23" i="85"/>
  <c r="M20" i="85"/>
  <c r="P22" i="85"/>
  <c r="P24" i="85"/>
  <c r="P21" i="85"/>
  <c r="J51" i="77"/>
  <c r="J71" i="85"/>
  <c r="D71" i="85"/>
  <c r="D75" i="85"/>
  <c r="J75" i="85"/>
  <c r="M48" i="85"/>
  <c r="N48" i="85"/>
  <c r="K48" i="85"/>
  <c r="J48" i="85"/>
  <c r="M52" i="85"/>
  <c r="N52" i="85"/>
  <c r="K52" i="85"/>
  <c r="M54" i="85"/>
  <c r="N54" i="85"/>
  <c r="K54" i="85"/>
  <c r="J54" i="85"/>
  <c r="D54" i="85"/>
  <c r="K50" i="85"/>
  <c r="M50" i="85"/>
  <c r="N50" i="85"/>
  <c r="N77" i="85"/>
  <c r="D77" i="85"/>
  <c r="N73" i="85"/>
  <c r="D73" i="85"/>
  <c r="J72" i="85"/>
  <c r="D72" i="85"/>
  <c r="M47" i="85"/>
  <c r="K47" i="85"/>
  <c r="J47" i="85"/>
  <c r="M49" i="85"/>
  <c r="N49" i="85"/>
  <c r="K49" i="85"/>
  <c r="M53" i="85"/>
  <c r="K53" i="85"/>
  <c r="J53" i="85"/>
  <c r="M55" i="85"/>
  <c r="N55" i="85"/>
  <c r="K55" i="85"/>
  <c r="J55" i="85"/>
  <c r="K51" i="85"/>
  <c r="M51" i="85"/>
  <c r="N51" i="85"/>
  <c r="B14" i="52"/>
  <c r="B11" i="52"/>
  <c r="E9" i="52"/>
  <c r="E6" i="52"/>
  <c r="E4" i="52"/>
  <c r="E5" i="6"/>
  <c r="D12" i="11"/>
  <c r="C12" i="11"/>
  <c r="E14" i="6"/>
  <c r="W34" i="34"/>
  <c r="C34" i="69"/>
  <c r="J34" i="69"/>
  <c r="W34" i="69"/>
  <c r="E13" i="6"/>
  <c r="E65" i="39"/>
  <c r="AH6" i="1"/>
  <c r="D1" i="46"/>
  <c r="K1" i="82"/>
  <c r="K10" i="1"/>
  <c r="G1" i="77"/>
  <c r="K1" i="80"/>
  <c r="AH9" i="1"/>
  <c r="E12" i="6"/>
  <c r="E11" i="6"/>
  <c r="E15" i="6"/>
  <c r="E10" i="6"/>
  <c r="I4" i="6"/>
  <c r="K7" i="1"/>
  <c r="M7" i="1"/>
  <c r="C13" i="88"/>
  <c r="E66" i="39"/>
  <c r="E61" i="40"/>
  <c r="AC34" i="69"/>
  <c r="F34" i="69"/>
  <c r="C9" i="12"/>
  <c r="C10" i="12"/>
  <c r="C6" i="12"/>
  <c r="C24" i="12"/>
  <c r="C29" i="75"/>
  <c r="C24" i="75"/>
  <c r="M61" i="73"/>
  <c r="N61" i="73"/>
  <c r="K61" i="73"/>
  <c r="K62" i="73"/>
  <c r="M62" i="73"/>
  <c r="N62" i="73"/>
  <c r="J66" i="73"/>
  <c r="K75" i="73"/>
  <c r="F47" i="73"/>
  <c r="D73" i="46"/>
  <c r="N73" i="46"/>
  <c r="M60" i="46"/>
  <c r="N60" i="46"/>
  <c r="K60" i="46"/>
  <c r="K66" i="46"/>
  <c r="M66" i="46"/>
  <c r="N66" i="46"/>
  <c r="M58" i="46"/>
  <c r="N58" i="46"/>
  <c r="K58" i="46"/>
  <c r="J58" i="46"/>
  <c r="K59" i="46"/>
  <c r="J59" i="46"/>
  <c r="M59" i="46"/>
  <c r="N59" i="46"/>
  <c r="M61" i="46"/>
  <c r="N61" i="46"/>
  <c r="K61" i="46"/>
  <c r="D77" i="46"/>
  <c r="N77" i="46"/>
  <c r="M62" i="46"/>
  <c r="N62" i="46"/>
  <c r="K62" i="46"/>
  <c r="K63" i="46"/>
  <c r="M63" i="46"/>
  <c r="N63" i="46"/>
  <c r="M65" i="46"/>
  <c r="N65" i="46"/>
  <c r="K65" i="46"/>
  <c r="J65" i="46"/>
  <c r="M64" i="46"/>
  <c r="N64" i="46"/>
  <c r="K64" i="46"/>
  <c r="J64" i="46"/>
  <c r="M70" i="46"/>
  <c r="N70" i="46"/>
  <c r="K70" i="46"/>
  <c r="J70" i="46"/>
  <c r="H69" i="46"/>
  <c r="G69" i="46"/>
  <c r="H74" i="46"/>
  <c r="G74" i="46"/>
  <c r="H72" i="46"/>
  <c r="G72" i="46"/>
  <c r="K71" i="46"/>
  <c r="K75" i="46"/>
  <c r="K76" i="46"/>
  <c r="J76" i="46"/>
  <c r="M63" i="73"/>
  <c r="N63" i="73"/>
  <c r="K63" i="73"/>
  <c r="C5" i="46"/>
  <c r="K73" i="46"/>
  <c r="J73" i="46"/>
  <c r="K77" i="46"/>
  <c r="J77" i="46"/>
  <c r="M74" i="73"/>
  <c r="N74" i="73"/>
  <c r="K74" i="73"/>
  <c r="J74" i="73"/>
  <c r="D74" i="73"/>
  <c r="M64" i="73"/>
  <c r="N64" i="73"/>
  <c r="K64" i="73"/>
  <c r="J64" i="73"/>
  <c r="M60" i="73"/>
  <c r="N60" i="73"/>
  <c r="K60" i="73"/>
  <c r="H55" i="73"/>
  <c r="G55" i="73"/>
  <c r="H48" i="73"/>
  <c r="G48" i="73"/>
  <c r="H52" i="73"/>
  <c r="G52" i="73"/>
  <c r="H49" i="73"/>
  <c r="G49" i="73"/>
  <c r="H53" i="73"/>
  <c r="G53" i="73"/>
  <c r="H51" i="73"/>
  <c r="G51" i="73"/>
  <c r="H54" i="73"/>
  <c r="G54" i="73"/>
  <c r="H47" i="73"/>
  <c r="G47" i="73"/>
  <c r="H50" i="73"/>
  <c r="G50" i="73"/>
  <c r="X7" i="73"/>
  <c r="C5" i="73"/>
  <c r="D5" i="46"/>
  <c r="AP8" i="1"/>
  <c r="AE9" i="1"/>
  <c r="I20" i="73"/>
  <c r="B22" i="52"/>
  <c r="B8" i="52"/>
  <c r="E14" i="52"/>
  <c r="B9" i="52"/>
  <c r="E22" i="52"/>
  <c r="B7" i="52"/>
  <c r="E10" i="52"/>
  <c r="E7" i="52"/>
  <c r="E13" i="52"/>
  <c r="B4" i="52"/>
  <c r="B2" i="67"/>
  <c r="C8" i="44"/>
  <c r="E3" i="67"/>
  <c r="E4" i="67"/>
  <c r="L43" i="9"/>
  <c r="G19" i="9"/>
  <c r="D22" i="9"/>
  <c r="G20" i="9"/>
  <c r="C29" i="44"/>
  <c r="J57" i="15"/>
  <c r="J55" i="15"/>
  <c r="J58" i="15"/>
  <c r="Q51" i="15"/>
  <c r="L56" i="15"/>
  <c r="I54" i="15"/>
  <c r="J53" i="15"/>
  <c r="J59" i="15"/>
  <c r="L60" i="15"/>
  <c r="J60" i="15"/>
  <c r="Q49" i="15"/>
  <c r="L57" i="15"/>
  <c r="L60" i="44"/>
  <c r="L59" i="44"/>
  <c r="I55" i="44"/>
  <c r="J61" i="44"/>
  <c r="Q50" i="44"/>
  <c r="L57" i="44"/>
  <c r="J60" i="44"/>
  <c r="J58" i="44"/>
  <c r="J56" i="44"/>
  <c r="J59" i="44"/>
  <c r="Q52" i="44"/>
  <c r="L61" i="44"/>
  <c r="L47" i="44"/>
  <c r="L58" i="44"/>
  <c r="Q72" i="15"/>
  <c r="G21" i="9"/>
  <c r="Q73" i="44"/>
  <c r="M9" i="44"/>
  <c r="J8" i="44"/>
  <c r="L59" i="15"/>
  <c r="L58" i="15"/>
  <c r="L44" i="9"/>
  <c r="F65" i="15"/>
  <c r="F64" i="15"/>
  <c r="F63" i="15"/>
  <c r="C4" i="65"/>
  <c r="B39" i="1"/>
  <c r="F50" i="15"/>
  <c r="F67" i="15"/>
  <c r="C27" i="15"/>
  <c r="F33" i="82"/>
  <c r="F36" i="77"/>
  <c r="F41" i="77"/>
  <c r="J36" i="77"/>
  <c r="M26" i="77"/>
  <c r="F13" i="77"/>
  <c r="M9" i="77"/>
  <c r="F7" i="15"/>
  <c r="F37" i="77"/>
  <c r="F38" i="77"/>
  <c r="C15" i="80"/>
  <c r="F8" i="77"/>
  <c r="F33" i="80"/>
  <c r="F40" i="77"/>
  <c r="M22" i="77"/>
  <c r="F41" i="15"/>
  <c r="M23" i="77"/>
  <c r="F16" i="77"/>
  <c r="M6" i="77"/>
  <c r="M28" i="77"/>
  <c r="M24" i="77"/>
  <c r="L48" i="77"/>
  <c r="D21" i="82"/>
  <c r="F26" i="77"/>
  <c r="F7" i="77"/>
  <c r="J15" i="77"/>
  <c r="L47" i="77"/>
  <c r="M27" i="77"/>
  <c r="C15" i="82"/>
  <c r="F6" i="77"/>
  <c r="D21" i="80"/>
  <c r="F42" i="77"/>
  <c r="M31" i="44"/>
  <c r="F9" i="77"/>
  <c r="M8" i="77"/>
  <c r="C14" i="88"/>
  <c r="C17" i="88"/>
  <c r="K60" i="85"/>
  <c r="M60" i="85"/>
  <c r="N60" i="85"/>
  <c r="K66" i="85"/>
  <c r="M66" i="85"/>
  <c r="N66" i="85"/>
  <c r="K58" i="85"/>
  <c r="J58" i="85"/>
  <c r="M58" i="85"/>
  <c r="N58" i="85"/>
  <c r="M65" i="85"/>
  <c r="N65" i="85"/>
  <c r="K59" i="85"/>
  <c r="J59" i="85"/>
  <c r="M59" i="85"/>
  <c r="N59" i="85"/>
  <c r="K64" i="85"/>
  <c r="J64" i="85"/>
  <c r="M64" i="85"/>
  <c r="N64" i="85"/>
  <c r="M61" i="85"/>
  <c r="N61" i="85"/>
  <c r="K61" i="85"/>
  <c r="K63" i="85"/>
  <c r="M63" i="85"/>
  <c r="N63" i="85"/>
  <c r="K62" i="85"/>
  <c r="M62" i="85"/>
  <c r="N62" i="85"/>
  <c r="U7" i="34"/>
  <c r="AB7" i="34"/>
  <c r="T49" i="34"/>
  <c r="G49" i="34"/>
  <c r="S7" i="69"/>
  <c r="AA7" i="69"/>
  <c r="U7" i="69"/>
  <c r="AB7" i="69"/>
  <c r="S7" i="34"/>
  <c r="AA7" i="34"/>
  <c r="R49" i="34"/>
  <c r="AB9" i="40"/>
  <c r="T44" i="40"/>
  <c r="G44" i="40"/>
  <c r="U9" i="40"/>
  <c r="E47" i="37"/>
  <c r="F47" i="37"/>
  <c r="E46" i="37"/>
  <c r="F46" i="37"/>
  <c r="I47" i="37"/>
  <c r="J47" i="37"/>
  <c r="G46" i="36"/>
  <c r="AC7" i="69"/>
  <c r="V49" i="69"/>
  <c r="I49" i="69"/>
  <c r="I53" i="69"/>
  <c r="J53" i="69"/>
  <c r="W7" i="69"/>
  <c r="E58" i="21"/>
  <c r="F58" i="21"/>
  <c r="G58" i="21"/>
  <c r="H58" i="21"/>
  <c r="I58" i="21"/>
  <c r="J58" i="21"/>
  <c r="K58" i="21"/>
  <c r="L58" i="21"/>
  <c r="M58" i="21"/>
  <c r="N58" i="21"/>
  <c r="O58" i="21"/>
  <c r="H7" i="21"/>
  <c r="J7" i="21"/>
  <c r="E48" i="35"/>
  <c r="F48" i="35"/>
  <c r="G48" i="35"/>
  <c r="H48" i="35"/>
  <c r="I48" i="35"/>
  <c r="J48" i="35"/>
  <c r="K48" i="35"/>
  <c r="L48" i="35"/>
  <c r="M48" i="35"/>
  <c r="N48" i="35"/>
  <c r="O48" i="35"/>
  <c r="J7" i="35"/>
  <c r="H7" i="35"/>
  <c r="H58" i="33"/>
  <c r="AC7" i="34"/>
  <c r="V49" i="34"/>
  <c r="I49" i="34"/>
  <c r="I53" i="34"/>
  <c r="J53" i="34"/>
  <c r="W7" i="34"/>
  <c r="AA9" i="40"/>
  <c r="R44" i="40"/>
  <c r="S9" i="40"/>
  <c r="AC9" i="40"/>
  <c r="V44" i="40"/>
  <c r="I44" i="40"/>
  <c r="W9" i="40"/>
  <c r="C42" i="37"/>
  <c r="C43" i="37"/>
  <c r="B3" i="37"/>
  <c r="B2" i="37"/>
  <c r="J49" i="85"/>
  <c r="D49" i="85"/>
  <c r="J52" i="85"/>
  <c r="D52" i="85"/>
  <c r="D51" i="85"/>
  <c r="J51" i="85"/>
  <c r="N53" i="85"/>
  <c r="D53" i="85"/>
  <c r="N47" i="85"/>
  <c r="D47" i="85"/>
  <c r="D50" i="85"/>
  <c r="J50" i="85"/>
  <c r="P28" i="85"/>
  <c r="O28" i="85"/>
  <c r="M28" i="85"/>
  <c r="F68" i="15"/>
  <c r="H34" i="69"/>
  <c r="E9" i="82"/>
  <c r="D3" i="69"/>
  <c r="D3" i="34"/>
  <c r="E60" i="40"/>
  <c r="L46" i="15"/>
  <c r="F49" i="15"/>
  <c r="C48" i="15"/>
  <c r="C6" i="15"/>
  <c r="C32" i="15"/>
  <c r="M7" i="15"/>
  <c r="J6" i="15"/>
  <c r="J18" i="15"/>
  <c r="C34" i="82"/>
  <c r="D33" i="82"/>
  <c r="C21" i="82"/>
  <c r="M10" i="1"/>
  <c r="C34" i="80"/>
  <c r="D33" i="80"/>
  <c r="C21" i="80"/>
  <c r="J53" i="77"/>
  <c r="F1" i="77"/>
  <c r="L57" i="77"/>
  <c r="J59" i="77"/>
  <c r="I54" i="77"/>
  <c r="J57" i="77"/>
  <c r="J55" i="77"/>
  <c r="J58" i="77"/>
  <c r="Q51" i="77"/>
  <c r="J60" i="77"/>
  <c r="Q49" i="77"/>
  <c r="L60" i="77"/>
  <c r="Q67" i="77"/>
  <c r="L56" i="77"/>
  <c r="F64" i="77"/>
  <c r="F63" i="77"/>
  <c r="C27" i="77"/>
  <c r="Q72" i="77"/>
  <c r="F65" i="77"/>
  <c r="F50" i="77"/>
  <c r="L58" i="77"/>
  <c r="Q61" i="77"/>
  <c r="L59" i="77"/>
  <c r="Q62" i="77"/>
  <c r="F67" i="77"/>
  <c r="M8" i="1"/>
  <c r="E460" i="3"/>
  <c r="E463" i="3"/>
  <c r="E438" i="3"/>
  <c r="E261" i="3"/>
  <c r="E255" i="3"/>
  <c r="E347" i="3"/>
  <c r="E160" i="3"/>
  <c r="E133" i="3"/>
  <c r="E529" i="3"/>
  <c r="E300" i="3"/>
  <c r="E379" i="3"/>
  <c r="E530" i="3"/>
  <c r="E538" i="3"/>
  <c r="E403" i="3"/>
  <c r="E217" i="3"/>
  <c r="E177" i="3"/>
  <c r="E307" i="3"/>
  <c r="E90" i="3"/>
  <c r="E210" i="3"/>
  <c r="E106" i="3"/>
  <c r="E169" i="3"/>
  <c r="E89" i="3"/>
  <c r="E32" i="3"/>
  <c r="Q6" i="3"/>
  <c r="AE6" i="3"/>
  <c r="E37" i="3"/>
  <c r="L6" i="3"/>
  <c r="E116" i="3"/>
  <c r="E465" i="3"/>
  <c r="E243" i="3"/>
  <c r="E448" i="3"/>
  <c r="AG6" i="3"/>
  <c r="E505" i="3"/>
  <c r="E419" i="3"/>
  <c r="E302" i="3"/>
  <c r="E386" i="3"/>
  <c r="E249" i="3"/>
  <c r="E75" i="3"/>
  <c r="E560" i="3"/>
  <c r="E402" i="3"/>
  <c r="E145" i="3"/>
  <c r="E58" i="3"/>
  <c r="E242" i="3"/>
  <c r="E87" i="3"/>
  <c r="E191" i="3"/>
  <c r="E555" i="3"/>
  <c r="E355" i="3"/>
  <c r="E499" i="3"/>
  <c r="E558" i="3"/>
  <c r="E173" i="3"/>
  <c r="E436" i="3"/>
  <c r="E260" i="3"/>
  <c r="E432" i="3"/>
  <c r="E153" i="3"/>
  <c r="E339" i="3"/>
  <c r="E14" i="3"/>
  <c r="E118" i="3"/>
  <c r="E492" i="3"/>
  <c r="E170" i="3"/>
  <c r="E447" i="3"/>
  <c r="E500" i="3"/>
  <c r="E533" i="3"/>
  <c r="E303" i="3"/>
  <c r="E429" i="3"/>
  <c r="E372" i="3"/>
  <c r="E154" i="3"/>
  <c r="E309" i="3"/>
  <c r="E74" i="3"/>
  <c r="E121" i="3"/>
  <c r="E224" i="3"/>
  <c r="E123" i="3"/>
  <c r="E66" i="3"/>
  <c r="E120" i="3"/>
  <c r="E433" i="3"/>
  <c r="E229" i="3"/>
  <c r="E61" i="3"/>
  <c r="E235" i="3"/>
  <c r="E285" i="3"/>
  <c r="E162" i="3"/>
  <c r="E197" i="3"/>
  <c r="AQ6" i="3"/>
  <c r="E105" i="3"/>
  <c r="V6" i="3"/>
  <c r="E369" i="3"/>
  <c r="E264" i="3"/>
  <c r="E543" i="3"/>
  <c r="E486" i="3"/>
  <c r="E214" i="3"/>
  <c r="E67" i="3"/>
  <c r="E467" i="3"/>
  <c r="E275" i="3"/>
  <c r="E507" i="3"/>
  <c r="E189" i="3"/>
  <c r="E289" i="3"/>
  <c r="E97" i="3"/>
  <c r="E119" i="3"/>
  <c r="E33" i="3"/>
  <c r="E547" i="3"/>
  <c r="E274" i="3"/>
  <c r="E201" i="3"/>
  <c r="E295" i="3"/>
  <c r="E315" i="3"/>
  <c r="E182" i="3"/>
  <c r="E361" i="3"/>
  <c r="E35" i="3"/>
  <c r="E298" i="3"/>
  <c r="E212" i="3"/>
  <c r="E498" i="3"/>
  <c r="E19" i="3"/>
  <c r="E95" i="3"/>
  <c r="E524" i="3"/>
  <c r="E385" i="3"/>
  <c r="E277" i="3"/>
  <c r="E16" i="3"/>
  <c r="E81" i="3"/>
  <c r="E246" i="3"/>
  <c r="E108" i="3"/>
  <c r="E551" i="3"/>
  <c r="E493" i="3"/>
  <c r="E180" i="3"/>
  <c r="E508" i="3"/>
  <c r="E306" i="3"/>
  <c r="E271" i="3"/>
  <c r="E188" i="3"/>
  <c r="E24" i="3"/>
  <c r="E287" i="3"/>
  <c r="E76" i="3"/>
  <c r="E234" i="3"/>
  <c r="E239" i="3"/>
  <c r="AI6" i="3"/>
  <c r="E134" i="3"/>
  <c r="E540" i="3"/>
  <c r="E400" i="3"/>
  <c r="E279" i="3"/>
  <c r="E417" i="3"/>
  <c r="E172" i="3"/>
  <c r="E203" i="3"/>
  <c r="E111" i="3"/>
  <c r="E293" i="3"/>
  <c r="J6" i="3"/>
  <c r="E426" i="3"/>
  <c r="E149" i="3"/>
  <c r="I3" i="6"/>
  <c r="E60" i="3"/>
  <c r="E48" i="3"/>
  <c r="E190" i="3"/>
  <c r="E233" i="3"/>
  <c r="E39" i="3"/>
  <c r="E288" i="3"/>
  <c r="E88" i="3"/>
  <c r="E220" i="3"/>
  <c r="E453" i="3"/>
  <c r="E513" i="3"/>
  <c r="E345" i="3"/>
  <c r="E72" i="3"/>
  <c r="E440"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9" i="3"/>
  <c r="E292" i="3"/>
  <c r="E178" i="3"/>
  <c r="E455" i="3"/>
  <c r="E393" i="3"/>
  <c r="E517" i="3"/>
  <c r="E198" i="3"/>
  <c r="E290" i="3"/>
  <c r="E458" i="3"/>
  <c r="E29" i="3"/>
  <c r="E256" i="3"/>
  <c r="E491" i="3"/>
  <c r="E319" i="3"/>
  <c r="E456" i="3"/>
  <c r="E569" i="3"/>
  <c r="AJ6" i="3"/>
  <c r="E546" i="3"/>
  <c r="E15" i="3"/>
  <c r="E251" i="3"/>
  <c r="E56" i="3"/>
  <c r="E122" i="3"/>
  <c r="E226" i="3"/>
  <c r="E378" i="3"/>
  <c r="E163" i="3"/>
  <c r="E364" i="3"/>
  <c r="E351" i="3"/>
  <c r="E342" i="3"/>
  <c r="AL6" i="3"/>
  <c r="E522" i="3"/>
  <c r="E368" i="3"/>
  <c r="E572" i="3"/>
  <c r="E510" i="3"/>
  <c r="E516" i="3"/>
  <c r="E504" i="3"/>
  <c r="E227" i="3"/>
  <c r="E406" i="3"/>
  <c r="E488" i="3"/>
  <c r="E244" i="3"/>
  <c r="E71" i="3"/>
  <c r="E137" i="3"/>
  <c r="E240" i="3"/>
  <c r="E301" i="3"/>
  <c r="E382" i="3"/>
  <c r="E358" i="3"/>
  <c r="E484" i="3"/>
  <c r="E509" i="3"/>
  <c r="E326" i="3"/>
  <c r="E20" i="3"/>
  <c r="E356" i="3"/>
  <c r="E564"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420" i="3"/>
  <c r="E107" i="3"/>
  <c r="E480" i="3"/>
  <c r="E51" i="3"/>
  <c r="E281" i="3"/>
  <c r="AF6" i="3"/>
  <c r="E128" i="3"/>
  <c r="E176" i="3"/>
  <c r="E554" i="3"/>
  <c r="E525" i="3"/>
  <c r="K6" i="3"/>
  <c r="E353" i="3"/>
  <c r="E50" i="3"/>
  <c r="E236" i="3"/>
  <c r="E474" i="3"/>
  <c r="E171" i="3"/>
  <c r="E354" i="3"/>
  <c r="E531" i="3"/>
  <c r="E495" i="3"/>
  <c r="E267" i="3"/>
  <c r="E323" i="3"/>
  <c r="E312" i="3"/>
  <c r="E159" i="3"/>
  <c r="E514" i="3"/>
  <c r="E501" i="3"/>
  <c r="E512" i="3"/>
  <c r="E384" i="3"/>
  <c r="E371" i="3"/>
  <c r="E310" i="3"/>
  <c r="E567" i="3"/>
  <c r="E487" i="3"/>
  <c r="E329" i="3"/>
  <c r="AB6" i="3"/>
  <c r="E26" i="3"/>
  <c r="S6" i="3"/>
  <c r="E322" i="3"/>
  <c r="E511" i="3"/>
  <c r="E17" i="3"/>
  <c r="E377" i="3"/>
  <c r="E18" i="3"/>
  <c r="E544" i="3"/>
  <c r="E318" i="3"/>
  <c r="E541" i="3"/>
  <c r="E565" i="3"/>
  <c r="E523" i="3"/>
  <c r="E380" i="3"/>
  <c r="E557" i="3"/>
  <c r="E503" i="3"/>
  <c r="E1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164" i="3"/>
  <c r="E62" i="3"/>
  <c r="E454" i="3"/>
  <c r="E389" i="3"/>
  <c r="E520" i="3"/>
  <c r="E230" i="3"/>
  <c r="AK6" i="3"/>
  <c r="E143" i="3"/>
  <c r="E36" i="3"/>
  <c r="E237" i="3"/>
  <c r="E428" i="3"/>
  <c r="E100" i="3"/>
  <c r="E374" i="3"/>
  <c r="E223" i="3"/>
  <c r="E205" i="3"/>
  <c r="E399" i="3"/>
  <c r="E478" i="3"/>
  <c r="E317" i="3"/>
  <c r="E357" i="3"/>
  <c r="E179" i="3"/>
  <c r="AS6" i="3"/>
  <c r="E444" i="3"/>
  <c r="E383"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297" i="3"/>
  <c r="E395" i="3"/>
  <c r="AN6" i="3"/>
  <c r="E280" i="3"/>
  <c r="E59" i="3"/>
  <c r="E270" i="3"/>
  <c r="E464" i="3"/>
  <c r="E157" i="3"/>
  <c r="E209" i="3"/>
  <c r="E161" i="3"/>
  <c r="E450"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77" i="3"/>
  <c r="E99" i="3"/>
  <c r="E434" i="3"/>
  <c r="E262" i="3"/>
  <c r="E552" i="3"/>
  <c r="E101" i="3"/>
  <c r="E57" i="3"/>
  <c r="E131" i="3"/>
  <c r="E304" i="3"/>
  <c r="E165" i="3"/>
  <c r="E404" i="3"/>
  <c r="E30" i="3"/>
  <c r="E441" i="3"/>
  <c r="E367" i="3"/>
  <c r="E415" i="3"/>
  <c r="E80" i="3"/>
  <c r="E28" i="3"/>
  <c r="E141" i="3"/>
  <c r="E168" i="3"/>
  <c r="E34" i="3"/>
  <c r="E407" i="3"/>
  <c r="E550"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411" i="3"/>
  <c r="E250" i="3"/>
  <c r="E41" i="3"/>
  <c r="E471" i="3"/>
  <c r="E418" i="3"/>
  <c r="E408" i="3"/>
  <c r="E92" i="3"/>
  <c r="E238" i="3"/>
  <c r="E414" i="3"/>
  <c r="E44" i="3"/>
  <c r="E202"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M7" i="77"/>
  <c r="J6" i="77"/>
  <c r="J18" i="77"/>
  <c r="C6" i="77"/>
  <c r="C32" i="77"/>
  <c r="F49" i="77"/>
  <c r="C48" i="77"/>
  <c r="E64" i="39"/>
  <c r="E59" i="40"/>
  <c r="F9" i="80"/>
  <c r="K9" i="1"/>
  <c r="C29" i="12"/>
  <c r="E58" i="40"/>
  <c r="E63" i="39"/>
  <c r="E62" i="40"/>
  <c r="E67" i="39"/>
  <c r="C13" i="75"/>
  <c r="O7" i="1"/>
  <c r="P7" i="1"/>
  <c r="AB34" i="69"/>
  <c r="T49" i="69"/>
  <c r="G49" i="69"/>
  <c r="U34" i="69"/>
  <c r="AA34" i="69"/>
  <c r="R49" i="69"/>
  <c r="S34" i="69"/>
  <c r="E53" i="40"/>
  <c r="E58" i="39"/>
  <c r="E16" i="6"/>
  <c r="D75" i="73"/>
  <c r="J75" i="73"/>
  <c r="J61" i="73"/>
  <c r="D61" i="73"/>
  <c r="J62" i="73"/>
  <c r="D62" i="73"/>
  <c r="M50" i="73"/>
  <c r="N50" i="73"/>
  <c r="K50" i="73"/>
  <c r="M54" i="73"/>
  <c r="N54" i="73"/>
  <c r="K54" i="73"/>
  <c r="J54" i="73"/>
  <c r="D54" i="73"/>
  <c r="M53" i="73"/>
  <c r="K53" i="73"/>
  <c r="J53" i="73"/>
  <c r="M52" i="73"/>
  <c r="N52" i="73"/>
  <c r="K52" i="73"/>
  <c r="M55" i="73"/>
  <c r="N55" i="73"/>
  <c r="K55" i="73"/>
  <c r="J55" i="73"/>
  <c r="D63" i="73"/>
  <c r="J63" i="73"/>
  <c r="J71" i="46"/>
  <c r="D71" i="46"/>
  <c r="M74" i="46"/>
  <c r="N74" i="46"/>
  <c r="K74" i="46"/>
  <c r="J74" i="46"/>
  <c r="D74" i="46"/>
  <c r="D62" i="46"/>
  <c r="J62" i="46"/>
  <c r="D61" i="46"/>
  <c r="J61" i="46"/>
  <c r="J60" i="46"/>
  <c r="D60" i="46"/>
  <c r="M47" i="73"/>
  <c r="K47" i="73"/>
  <c r="J47" i="73"/>
  <c r="M51" i="73"/>
  <c r="N51" i="73"/>
  <c r="K51" i="73"/>
  <c r="M49" i="73"/>
  <c r="N49" i="73"/>
  <c r="K49" i="73"/>
  <c r="M48" i="73"/>
  <c r="N48" i="73"/>
  <c r="K48" i="73"/>
  <c r="J48" i="73"/>
  <c r="D60" i="73"/>
  <c r="E58" i="73"/>
  <c r="B56" i="73"/>
  <c r="J60" i="73"/>
  <c r="J75" i="46"/>
  <c r="D75" i="46"/>
  <c r="M72" i="46"/>
  <c r="N72" i="46"/>
  <c r="K72" i="46"/>
  <c r="M69" i="46"/>
  <c r="K69" i="46"/>
  <c r="J69" i="46"/>
  <c r="D63" i="46"/>
  <c r="J63" i="46"/>
  <c r="D66" i="46"/>
  <c r="J66" i="46"/>
  <c r="F68" i="77"/>
  <c r="J20" i="44"/>
  <c r="N28" i="73"/>
  <c r="P28" i="73"/>
  <c r="O28" i="73"/>
  <c r="Q74" i="15"/>
  <c r="Q61" i="15"/>
  <c r="Q76" i="44"/>
  <c r="Q63" i="44"/>
  <c r="Q58" i="15"/>
  <c r="Q67" i="15"/>
  <c r="F1" i="15"/>
  <c r="Q53" i="15"/>
  <c r="P28" i="46"/>
  <c r="N28" i="46"/>
  <c r="M28" i="46"/>
  <c r="F11" i="15"/>
  <c r="F11" i="77"/>
  <c r="M11" i="77"/>
  <c r="J10" i="77"/>
  <c r="M11" i="15"/>
  <c r="J10" i="15"/>
  <c r="F13" i="44"/>
  <c r="C12" i="44"/>
  <c r="C7" i="44"/>
  <c r="M13" i="44"/>
  <c r="J12" i="44"/>
  <c r="J7" i="44"/>
  <c r="Q62" i="15"/>
  <c r="Q75" i="15"/>
  <c r="Q68" i="44"/>
  <c r="Q59" i="44"/>
  <c r="Q62" i="44"/>
  <c r="Q75" i="44"/>
  <c r="C32" i="9"/>
  <c r="N43" i="9"/>
  <c r="C34" i="44"/>
  <c r="B4" i="67"/>
  <c r="B3" i="67"/>
  <c r="F43" i="77"/>
  <c r="F43" i="15"/>
  <c r="M29" i="15"/>
  <c r="C18" i="44"/>
  <c r="M29" i="77"/>
  <c r="E41" i="85"/>
  <c r="C41" i="85"/>
  <c r="E58" i="46"/>
  <c r="B56" i="46"/>
  <c r="J61" i="85"/>
  <c r="D61" i="85"/>
  <c r="J62" i="85"/>
  <c r="D62" i="85"/>
  <c r="D63" i="85"/>
  <c r="J63" i="85"/>
  <c r="D66" i="85"/>
  <c r="J66" i="85"/>
  <c r="D60" i="85"/>
  <c r="E58" i="85"/>
  <c r="B56" i="85"/>
  <c r="J60" i="85"/>
  <c r="Q75" i="77"/>
  <c r="I48" i="40"/>
  <c r="J48" i="40"/>
  <c r="E44" i="40"/>
  <c r="R45" i="40"/>
  <c r="AB7" i="35"/>
  <c r="T38" i="35"/>
  <c r="G38" i="35"/>
  <c r="U7" i="35"/>
  <c r="AB7" i="21"/>
  <c r="T48" i="21"/>
  <c r="G48" i="21"/>
  <c r="U7" i="21"/>
  <c r="E49" i="34"/>
  <c r="R50" i="34"/>
  <c r="G53" i="34"/>
  <c r="H53" i="34"/>
  <c r="G54" i="34"/>
  <c r="H54" i="34"/>
  <c r="I58" i="33"/>
  <c r="AC7" i="35"/>
  <c r="V38" i="35"/>
  <c r="I38" i="35"/>
  <c r="W7" i="35"/>
  <c r="W7" i="21"/>
  <c r="AC7" i="21"/>
  <c r="V48" i="21"/>
  <c r="I48" i="21"/>
  <c r="H46" i="36"/>
  <c r="G48" i="40"/>
  <c r="H48" i="40"/>
  <c r="G49" i="40"/>
  <c r="H49" i="40"/>
  <c r="F7" i="35"/>
  <c r="F7" i="21"/>
  <c r="Q53" i="77"/>
  <c r="E47" i="85"/>
  <c r="B45" i="85"/>
  <c r="Q74" i="77"/>
  <c r="F24" i="15"/>
  <c r="C24" i="15"/>
  <c r="L46" i="77"/>
  <c r="J5" i="15"/>
  <c r="J26" i="15"/>
  <c r="J29" i="15"/>
  <c r="Q58" i="77"/>
  <c r="F70" i="15"/>
  <c r="H16" i="1"/>
  <c r="O10" i="1"/>
  <c r="P10" i="1"/>
  <c r="C13" i="82"/>
  <c r="O8" i="1"/>
  <c r="P8" i="1"/>
  <c r="H6" i="3"/>
  <c r="J5" i="77"/>
  <c r="J24" i="77"/>
  <c r="AC6" i="3"/>
  <c r="E6" i="3"/>
  <c r="Q16" i="1"/>
  <c r="F24" i="43"/>
  <c r="C26" i="43"/>
  <c r="D24" i="43"/>
  <c r="F70" i="77"/>
  <c r="M9" i="1"/>
  <c r="AP16" i="1"/>
  <c r="F22" i="11"/>
  <c r="K16" i="1"/>
  <c r="C17" i="75"/>
  <c r="C14" i="75"/>
  <c r="F1" i="85"/>
  <c r="AY537" i="3"/>
  <c r="AY530" i="3"/>
  <c r="AY123" i="3"/>
  <c r="AY160" i="3"/>
  <c r="AY344" i="3"/>
  <c r="BS6" i="3"/>
  <c r="AY487" i="3"/>
  <c r="AY47" i="3"/>
  <c r="AY402" i="3"/>
  <c r="AY265" i="3"/>
  <c r="AY161" i="3"/>
  <c r="AY429" i="3"/>
  <c r="AY346" i="3"/>
  <c r="AY65" i="3"/>
  <c r="AY317" i="3"/>
  <c r="AY105" i="3"/>
  <c r="AY285" i="3"/>
  <c r="AY98" i="3"/>
  <c r="AY553" i="3"/>
  <c r="AY156" i="3"/>
  <c r="AY516" i="3"/>
  <c r="AY272" i="3"/>
  <c r="AY400" i="3"/>
  <c r="AY459" i="3"/>
  <c r="AY141" i="3"/>
  <c r="AY250" i="3"/>
  <c r="AY416" i="3"/>
  <c r="AY118" i="3"/>
  <c r="AY100" i="3"/>
  <c r="AY58" i="3"/>
  <c r="AY418" i="3"/>
  <c r="AY380" i="3"/>
  <c r="AY201" i="3"/>
  <c r="AY545" i="3"/>
  <c r="AY90" i="3"/>
  <c r="AY225" i="3"/>
  <c r="AY27" i="3"/>
  <c r="AY336" i="3"/>
  <c r="AY333" i="3"/>
  <c r="AY550" i="3"/>
  <c r="AY555" i="3"/>
  <c r="AY382" i="3"/>
  <c r="AY542" i="3"/>
  <c r="AY30" i="3"/>
  <c r="AY241" i="3"/>
  <c r="AY72" i="3"/>
  <c r="AY348" i="3"/>
  <c r="AY169" i="3"/>
  <c r="AY398" i="3"/>
  <c r="AY286" i="3"/>
  <c r="AY202" i="3"/>
  <c r="AY425" i="3"/>
  <c r="AY384" i="3"/>
  <c r="AY277" i="3"/>
  <c r="AY45" i="3"/>
  <c r="AY83" i="3"/>
  <c r="AY95" i="3"/>
  <c r="AY203" i="3"/>
  <c r="AY80" i="3"/>
  <c r="AY538" i="3"/>
  <c r="AY546" i="3"/>
  <c r="AY371" i="3"/>
  <c r="AY282" i="3"/>
  <c r="AY366" i="3"/>
  <c r="AY502" i="3"/>
  <c r="AY267" i="3"/>
  <c r="AY223" i="3"/>
  <c r="AY480" i="3"/>
  <c r="AY137" i="3"/>
  <c r="AY249" i="3"/>
  <c r="AY248" i="3"/>
  <c r="AY378" i="3"/>
  <c r="AY271" i="3"/>
  <c r="AY295" i="3"/>
  <c r="AY549" i="3"/>
  <c r="AY36" i="3"/>
  <c r="AY188" i="3"/>
  <c r="AY178" i="3"/>
  <c r="AY87" i="3"/>
  <c r="AY144" i="3"/>
  <c r="AY49" i="3"/>
  <c r="AY294" i="3"/>
  <c r="AY302" i="3"/>
  <c r="AY143" i="3"/>
  <c r="AY236" i="3"/>
  <c r="AY246" i="3"/>
  <c r="AY374" i="3"/>
  <c r="AY129" i="3"/>
  <c r="AY324" i="3"/>
  <c r="AY16" i="3"/>
  <c r="AY21" i="3"/>
  <c r="AY200" i="3"/>
  <c r="AY266" i="3"/>
  <c r="AY193" i="3"/>
  <c r="BL6" i="3"/>
  <c r="AY472" i="3"/>
  <c r="AY131" i="3"/>
  <c r="AY453" i="3"/>
  <c r="AY151" i="3"/>
  <c r="AY485" i="3"/>
  <c r="AY399" i="3"/>
  <c r="AY174" i="3"/>
  <c r="AY328" i="3"/>
  <c r="AY71" i="3"/>
  <c r="AY195" i="3"/>
  <c r="AY363" i="3"/>
  <c r="AY547" i="3"/>
  <c r="AY110" i="3"/>
  <c r="AY69" i="3"/>
  <c r="AY342" i="3"/>
  <c r="AY304" i="3"/>
  <c r="AY544" i="3"/>
  <c r="AY290" i="3"/>
  <c r="AY283" i="3"/>
  <c r="AY239" i="3"/>
  <c r="AY417" i="3"/>
  <c r="BR6" i="3"/>
  <c r="AY557" i="3"/>
  <c r="AY331" i="3"/>
  <c r="AY82" i="3"/>
  <c r="AY270" i="3"/>
  <c r="AY93" i="3"/>
  <c r="AY478" i="3"/>
  <c r="AY567" i="3"/>
  <c r="AY497" i="3"/>
  <c r="AY15" i="3"/>
  <c r="AY287" i="3"/>
  <c r="AY489" i="3"/>
  <c r="AY500" i="3"/>
  <c r="AY221" i="3"/>
  <c r="AY446" i="3"/>
  <c r="AY148" i="3"/>
  <c r="AY443" i="3"/>
  <c r="AY64" i="3"/>
  <c r="AY493" i="3"/>
  <c r="AY359" i="3"/>
  <c r="AY227" i="3"/>
  <c r="AY191" i="3"/>
  <c r="AY438" i="3"/>
  <c r="AY476" i="3"/>
  <c r="AY529" i="3"/>
  <c r="AY469" i="3"/>
  <c r="BI6" i="3"/>
  <c r="AY468" i="3"/>
  <c r="AY210" i="3"/>
  <c r="BO6" i="3"/>
  <c r="AY189" i="3"/>
  <c r="AY322" i="3"/>
  <c r="AY40" i="3"/>
  <c r="AY60" i="3"/>
  <c r="AY108" i="3"/>
  <c r="AY483" i="3"/>
  <c r="AY185" i="3"/>
  <c r="AY122" i="3"/>
  <c r="AY360" i="3"/>
  <c r="AY107" i="3"/>
  <c r="AY234" i="3"/>
  <c r="AY50" i="3"/>
  <c r="AY350" i="3"/>
  <c r="AY31" i="3"/>
  <c r="AY46" i="3"/>
  <c r="AY206" i="3"/>
  <c r="AY381" i="3"/>
  <c r="AY340" i="3"/>
  <c r="AY310" i="3"/>
  <c r="AY55" i="3"/>
  <c r="AY126" i="3"/>
  <c r="AY486" i="3"/>
  <c r="AY24" i="3"/>
  <c r="AY190" i="3"/>
  <c r="AY96" i="3"/>
  <c r="AY74" i="3"/>
  <c r="AY136" i="3"/>
  <c r="AY132" i="3"/>
  <c r="AY435" i="3"/>
  <c r="BK6" i="3"/>
  <c r="AY70" i="3"/>
  <c r="AY139" i="3"/>
  <c r="AY467" i="3"/>
  <c r="AY175" i="3"/>
  <c r="AY504" i="3"/>
  <c r="AY41" i="3"/>
  <c r="AY355" i="3"/>
  <c r="AY515" i="3"/>
  <c r="AY514" i="3"/>
  <c r="AY235" i="3"/>
  <c r="BP6" i="3"/>
  <c r="AY329" i="3"/>
  <c r="AY424" i="3"/>
  <c r="AY422" i="3"/>
  <c r="AY528" i="3"/>
  <c r="AY448" i="3"/>
  <c r="AY198" i="3"/>
  <c r="AY326" i="3"/>
  <c r="AY457" i="3"/>
  <c r="AY52" i="3"/>
  <c r="AY183" i="3"/>
  <c r="AY168" i="3"/>
  <c r="AY411" i="3"/>
  <c r="AY14" i="3"/>
  <c r="AY145" i="3"/>
  <c r="AY520" i="3"/>
  <c r="AY531" i="3"/>
  <c r="AY199" i="3"/>
  <c r="AY63" i="3"/>
  <c r="AY495" i="3"/>
  <c r="AY213" i="3"/>
  <c r="AY170" i="3"/>
  <c r="AY394" i="3"/>
  <c r="AY569" i="3"/>
  <c r="AY152" i="3"/>
  <c r="AY327" i="3"/>
  <c r="AY509" i="3"/>
  <c r="AY571" i="3"/>
  <c r="AY434" i="3"/>
  <c r="AY404" i="3"/>
  <c r="AY385" i="3"/>
  <c r="AY458" i="3"/>
  <c r="AY211" i="3"/>
  <c r="AY219" i="3"/>
  <c r="AY273" i="3"/>
  <c r="AY254" i="3"/>
  <c r="AY330" i="3"/>
  <c r="AY383" i="3"/>
  <c r="AY164" i="3"/>
  <c r="AY297" i="3"/>
  <c r="AY393" i="3"/>
  <c r="AY281" i="3"/>
  <c r="AY240" i="3"/>
  <c r="AY559" i="3"/>
  <c r="AY447" i="3"/>
  <c r="AY299" i="3"/>
  <c r="AY208" i="3"/>
  <c r="AY503" i="3"/>
  <c r="AY415" i="3"/>
  <c r="AY518" i="3"/>
  <c r="AY388" i="3"/>
  <c r="AY323" i="3"/>
  <c r="AY319" i="3"/>
  <c r="AY166" i="3"/>
  <c r="AY29" i="3"/>
  <c r="AY138" i="3"/>
  <c r="AY365" i="3"/>
  <c r="AY409" i="3"/>
  <c r="AY259" i="3"/>
  <c r="AY154" i="3"/>
  <c r="AY207" i="3"/>
  <c r="AY320" i="3"/>
  <c r="AY430" i="3"/>
  <c r="AY369" i="3"/>
  <c r="AY224" i="3"/>
  <c r="AY335" i="3"/>
  <c r="AY187" i="3"/>
  <c r="AY92" i="3"/>
  <c r="AY35" i="3"/>
  <c r="AY278" i="3"/>
  <c r="AY464" i="3"/>
  <c r="AY39" i="3"/>
  <c r="AY361" i="3"/>
  <c r="AY104" i="3"/>
  <c r="AY257" i="3"/>
  <c r="AY311" i="3"/>
  <c r="AY28" i="3"/>
  <c r="AY216" i="3"/>
  <c r="AY204" i="3"/>
  <c r="AY481" i="3"/>
  <c r="AY501" i="3"/>
  <c r="AY43" i="3"/>
  <c r="AY412" i="3"/>
  <c r="AY450" i="3"/>
  <c r="AY376" i="3"/>
  <c r="AY372" i="3"/>
  <c r="AY463" i="3"/>
  <c r="AY149" i="3"/>
  <c r="AY349" i="3"/>
  <c r="AY57" i="3"/>
  <c r="AY77" i="3"/>
  <c r="AY142" i="3"/>
  <c r="AY427" i="3"/>
  <c r="AY81" i="3"/>
  <c r="AY91" i="3"/>
  <c r="AY114" i="3"/>
  <c r="AY341" i="3"/>
  <c r="AY465" i="3"/>
  <c r="AY428" i="3"/>
  <c r="AY218" i="3"/>
  <c r="AY356" i="3"/>
  <c r="AY147" i="3"/>
  <c r="AY562" i="3"/>
  <c r="AY498" i="3"/>
  <c r="AY527" i="3"/>
  <c r="AY325" i="3"/>
  <c r="AY390" i="3"/>
  <c r="AY17" i="3"/>
  <c r="AY133" i="3"/>
  <c r="AY113" i="3"/>
  <c r="AY56" i="3"/>
  <c r="AY421" i="3"/>
  <c r="BM6" i="3"/>
  <c r="AY263" i="3"/>
  <c r="AY524" i="3"/>
  <c r="AY231" i="3"/>
  <c r="AY300" i="3"/>
  <c r="AY19" i="3"/>
  <c r="AY513" i="3"/>
  <c r="AY347" i="3"/>
  <c r="AY345" i="3"/>
  <c r="AY470" i="3"/>
  <c r="AY119" i="3"/>
  <c r="AY533" i="3"/>
  <c r="AY89" i="3"/>
  <c r="AY548" i="3"/>
  <c r="AY556" i="3"/>
  <c r="AY321" i="3"/>
  <c r="AY34" i="3"/>
  <c r="AY318" i="3"/>
  <c r="AY127" i="3"/>
  <c r="AY66" i="3"/>
  <c r="AY505" i="3"/>
  <c r="AY436" i="3"/>
  <c r="AY125" i="3"/>
  <c r="AY554" i="3"/>
  <c r="AY532" i="3"/>
  <c r="AY212" i="3"/>
  <c r="AY251" i="3"/>
  <c r="AY353" i="3"/>
  <c r="AY284" i="3"/>
  <c r="AY306" i="3"/>
  <c r="AY33" i="3"/>
  <c r="AY473" i="3"/>
  <c r="AY551" i="3"/>
  <c r="AY541" i="3"/>
  <c r="AY167" i="3"/>
  <c r="AY439" i="3"/>
  <c r="AY180" i="3"/>
  <c r="AY477" i="3"/>
  <c r="AY292" i="3"/>
  <c r="AY452" i="3"/>
  <c r="AY26" i="3"/>
  <c r="AY279" i="3"/>
  <c r="AY38" i="3"/>
  <c r="BH6" i="3"/>
  <c r="AY309" i="3"/>
  <c r="AY561" i="3"/>
  <c r="AY407" i="3"/>
  <c r="AY186" i="3"/>
  <c r="AY563" i="3"/>
  <c r="AY192" i="3"/>
  <c r="AY362" i="3"/>
  <c r="AY423" i="3"/>
  <c r="AY18" i="3"/>
  <c r="AY488" i="3"/>
  <c r="AY451" i="3"/>
  <c r="AY460" i="3"/>
  <c r="AY444" i="3"/>
  <c r="AY419" i="3"/>
  <c r="AY243" i="3"/>
  <c r="AY426" i="3"/>
  <c r="AY373" i="3"/>
  <c r="AY301" i="3"/>
  <c r="AY466" i="3"/>
  <c r="AY496" i="3"/>
  <c r="AY474" i="3"/>
  <c r="AY482" i="3"/>
  <c r="AY441" i="3"/>
  <c r="AY491" i="3"/>
  <c r="AY293" i="3"/>
  <c r="AY455" i="3"/>
  <c r="AY159" i="3"/>
  <c r="AY305" i="3"/>
  <c r="AY101" i="3"/>
  <c r="AY181" i="3"/>
  <c r="AY67" i="3"/>
  <c r="AY401" i="3"/>
  <c r="AY258" i="3"/>
  <c r="AY405" i="3"/>
  <c r="AY226" i="3"/>
  <c r="AY560" i="3"/>
  <c r="AY209" i="3"/>
  <c r="AY179" i="3"/>
  <c r="AY163" i="3"/>
  <c r="AY298" i="3"/>
  <c r="AY565" i="3"/>
  <c r="AY558" i="3"/>
  <c r="AY157" i="3"/>
  <c r="AY420" i="3"/>
  <c r="AY230" i="3"/>
  <c r="AY115" i="3"/>
  <c r="AY238" i="3"/>
  <c r="AY364" i="3"/>
  <c r="AY479" i="3"/>
  <c r="AY264" i="3"/>
  <c r="AY182" i="3"/>
  <c r="AY128" i="3"/>
  <c r="AY130" i="3"/>
  <c r="AY245" i="3"/>
  <c r="AY275" i="3"/>
  <c r="AY433" i="3"/>
  <c r="AY358" i="3"/>
  <c r="BQ6" i="3"/>
  <c r="BD6" i="3"/>
  <c r="AY124" i="3"/>
  <c r="AY117" i="3"/>
  <c r="AY389" i="3"/>
  <c r="AY232" i="3"/>
  <c r="AY269" i="3"/>
  <c r="AY308" i="3"/>
  <c r="AY408" i="3"/>
  <c r="AY291" i="3"/>
  <c r="AY352" i="3"/>
  <c r="AY120" i="3"/>
  <c r="BN6" i="3"/>
  <c r="AY233" i="3"/>
  <c r="AY184" i="3"/>
  <c r="AY244" i="3"/>
  <c r="AY351" i="3"/>
  <c r="AY440" i="3"/>
  <c r="AY339" i="3"/>
  <c r="AY403" i="3"/>
  <c r="AY449" i="3"/>
  <c r="AY494" i="3"/>
  <c r="AY396" i="3"/>
  <c r="AY492" i="3"/>
  <c r="AY289" i="3"/>
  <c r="AY37" i="3"/>
  <c r="AY334" i="3"/>
  <c r="AY534" i="3"/>
  <c r="AY220" i="3"/>
  <c r="AY242" i="3"/>
  <c r="AY32" i="3"/>
  <c r="BA6" i="3"/>
  <c r="AY158" i="3"/>
  <c r="AY437" i="3"/>
  <c r="AY414" i="3"/>
  <c r="AY256" i="3"/>
  <c r="AY177" i="3"/>
  <c r="AY343" i="3"/>
  <c r="AY490" i="3"/>
  <c r="AY475" i="3"/>
  <c r="AY375" i="3"/>
  <c r="AY78" i="3"/>
  <c r="AY247" i="3"/>
  <c r="AY456" i="3"/>
  <c r="BT6" i="3"/>
  <c r="AY367" i="3"/>
  <c r="AY471" i="3"/>
  <c r="AY368" i="3"/>
  <c r="AY510" i="3"/>
  <c r="AY314" i="3"/>
  <c r="AY85" i="3"/>
  <c r="AY445" i="3"/>
  <c r="AY525" i="3"/>
  <c r="AY194" i="3"/>
  <c r="AY146" i="3"/>
  <c r="AY88" i="3"/>
  <c r="AY280" i="3"/>
  <c r="AY150" i="3"/>
  <c r="AY99" i="3"/>
  <c r="AY442" i="3"/>
  <c r="AY155" i="3"/>
  <c r="AY135" i="3"/>
  <c r="AY397" i="3"/>
  <c r="AY73" i="3"/>
  <c r="AY109" i="3"/>
  <c r="AY53" i="3"/>
  <c r="BC6" i="3"/>
  <c r="AY337" i="3"/>
  <c r="AY86" i="3"/>
  <c r="AY392" i="3"/>
  <c r="AY162" i="3"/>
  <c r="AY552" i="3"/>
  <c r="BF6" i="3"/>
  <c r="AY68" i="3"/>
  <c r="AY387" i="3"/>
  <c r="AY205" i="3"/>
  <c r="AY499" i="3"/>
  <c r="AY507" i="3"/>
  <c r="AY215" i="3"/>
  <c r="AY23" i="3"/>
  <c r="AY173" i="3"/>
  <c r="AY522" i="3"/>
  <c r="AY543" i="3"/>
  <c r="AY431" i="3"/>
  <c r="AY22" i="3"/>
  <c r="AY222" i="3"/>
  <c r="AY410" i="3"/>
  <c r="AY539" i="3"/>
  <c r="BB6" i="3"/>
  <c r="AY338" i="3"/>
  <c r="AY102" i="3"/>
  <c r="AY462" i="3"/>
  <c r="AY94" i="3"/>
  <c r="AY536" i="3"/>
  <c r="AY517" i="3"/>
  <c r="AY523" i="3"/>
  <c r="AY13" i="3"/>
  <c r="AY526" i="3"/>
  <c r="AY406" i="3"/>
  <c r="AY540" i="3"/>
  <c r="AY512" i="3"/>
  <c r="AY228" i="3"/>
  <c r="AY568" i="3"/>
  <c r="AY312" i="3"/>
  <c r="AY261" i="3"/>
  <c r="AY196" i="3"/>
  <c r="AY570" i="3"/>
  <c r="AY521" i="3"/>
  <c r="BE6" i="3"/>
  <c r="AY508" i="3"/>
  <c r="AY377" i="3"/>
  <c r="AY395" i="3"/>
  <c r="AY506" i="3"/>
  <c r="AY153" i="3"/>
  <c r="AY20" i="3"/>
  <c r="AY112" i="3"/>
  <c r="AY370" i="3"/>
  <c r="AY413" i="3"/>
  <c r="AY316" i="3"/>
  <c r="AY171" i="3"/>
  <c r="AY75" i="3"/>
  <c r="AY268" i="3"/>
  <c r="AY229" i="3"/>
  <c r="AY111" i="3"/>
  <c r="AY386" i="3"/>
  <c r="AY253" i="3"/>
  <c r="AY315" i="3"/>
  <c r="AY106" i="3"/>
  <c r="AY172" i="3"/>
  <c r="AY432" i="3"/>
  <c r="AY103" i="3"/>
  <c r="AY572" i="3"/>
  <c r="AY307" i="3"/>
  <c r="AY62" i="3"/>
  <c r="AY379" i="3"/>
  <c r="AY262" i="3"/>
  <c r="AY97" i="3"/>
  <c r="AY116" i="3"/>
  <c r="AY274" i="3"/>
  <c r="AY76" i="3"/>
  <c r="AY42" i="3"/>
  <c r="AY288" i="3"/>
  <c r="AY303" i="3"/>
  <c r="AY519" i="3"/>
  <c r="AY484" i="3"/>
  <c r="AY276" i="3"/>
  <c r="AY313" i="3"/>
  <c r="AY454" i="3"/>
  <c r="AY391" i="3"/>
  <c r="AY48" i="3"/>
  <c r="AY61" i="3"/>
  <c r="AY237" i="3"/>
  <c r="AY59" i="3"/>
  <c r="AY217" i="3"/>
  <c r="AY25" i="3"/>
  <c r="AY176" i="3"/>
  <c r="AY140" i="3"/>
  <c r="AY357" i="3"/>
  <c r="AY252" i="3"/>
  <c r="AY564" i="3"/>
  <c r="AY296" i="3"/>
  <c r="AY79" i="3"/>
  <c r="AY332" i="3"/>
  <c r="AY51" i="3"/>
  <c r="AY511" i="3"/>
  <c r="BJ6" i="3"/>
  <c r="AY535" i="3"/>
  <c r="AY214" i="3"/>
  <c r="AY197" i="3"/>
  <c r="AY44" i="3"/>
  <c r="AY461" i="3"/>
  <c r="AY84" i="3"/>
  <c r="AY260" i="3"/>
  <c r="AY566" i="3"/>
  <c r="AY54" i="3"/>
  <c r="AY134" i="3"/>
  <c r="BG6" i="3"/>
  <c r="AY165" i="3"/>
  <c r="AY255" i="3"/>
  <c r="AY354" i="3"/>
  <c r="AY121" i="3"/>
  <c r="R50" i="69"/>
  <c r="E49" i="69"/>
  <c r="G54" i="69"/>
  <c r="H54" i="69"/>
  <c r="G53" i="69"/>
  <c r="H53" i="69"/>
  <c r="C15" i="43"/>
  <c r="M16" i="1"/>
  <c r="O6" i="1"/>
  <c r="L38" i="9"/>
  <c r="B14" i="66"/>
  <c r="B1" i="66"/>
  <c r="C21" i="4"/>
  <c r="O5" i="54"/>
  <c r="B45" i="63"/>
  <c r="D46" i="9"/>
  <c r="D16" i="43"/>
  <c r="C16" i="43"/>
  <c r="D44" i="9"/>
  <c r="E6" i="6"/>
  <c r="D13" i="11"/>
  <c r="C13" i="11"/>
  <c r="D45" i="9"/>
  <c r="D72" i="46"/>
  <c r="J72" i="46"/>
  <c r="D49" i="73"/>
  <c r="J49" i="73"/>
  <c r="J51" i="73"/>
  <c r="D51" i="73"/>
  <c r="D52" i="73"/>
  <c r="J52" i="73"/>
  <c r="J50" i="73"/>
  <c r="D50" i="73"/>
  <c r="D69" i="46"/>
  <c r="E69" i="46"/>
  <c r="B67" i="46"/>
  <c r="C24" i="46"/>
  <c r="N69" i="46"/>
  <c r="N47" i="73"/>
  <c r="D47" i="73"/>
  <c r="D53" i="73"/>
  <c r="N53" i="73"/>
  <c r="F21" i="43"/>
  <c r="C23" i="43"/>
  <c r="D21" i="43"/>
  <c r="F24" i="77"/>
  <c r="C24" i="77"/>
  <c r="F26" i="44"/>
  <c r="C26" i="44"/>
  <c r="F26" i="80"/>
  <c r="C27" i="80"/>
  <c r="D26" i="80"/>
  <c r="C32" i="80"/>
  <c r="D30" i="80"/>
  <c r="F26" i="82"/>
  <c r="C27" i="82"/>
  <c r="D26" i="82"/>
  <c r="C32" i="82"/>
  <c r="D30" i="82"/>
  <c r="C40" i="44"/>
  <c r="E41" i="46"/>
  <c r="C41" i="46"/>
  <c r="C10" i="15"/>
  <c r="C5" i="15"/>
  <c r="C52" i="15"/>
  <c r="C47" i="15"/>
  <c r="J28" i="44"/>
  <c r="J31" i="44"/>
  <c r="J26" i="44"/>
  <c r="C35" i="9"/>
  <c r="F42" i="9"/>
  <c r="O43" i="9"/>
  <c r="O38" i="9"/>
  <c r="C42" i="9"/>
  <c r="C33" i="9"/>
  <c r="C34" i="9"/>
  <c r="C10" i="77"/>
  <c r="C5" i="77"/>
  <c r="C52" i="77"/>
  <c r="C47" i="77"/>
  <c r="E41" i="73"/>
  <c r="C41" i="73"/>
  <c r="C16" i="77"/>
  <c r="C16" i="15"/>
  <c r="C24" i="85"/>
  <c r="J24" i="15"/>
  <c r="AA7" i="35"/>
  <c r="R38" i="35"/>
  <c r="S7" i="35"/>
  <c r="I46" i="36"/>
  <c r="I42" i="35"/>
  <c r="J42" i="35"/>
  <c r="J58" i="33"/>
  <c r="I54" i="34"/>
  <c r="J54" i="34"/>
  <c r="E54" i="34"/>
  <c r="F54" i="34"/>
  <c r="E53" i="34"/>
  <c r="F53" i="34"/>
  <c r="G52" i="21"/>
  <c r="H52" i="21"/>
  <c r="G53" i="21"/>
  <c r="H53" i="21"/>
  <c r="G42" i="35"/>
  <c r="H42" i="35"/>
  <c r="G43" i="35"/>
  <c r="H43" i="35"/>
  <c r="E48" i="40"/>
  <c r="F48" i="40"/>
  <c r="E49" i="40"/>
  <c r="F49" i="40"/>
  <c r="I49" i="40"/>
  <c r="J49" i="40"/>
  <c r="AA7" i="21"/>
  <c r="R48" i="21"/>
  <c r="S7" i="21"/>
  <c r="I52" i="21"/>
  <c r="J52" i="21"/>
  <c r="C49" i="34"/>
  <c r="C50" i="34"/>
  <c r="B3" i="34"/>
  <c r="B2" i="34"/>
  <c r="J9" i="39"/>
  <c r="H9" i="39"/>
  <c r="C44" i="40"/>
  <c r="C45" i="40"/>
  <c r="F18" i="11"/>
  <c r="B4" i="11"/>
  <c r="J26" i="77"/>
  <c r="J29" i="77"/>
  <c r="C17" i="82"/>
  <c r="C14" i="82"/>
  <c r="K19" i="6"/>
  <c r="K22" i="6"/>
  <c r="E31" i="6"/>
  <c r="K23" i="6"/>
  <c r="K25" i="6"/>
  <c r="M25" i="6"/>
  <c r="I25" i="6"/>
  <c r="S25" i="6"/>
  <c r="K20" i="6"/>
  <c r="K24" i="6"/>
  <c r="M24" i="6"/>
  <c r="I24" i="6"/>
  <c r="S24" i="6"/>
  <c r="K26" i="6"/>
  <c r="M26" i="6"/>
  <c r="I26" i="6"/>
  <c r="S26" i="6"/>
  <c r="C13" i="80"/>
  <c r="O9" i="1"/>
  <c r="P9" i="1"/>
  <c r="C14" i="12"/>
  <c r="C17" i="12"/>
  <c r="C50" i="69"/>
  <c r="B3" i="69"/>
  <c r="B2" i="69"/>
  <c r="C49" i="69"/>
  <c r="D10" i="6"/>
  <c r="E63" i="40"/>
  <c r="F63" i="40"/>
  <c r="B2" i="40"/>
  <c r="E45" i="9"/>
  <c r="K38" i="9"/>
  <c r="C14" i="66"/>
  <c r="B2" i="66"/>
  <c r="D9" i="6"/>
  <c r="F45" i="9"/>
  <c r="D5" i="6"/>
  <c r="F46" i="9"/>
  <c r="F1" i="73"/>
  <c r="E46" i="9"/>
  <c r="D14" i="6"/>
  <c r="F44" i="9"/>
  <c r="D11" i="6"/>
  <c r="E68" i="39"/>
  <c r="D6" i="6"/>
  <c r="D13" i="6"/>
  <c r="C22" i="4"/>
  <c r="E44" i="9"/>
  <c r="D15" i="6"/>
  <c r="F1" i="46"/>
  <c r="D12" i="6"/>
  <c r="G22" i="9"/>
  <c r="D8" i="6"/>
  <c r="C8" i="66"/>
  <c r="C7" i="66"/>
  <c r="C6" i="66"/>
  <c r="P6" i="1"/>
  <c r="N16" i="1"/>
  <c r="C29" i="43"/>
  <c r="C13" i="43"/>
  <c r="L16" i="1"/>
  <c r="E54" i="69"/>
  <c r="F54" i="69"/>
  <c r="E53" i="69"/>
  <c r="F53" i="69"/>
  <c r="I54" i="69"/>
  <c r="J54" i="69"/>
  <c r="E47" i="73"/>
  <c r="B45" i="73"/>
  <c r="C24" i="73"/>
  <c r="C38" i="73"/>
  <c r="C65" i="77"/>
  <c r="C59" i="77"/>
  <c r="C38" i="77"/>
  <c r="E42" i="9"/>
  <c r="P5" i="54"/>
  <c r="B46" i="63"/>
  <c r="M38" i="9"/>
  <c r="K27" i="9"/>
  <c r="N68" i="9"/>
  <c r="R5" i="54"/>
  <c r="B48" i="63"/>
  <c r="D63" i="9"/>
  <c r="C38" i="15"/>
  <c r="C38" i="46"/>
  <c r="B7" i="87"/>
  <c r="B14" i="87"/>
  <c r="C39" i="46"/>
  <c r="B8" i="87"/>
  <c r="B15" i="87"/>
  <c r="N38" i="9"/>
  <c r="K28" i="9"/>
  <c r="D42" i="9"/>
  <c r="Q5" i="54"/>
  <c r="B47" i="63"/>
  <c r="K26" i="9"/>
  <c r="K25" i="9"/>
  <c r="Q58" i="44"/>
  <c r="Q64" i="44"/>
  <c r="Q49" i="44"/>
  <c r="Q55" i="44"/>
  <c r="Q67" i="44"/>
  <c r="Q77" i="44"/>
  <c r="C65" i="15"/>
  <c r="C59" i="15"/>
  <c r="T10" i="46"/>
  <c r="V10" i="46"/>
  <c r="C37" i="46"/>
  <c r="T11" i="46"/>
  <c r="V11" i="46"/>
  <c r="T8" i="46"/>
  <c r="V8" i="46"/>
  <c r="C35" i="46"/>
  <c r="T13" i="46"/>
  <c r="V13" i="46"/>
  <c r="T9" i="46"/>
  <c r="V9" i="46"/>
  <c r="C33" i="46"/>
  <c r="T14" i="46"/>
  <c r="V14" i="46"/>
  <c r="T16" i="46"/>
  <c r="V16" i="46"/>
  <c r="C36" i="46"/>
  <c r="C34" i="46"/>
  <c r="T15" i="46"/>
  <c r="V15" i="46"/>
  <c r="T12" i="46"/>
  <c r="V12" i="46"/>
  <c r="C36" i="85"/>
  <c r="G36" i="85"/>
  <c r="I36" i="85"/>
  <c r="B5" i="11"/>
  <c r="C34" i="73"/>
  <c r="G34" i="73"/>
  <c r="I34" i="73"/>
  <c r="C36" i="73"/>
  <c r="G36" i="73"/>
  <c r="I36" i="73"/>
  <c r="T13" i="73"/>
  <c r="V13" i="73"/>
  <c r="C39" i="85"/>
  <c r="G39" i="85"/>
  <c r="I39" i="85"/>
  <c r="T8" i="85"/>
  <c r="V8" i="85"/>
  <c r="T13" i="85"/>
  <c r="V13" i="85"/>
  <c r="T10" i="85"/>
  <c r="V10" i="85"/>
  <c r="C33" i="85"/>
  <c r="G33" i="85"/>
  <c r="I33" i="85"/>
  <c r="C37" i="85"/>
  <c r="E37" i="85"/>
  <c r="T14" i="85"/>
  <c r="V14" i="85"/>
  <c r="C34" i="85"/>
  <c r="E34" i="85"/>
  <c r="C38" i="85"/>
  <c r="G38" i="85"/>
  <c r="I38" i="85"/>
  <c r="T9" i="85"/>
  <c r="V9" i="85"/>
  <c r="T15" i="85"/>
  <c r="V15" i="85"/>
  <c r="T16" i="85"/>
  <c r="V16" i="85"/>
  <c r="C35" i="85"/>
  <c r="G35" i="85"/>
  <c r="I35" i="85"/>
  <c r="T12" i="85"/>
  <c r="V12" i="85"/>
  <c r="T11" i="85"/>
  <c r="V11" i="85"/>
  <c r="U9" i="39"/>
  <c r="AB9" i="39"/>
  <c r="B60" i="40"/>
  <c r="F60" i="40"/>
  <c r="B54" i="40"/>
  <c r="F54" i="40"/>
  <c r="B56" i="40"/>
  <c r="F56" i="40"/>
  <c r="B58" i="40"/>
  <c r="F58" i="40"/>
  <c r="B62" i="40"/>
  <c r="F62" i="40"/>
  <c r="B59" i="40"/>
  <c r="F59" i="40"/>
  <c r="B55" i="40"/>
  <c r="F55" i="40"/>
  <c r="B53" i="40"/>
  <c r="F53" i="40"/>
  <c r="B57" i="40"/>
  <c r="F57" i="40"/>
  <c r="B61" i="40"/>
  <c r="F61" i="40"/>
  <c r="S9" i="39"/>
  <c r="W9" i="39"/>
  <c r="AC9" i="39"/>
  <c r="R49" i="21"/>
  <c r="E48" i="21"/>
  <c r="K58" i="33"/>
  <c r="J46" i="36"/>
  <c r="E38" i="35"/>
  <c r="R39" i="35"/>
  <c r="H11" i="87"/>
  <c r="H24" i="6"/>
  <c r="H25" i="6"/>
  <c r="R25" i="6"/>
  <c r="M23" i="6"/>
  <c r="I23" i="6"/>
  <c r="S10" i="1"/>
  <c r="O16" i="1"/>
  <c r="R24" i="6"/>
  <c r="H26" i="6"/>
  <c r="R26" i="6"/>
  <c r="M21" i="6"/>
  <c r="I21" i="6"/>
  <c r="M22" i="6"/>
  <c r="I22" i="6"/>
  <c r="S9" i="1"/>
  <c r="S7" i="1"/>
  <c r="M20" i="6"/>
  <c r="I20" i="6"/>
  <c r="S6" i="1"/>
  <c r="M19" i="6"/>
  <c r="K27" i="6"/>
  <c r="C17" i="80"/>
  <c r="C14" i="80"/>
  <c r="D16" i="6"/>
  <c r="C17" i="43"/>
  <c r="C14" i="43"/>
  <c r="D8" i="66"/>
  <c r="D7" i="66"/>
  <c r="D6" i="66"/>
  <c r="B5" i="40"/>
  <c r="B3" i="40"/>
  <c r="B4" i="40"/>
  <c r="P16" i="1"/>
  <c r="A6" i="64"/>
  <c r="A20" i="51"/>
  <c r="B15" i="63"/>
  <c r="N5" i="54"/>
  <c r="B43" i="63"/>
  <c r="A6" i="51"/>
  <c r="B7" i="63"/>
  <c r="A20" i="64"/>
  <c r="T12" i="73"/>
  <c r="V12" i="73"/>
  <c r="C35" i="73"/>
  <c r="G35" i="73"/>
  <c r="I35" i="73"/>
  <c r="C37" i="73"/>
  <c r="G37" i="73"/>
  <c r="I37" i="73"/>
  <c r="C39" i="73"/>
  <c r="E39" i="73"/>
  <c r="T10" i="73"/>
  <c r="V10" i="73"/>
  <c r="T8" i="73"/>
  <c r="V8" i="73"/>
  <c r="T16" i="73"/>
  <c r="V16" i="73"/>
  <c r="T14" i="73"/>
  <c r="V14" i="73"/>
  <c r="C33" i="73"/>
  <c r="E33" i="73"/>
  <c r="T11" i="73"/>
  <c r="V11" i="73"/>
  <c r="T9" i="73"/>
  <c r="V9" i="73"/>
  <c r="T15" i="73"/>
  <c r="V15" i="73"/>
  <c r="G33" i="46"/>
  <c r="I33" i="46"/>
  <c r="E33" i="46"/>
  <c r="E35" i="46"/>
  <c r="G35" i="46"/>
  <c r="I35" i="46"/>
  <c r="G33" i="73"/>
  <c r="I33" i="73"/>
  <c r="G39" i="46"/>
  <c r="I39" i="46"/>
  <c r="E39" i="46"/>
  <c r="G34" i="46"/>
  <c r="I34" i="46"/>
  <c r="E34" i="46"/>
  <c r="E36" i="46"/>
  <c r="G36" i="46"/>
  <c r="I36" i="46"/>
  <c r="E37" i="46"/>
  <c r="G37" i="46"/>
  <c r="I37" i="46"/>
  <c r="E38" i="46"/>
  <c r="G38" i="46"/>
  <c r="I38" i="46"/>
  <c r="C82" i="9"/>
  <c r="C81" i="9"/>
  <c r="C85" i="9"/>
  <c r="C86" i="9"/>
  <c r="D72" i="9"/>
  <c r="D77" i="9"/>
  <c r="N75" i="9"/>
  <c r="C90" i="9"/>
  <c r="C111" i="9"/>
  <c r="C104" i="9"/>
  <c r="D70" i="9"/>
  <c r="D71" i="9"/>
  <c r="D66" i="9"/>
  <c r="N72" i="9"/>
  <c r="C103" i="9"/>
  <c r="C96" i="9"/>
  <c r="C91" i="9"/>
  <c r="G38" i="73"/>
  <c r="I38" i="73"/>
  <c r="E38" i="73"/>
  <c r="C19" i="44"/>
  <c r="D22" i="82"/>
  <c r="C17" i="15"/>
  <c r="C17" i="77"/>
  <c r="D16" i="80"/>
  <c r="D22" i="80"/>
  <c r="D16" i="82"/>
  <c r="E36" i="85"/>
  <c r="E36" i="73"/>
  <c r="G34" i="85"/>
  <c r="I34" i="85"/>
  <c r="E34" i="73"/>
  <c r="C37" i="88"/>
  <c r="G37" i="85"/>
  <c r="I37" i="85"/>
  <c r="E33" i="85"/>
  <c r="E38" i="85"/>
  <c r="E35" i="85"/>
  <c r="E39" i="85"/>
  <c r="C38" i="35"/>
  <c r="C39" i="35"/>
  <c r="B3" i="35"/>
  <c r="B2" i="35"/>
  <c r="E42" i="35"/>
  <c r="F42" i="35"/>
  <c r="E43" i="35"/>
  <c r="F43" i="35"/>
  <c r="I43" i="35"/>
  <c r="J43" i="35"/>
  <c r="K46" i="36"/>
  <c r="L58" i="33"/>
  <c r="C48" i="21"/>
  <c r="C49" i="21"/>
  <c r="B3" i="21"/>
  <c r="B2" i="21"/>
  <c r="E53" i="21"/>
  <c r="F53" i="21"/>
  <c r="E52" i="21"/>
  <c r="F52" i="21"/>
  <c r="I53" i="21"/>
  <c r="J53" i="21"/>
  <c r="S23" i="6"/>
  <c r="H23" i="6"/>
  <c r="R23" i="6"/>
  <c r="D19" i="80"/>
  <c r="C19" i="80"/>
  <c r="C16" i="80"/>
  <c r="C18" i="80"/>
  <c r="C22" i="80"/>
  <c r="C20" i="80"/>
  <c r="C16" i="82"/>
  <c r="C18" i="82"/>
  <c r="D19" i="82"/>
  <c r="C19" i="82"/>
  <c r="C22" i="82"/>
  <c r="C20" i="82"/>
  <c r="G39" i="73"/>
  <c r="I39" i="73"/>
  <c r="M27" i="6"/>
  <c r="I19" i="6"/>
  <c r="S20" i="6"/>
  <c r="H20" i="6"/>
  <c r="R20" i="6"/>
  <c r="R7" i="1"/>
  <c r="S16" i="1"/>
  <c r="T9" i="1"/>
  <c r="T7" i="1"/>
  <c r="H22" i="6"/>
  <c r="R22" i="6"/>
  <c r="S22" i="6"/>
  <c r="H21" i="6"/>
  <c r="R21" i="6"/>
  <c r="R8" i="1"/>
  <c r="S21" i="6"/>
  <c r="E35" i="73"/>
  <c r="E37" i="73"/>
  <c r="C18" i="43"/>
  <c r="C19" i="43"/>
  <c r="C25" i="43"/>
  <c r="C24" i="43"/>
  <c r="C113" i="9"/>
  <c r="C114" i="9"/>
  <c r="E114" i="9"/>
  <c r="E115" i="9"/>
  <c r="C97" i="9"/>
  <c r="M23" i="44"/>
  <c r="F37" i="44"/>
  <c r="L46" i="36"/>
  <c r="M58" i="33"/>
  <c r="T8" i="1"/>
  <c r="T6" i="1"/>
  <c r="R9" i="1"/>
  <c r="R10" i="1"/>
  <c r="J22" i="44"/>
  <c r="C36" i="44"/>
  <c r="C23" i="80"/>
  <c r="S19" i="6"/>
  <c r="S27" i="6"/>
  <c r="I27" i="6"/>
  <c r="H19" i="6"/>
  <c r="T12" i="1"/>
  <c r="T10" i="1"/>
  <c r="T13" i="1"/>
  <c r="T11" i="1"/>
  <c r="C23" i="82"/>
  <c r="C22" i="43"/>
  <c r="C21" i="43"/>
  <c r="C28" i="43"/>
  <c r="C30" i="43"/>
  <c r="C32" i="43"/>
  <c r="B2" i="43"/>
  <c r="B4" i="43"/>
  <c r="I5" i="6"/>
  <c r="C115" i="9"/>
  <c r="D76" i="9"/>
  <c r="D74" i="9"/>
  <c r="N74" i="9"/>
  <c r="O77" i="9"/>
  <c r="Q77" i="9"/>
  <c r="C99" i="9"/>
  <c r="C98" i="9"/>
  <c r="E98" i="9"/>
  <c r="E99" i="9"/>
  <c r="B4" i="88"/>
  <c r="M21" i="15"/>
  <c r="C14" i="15"/>
  <c r="B5" i="88"/>
  <c r="F35" i="15"/>
  <c r="C16" i="44"/>
  <c r="M21" i="77"/>
  <c r="C14" i="77"/>
  <c r="F35" i="77"/>
  <c r="N58" i="33"/>
  <c r="O58" i="33"/>
  <c r="F7" i="33"/>
  <c r="M46" i="36"/>
  <c r="C20" i="44"/>
  <c r="C17" i="44"/>
  <c r="C15" i="77"/>
  <c r="C18" i="77"/>
  <c r="F62" i="77"/>
  <c r="C61" i="77"/>
  <c r="C34" i="77"/>
  <c r="J20" i="77"/>
  <c r="C34" i="15"/>
  <c r="F62" i="15"/>
  <c r="C61" i="15"/>
  <c r="J20" i="15"/>
  <c r="C18" i="15"/>
  <c r="C15" i="15"/>
  <c r="T16" i="1"/>
  <c r="H27" i="6"/>
  <c r="R19" i="6"/>
  <c r="B3" i="43"/>
  <c r="B5" i="43"/>
  <c r="G3" i="46"/>
  <c r="O78" i="9"/>
  <c r="O79" i="9"/>
  <c r="O81" i="9"/>
  <c r="G3" i="73"/>
  <c r="AA11" i="73"/>
  <c r="AA13" i="73"/>
  <c r="G3" i="85"/>
  <c r="N46" i="36"/>
  <c r="S7" i="33"/>
  <c r="AA7" i="33"/>
  <c r="R48" i="33"/>
  <c r="H7" i="33"/>
  <c r="J7" i="33"/>
  <c r="C19" i="77"/>
  <c r="C20" i="77"/>
  <c r="C26" i="77"/>
  <c r="C19" i="15"/>
  <c r="C20" i="15"/>
  <c r="C26" i="15"/>
  <c r="C21" i="44"/>
  <c r="C22" i="44"/>
  <c r="C28" i="44"/>
  <c r="R27" i="6"/>
  <c r="R6" i="1"/>
  <c r="AI11" i="73"/>
  <c r="AI13" i="73"/>
  <c r="S4" i="73"/>
  <c r="T4" i="73"/>
  <c r="V4" i="73"/>
  <c r="E22" i="73"/>
  <c r="G22" i="73"/>
  <c r="Y11" i="73"/>
  <c r="Y13" i="73"/>
  <c r="I101" i="73"/>
  <c r="AB11" i="73"/>
  <c r="AB13" i="73"/>
  <c r="S5" i="73"/>
  <c r="T5" i="73"/>
  <c r="V5" i="73"/>
  <c r="K101" i="73"/>
  <c r="S3" i="73"/>
  <c r="T3" i="73"/>
  <c r="V3" i="73"/>
  <c r="M101" i="73"/>
  <c r="Z11" i="73"/>
  <c r="Z13" i="73"/>
  <c r="H22" i="73"/>
  <c r="F22" i="73"/>
  <c r="AC11" i="73"/>
  <c r="AC13" i="73"/>
  <c r="L101" i="73"/>
  <c r="AF11" i="73"/>
  <c r="AF13" i="73"/>
  <c r="G101" i="73"/>
  <c r="N101" i="73"/>
  <c r="I101" i="46"/>
  <c r="AD11" i="46"/>
  <c r="AD13" i="46"/>
  <c r="J101" i="46"/>
  <c r="L101" i="46"/>
  <c r="H22" i="46"/>
  <c r="S4" i="46"/>
  <c r="T4" i="46"/>
  <c r="V4" i="46"/>
  <c r="N104" i="45"/>
  <c r="Z11" i="46"/>
  <c r="Z13" i="46"/>
  <c r="AF11" i="46"/>
  <c r="AF13" i="46"/>
  <c r="S2" i="46"/>
  <c r="T2" i="46"/>
  <c r="V2" i="46"/>
  <c r="M101" i="46"/>
  <c r="AJ11" i="46"/>
  <c r="AJ13" i="46"/>
  <c r="B113" i="46"/>
  <c r="F22" i="46"/>
  <c r="S7" i="46"/>
  <c r="T7" i="46"/>
  <c r="V7" i="46"/>
  <c r="Y11" i="46"/>
  <c r="Y13" i="46"/>
  <c r="E101" i="46"/>
  <c r="AH11" i="46"/>
  <c r="AH13" i="46"/>
  <c r="AE11" i="46"/>
  <c r="AE13" i="46"/>
  <c r="S3" i="46"/>
  <c r="T3" i="46"/>
  <c r="V3" i="46"/>
  <c r="N101" i="46"/>
  <c r="C101" i="46"/>
  <c r="H101" i="46"/>
  <c r="K101" i="46"/>
  <c r="S5" i="46"/>
  <c r="T5" i="46"/>
  <c r="V5" i="46"/>
  <c r="G22" i="46"/>
  <c r="Z7" i="46"/>
  <c r="AA11" i="46"/>
  <c r="AA13" i="46"/>
  <c r="AB11" i="46"/>
  <c r="AB13" i="46"/>
  <c r="J22" i="46"/>
  <c r="AC11" i="46"/>
  <c r="AC13" i="46"/>
  <c r="G101" i="46"/>
  <c r="F101" i="46"/>
  <c r="E22" i="46"/>
  <c r="S6" i="46"/>
  <c r="T6" i="46"/>
  <c r="V6" i="46"/>
  <c r="D101" i="46"/>
  <c r="AG11" i="46"/>
  <c r="AG13" i="46"/>
  <c r="AI11" i="46"/>
  <c r="AI13" i="46"/>
  <c r="C23" i="46"/>
  <c r="O80" i="9"/>
  <c r="B4" i="12"/>
  <c r="B5" i="12"/>
  <c r="C37" i="75"/>
  <c r="S6" i="73"/>
  <c r="T6" i="73"/>
  <c r="V6" i="73"/>
  <c r="J22" i="73"/>
  <c r="S7" i="73"/>
  <c r="T7" i="73"/>
  <c r="V7" i="73"/>
  <c r="S2" i="73"/>
  <c r="T2" i="73"/>
  <c r="V2" i="73"/>
  <c r="Z7" i="73"/>
  <c r="H101" i="73"/>
  <c r="AH11" i="73"/>
  <c r="AH13" i="73"/>
  <c r="D101" i="73"/>
  <c r="AE11" i="73"/>
  <c r="AE13" i="73"/>
  <c r="C23" i="73"/>
  <c r="J101" i="73"/>
  <c r="AJ11" i="73"/>
  <c r="AJ13" i="73"/>
  <c r="F101" i="73"/>
  <c r="AG11" i="73"/>
  <c r="AG13" i="73"/>
  <c r="C101" i="73"/>
  <c r="B113" i="73"/>
  <c r="AD11" i="73"/>
  <c r="AD13" i="73"/>
  <c r="E101" i="73"/>
  <c r="S2" i="85"/>
  <c r="T2" i="85"/>
  <c r="V2" i="85"/>
  <c r="L101" i="85"/>
  <c r="H101" i="85"/>
  <c r="D101" i="85"/>
  <c r="I101" i="85"/>
  <c r="B113" i="85"/>
  <c r="G101" i="85"/>
  <c r="C23" i="85"/>
  <c r="G22" i="85"/>
  <c r="H22" i="85"/>
  <c r="AI11" i="85"/>
  <c r="AI13" i="85"/>
  <c r="AE11" i="85"/>
  <c r="AE13" i="85"/>
  <c r="AA11" i="85"/>
  <c r="AA13" i="85"/>
  <c r="S6" i="85"/>
  <c r="T6" i="85"/>
  <c r="V6" i="85"/>
  <c r="S3" i="85"/>
  <c r="T3" i="85"/>
  <c r="V3" i="85"/>
  <c r="Z7" i="85"/>
  <c r="AF11" i="85"/>
  <c r="AF13" i="85"/>
  <c r="S4" i="85"/>
  <c r="T4" i="85"/>
  <c r="V4" i="85"/>
  <c r="Z11" i="85"/>
  <c r="Z13" i="85"/>
  <c r="AH11" i="85"/>
  <c r="AH13" i="85"/>
  <c r="N101" i="85"/>
  <c r="J101" i="85"/>
  <c r="F101" i="85"/>
  <c r="M101" i="85"/>
  <c r="E101" i="85"/>
  <c r="K101" i="85"/>
  <c r="C101" i="85"/>
  <c r="J22" i="85"/>
  <c r="E22" i="85"/>
  <c r="F22" i="85"/>
  <c r="AG11" i="85"/>
  <c r="AG13" i="85"/>
  <c r="AC11" i="85"/>
  <c r="AC13" i="85"/>
  <c r="Y11" i="85"/>
  <c r="Y13" i="85"/>
  <c r="S5" i="85"/>
  <c r="T5" i="85"/>
  <c r="V5" i="85"/>
  <c r="AJ11" i="85"/>
  <c r="AJ13" i="85"/>
  <c r="S7" i="85"/>
  <c r="T7" i="85"/>
  <c r="V7" i="85"/>
  <c r="AB11" i="85"/>
  <c r="AB13" i="85"/>
  <c r="AD11" i="85"/>
  <c r="AD13" i="85"/>
  <c r="C25" i="44"/>
  <c r="C31" i="44"/>
  <c r="J16" i="44"/>
  <c r="U7" i="33"/>
  <c r="AB7" i="33"/>
  <c r="T48" i="33"/>
  <c r="G48" i="33"/>
  <c r="E48" i="33"/>
  <c r="R49" i="33"/>
  <c r="AC7" i="33"/>
  <c r="V48" i="33"/>
  <c r="I48" i="33"/>
  <c r="W7" i="33"/>
  <c r="O46" i="36"/>
  <c r="J7" i="36"/>
  <c r="C37" i="12"/>
  <c r="D22" i="46"/>
  <c r="C21" i="46"/>
  <c r="C23" i="15"/>
  <c r="C29" i="15"/>
  <c r="C13" i="15"/>
  <c r="C23" i="77"/>
  <c r="C29" i="77"/>
  <c r="R16" i="1"/>
  <c r="F103" i="46"/>
  <c r="F109" i="46"/>
  <c r="F102" i="46"/>
  <c r="F106" i="46"/>
  <c r="F107" i="46"/>
  <c r="F104" i="46"/>
  <c r="F105" i="46"/>
  <c r="H106" i="46"/>
  <c r="H105" i="46"/>
  <c r="H103" i="46"/>
  <c r="H104" i="46"/>
  <c r="H109" i="46"/>
  <c r="H107" i="46"/>
  <c r="H102" i="46"/>
  <c r="N107" i="46"/>
  <c r="N106" i="46"/>
  <c r="N102" i="46"/>
  <c r="N104" i="46"/>
  <c r="N109" i="46"/>
  <c r="N105" i="46"/>
  <c r="N103" i="46"/>
  <c r="E106" i="46"/>
  <c r="E103" i="46"/>
  <c r="E102" i="46"/>
  <c r="E104" i="46"/>
  <c r="E105" i="46"/>
  <c r="E109" i="46"/>
  <c r="E107" i="46"/>
  <c r="I115" i="46"/>
  <c r="J115" i="46"/>
  <c r="K115" i="46"/>
  <c r="L115" i="46"/>
  <c r="M115" i="46"/>
  <c r="B117" i="46"/>
  <c r="C117" i="46"/>
  <c r="I116" i="46"/>
  <c r="J116" i="46"/>
  <c r="K116" i="46"/>
  <c r="L116" i="46"/>
  <c r="M116" i="46"/>
  <c r="B118" i="46"/>
  <c r="C118" i="46"/>
  <c r="D116" i="46"/>
  <c r="E116" i="46"/>
  <c r="F116" i="46"/>
  <c r="G116" i="46"/>
  <c r="H116" i="46"/>
  <c r="D118" i="46"/>
  <c r="E118" i="46"/>
  <c r="F118" i="46"/>
  <c r="D117" i="46"/>
  <c r="E117" i="46"/>
  <c r="F117" i="46"/>
  <c r="G117" i="46"/>
  <c r="H117" i="46"/>
  <c r="I118" i="46"/>
  <c r="J118" i="46"/>
  <c r="K118" i="46"/>
  <c r="L118" i="46"/>
  <c r="M118" i="46"/>
  <c r="B115" i="46"/>
  <c r="I117" i="46"/>
  <c r="J117" i="46"/>
  <c r="K117" i="46"/>
  <c r="L117" i="46"/>
  <c r="M117" i="46"/>
  <c r="D115" i="46"/>
  <c r="E115" i="46"/>
  <c r="F115" i="46"/>
  <c r="G115" i="46"/>
  <c r="H115" i="46"/>
  <c r="B116" i="46"/>
  <c r="C116" i="46"/>
  <c r="G118" i="46"/>
  <c r="H118" i="46"/>
  <c r="M102" i="46"/>
  <c r="M109" i="46"/>
  <c r="M104" i="46"/>
  <c r="M107" i="46"/>
  <c r="M106" i="46"/>
  <c r="M105" i="46"/>
  <c r="M103" i="46"/>
  <c r="D106" i="46"/>
  <c r="D103" i="46"/>
  <c r="D102" i="46"/>
  <c r="D105" i="46"/>
  <c r="D109" i="46"/>
  <c r="D104" i="46"/>
  <c r="D107" i="46"/>
  <c r="G109" i="46"/>
  <c r="G102" i="46"/>
  <c r="G106" i="46"/>
  <c r="G105" i="46"/>
  <c r="G107" i="46"/>
  <c r="G103" i="46"/>
  <c r="G104" i="46"/>
  <c r="K105" i="46"/>
  <c r="K107" i="46"/>
  <c r="K103" i="46"/>
  <c r="K104" i="46"/>
  <c r="K109" i="46"/>
  <c r="K102" i="46"/>
  <c r="K106" i="46"/>
  <c r="C105" i="46"/>
  <c r="C104" i="46"/>
  <c r="C103" i="46"/>
  <c r="C106" i="46"/>
  <c r="C109" i="46"/>
  <c r="C107" i="46"/>
  <c r="C102" i="46"/>
  <c r="L106" i="46"/>
  <c r="L103" i="46"/>
  <c r="L109" i="46"/>
  <c r="L104" i="46"/>
  <c r="L102" i="46"/>
  <c r="L107" i="46"/>
  <c r="L105" i="46"/>
  <c r="N109" i="73"/>
  <c r="N106" i="73"/>
  <c r="N103" i="73"/>
  <c r="N102" i="73"/>
  <c r="N105" i="73"/>
  <c r="N104" i="73"/>
  <c r="N107" i="73"/>
  <c r="G102" i="73"/>
  <c r="G107" i="73"/>
  <c r="G104" i="73"/>
  <c r="G105" i="73"/>
  <c r="G106" i="73"/>
  <c r="G109" i="73"/>
  <c r="G103" i="73"/>
  <c r="L104" i="73"/>
  <c r="L109" i="73"/>
  <c r="L105" i="73"/>
  <c r="L103" i="73"/>
  <c r="L107" i="73"/>
  <c r="L102" i="73"/>
  <c r="L106" i="73"/>
  <c r="M102" i="73"/>
  <c r="M104" i="73"/>
  <c r="M109" i="73"/>
  <c r="M106" i="73"/>
  <c r="M107" i="73"/>
  <c r="M103" i="73"/>
  <c r="M105" i="73"/>
  <c r="K106" i="73"/>
  <c r="K105" i="73"/>
  <c r="K107" i="73"/>
  <c r="K103" i="73"/>
  <c r="K102" i="73"/>
  <c r="K109" i="73"/>
  <c r="K104" i="73"/>
  <c r="I109" i="73"/>
  <c r="I107" i="73"/>
  <c r="I102" i="73"/>
  <c r="I103" i="73"/>
  <c r="I104" i="73"/>
  <c r="I105" i="73"/>
  <c r="I106" i="73"/>
  <c r="D22" i="73"/>
  <c r="C21" i="73"/>
  <c r="J107" i="46"/>
  <c r="J109" i="46"/>
  <c r="J105" i="46"/>
  <c r="J103" i="46"/>
  <c r="J106" i="46"/>
  <c r="J104" i="46"/>
  <c r="J102" i="46"/>
  <c r="I105" i="46"/>
  <c r="I103" i="46"/>
  <c r="I107" i="46"/>
  <c r="I106" i="46"/>
  <c r="I104" i="46"/>
  <c r="I109" i="46"/>
  <c r="I102" i="46"/>
  <c r="H105" i="73"/>
  <c r="H102" i="73"/>
  <c r="H106" i="73"/>
  <c r="H109" i="73"/>
  <c r="H104" i="73"/>
  <c r="H107" i="73"/>
  <c r="H103" i="73"/>
  <c r="D104" i="73"/>
  <c r="D107" i="73"/>
  <c r="D109" i="73"/>
  <c r="D103" i="73"/>
  <c r="D105" i="73"/>
  <c r="D106" i="73"/>
  <c r="D102" i="73"/>
  <c r="J106" i="73"/>
  <c r="J103" i="73"/>
  <c r="J107" i="73"/>
  <c r="J105" i="73"/>
  <c r="J102" i="73"/>
  <c r="J109" i="73"/>
  <c r="J104" i="73"/>
  <c r="F103" i="73"/>
  <c r="F102" i="73"/>
  <c r="F106" i="73"/>
  <c r="F107" i="73"/>
  <c r="F109" i="73"/>
  <c r="F105" i="73"/>
  <c r="F104" i="73"/>
  <c r="C103" i="73"/>
  <c r="C104" i="73"/>
  <c r="C105" i="73"/>
  <c r="C107" i="73"/>
  <c r="C106" i="73"/>
  <c r="C109" i="73"/>
  <c r="C102" i="73"/>
  <c r="D117" i="73"/>
  <c r="E117" i="73"/>
  <c r="F117" i="73"/>
  <c r="G117" i="73"/>
  <c r="H117" i="73"/>
  <c r="I116" i="73"/>
  <c r="J116" i="73"/>
  <c r="K116" i="73"/>
  <c r="L116" i="73"/>
  <c r="M116" i="73"/>
  <c r="D116" i="73"/>
  <c r="E116" i="73"/>
  <c r="F116" i="73"/>
  <c r="G116" i="73"/>
  <c r="H116" i="73"/>
  <c r="B116" i="73"/>
  <c r="C116" i="73"/>
  <c r="B115" i="73"/>
  <c r="I118" i="73"/>
  <c r="J118" i="73"/>
  <c r="K118" i="73"/>
  <c r="L118" i="73"/>
  <c r="M118" i="73"/>
  <c r="I115" i="73"/>
  <c r="J115" i="73"/>
  <c r="K115" i="73"/>
  <c r="L115" i="73"/>
  <c r="M115" i="73"/>
  <c r="D115" i="73"/>
  <c r="E115" i="73"/>
  <c r="F115" i="73"/>
  <c r="G115" i="73"/>
  <c r="H115" i="73"/>
  <c r="D118" i="73"/>
  <c r="E118" i="73"/>
  <c r="F118" i="73"/>
  <c r="I117" i="73"/>
  <c r="J117" i="73"/>
  <c r="K117" i="73"/>
  <c r="L117" i="73"/>
  <c r="M117" i="73"/>
  <c r="G118" i="73"/>
  <c r="H118" i="73"/>
  <c r="B118" i="73"/>
  <c r="C118" i="73"/>
  <c r="B117" i="73"/>
  <c r="C117" i="73"/>
  <c r="E109" i="73"/>
  <c r="E105" i="73"/>
  <c r="E106" i="73"/>
  <c r="E102" i="73"/>
  <c r="E104" i="73"/>
  <c r="E103" i="73"/>
  <c r="E107" i="73"/>
  <c r="B4" i="75"/>
  <c r="B5" i="75"/>
  <c r="F5" i="87"/>
  <c r="D7" i="87"/>
  <c r="D8" i="87"/>
  <c r="C30" i="46"/>
  <c r="E30" i="46"/>
  <c r="C27" i="46"/>
  <c r="G118" i="85"/>
  <c r="H118" i="85"/>
  <c r="I116" i="85"/>
  <c r="J116" i="85"/>
  <c r="K116" i="85"/>
  <c r="L116" i="85"/>
  <c r="M116" i="85"/>
  <c r="D118" i="85"/>
  <c r="E118" i="85"/>
  <c r="F118" i="85"/>
  <c r="D116" i="85"/>
  <c r="E116" i="85"/>
  <c r="F116" i="85"/>
  <c r="G116" i="85"/>
  <c r="H116" i="85"/>
  <c r="B118" i="85"/>
  <c r="C118" i="85"/>
  <c r="B116" i="85"/>
  <c r="C116" i="85"/>
  <c r="I118" i="85"/>
  <c r="J118" i="85"/>
  <c r="K118" i="85"/>
  <c r="L118" i="85"/>
  <c r="M118" i="85"/>
  <c r="I117" i="85"/>
  <c r="J117" i="85"/>
  <c r="K117" i="85"/>
  <c r="L117" i="85"/>
  <c r="M117" i="85"/>
  <c r="I115" i="85"/>
  <c r="J115" i="85"/>
  <c r="K115" i="85"/>
  <c r="L115" i="85"/>
  <c r="M115" i="85"/>
  <c r="D117" i="85"/>
  <c r="E117" i="85"/>
  <c r="F117" i="85"/>
  <c r="G117" i="85"/>
  <c r="H117" i="85"/>
  <c r="D115" i="85"/>
  <c r="E115" i="85"/>
  <c r="F115" i="85"/>
  <c r="G115" i="85"/>
  <c r="H115" i="85"/>
  <c r="B117" i="85"/>
  <c r="C117" i="85"/>
  <c r="B115" i="85"/>
  <c r="D109" i="85"/>
  <c r="D107" i="85"/>
  <c r="D105" i="85"/>
  <c r="D103" i="85"/>
  <c r="D106" i="85"/>
  <c r="D104" i="85"/>
  <c r="D102" i="85"/>
  <c r="L109" i="85"/>
  <c r="L107" i="85"/>
  <c r="L105" i="85"/>
  <c r="L103" i="85"/>
  <c r="L106" i="85"/>
  <c r="L104" i="85"/>
  <c r="L102" i="85"/>
  <c r="K109" i="85"/>
  <c r="K106" i="85"/>
  <c r="K104" i="85"/>
  <c r="K102" i="85"/>
  <c r="K107" i="85"/>
  <c r="K105" i="85"/>
  <c r="K103" i="85"/>
  <c r="M109" i="85"/>
  <c r="M106" i="85"/>
  <c r="M104" i="85"/>
  <c r="M102" i="85"/>
  <c r="M107" i="85"/>
  <c r="M105" i="85"/>
  <c r="M103" i="85"/>
  <c r="J106" i="85"/>
  <c r="J104" i="85"/>
  <c r="J102" i="85"/>
  <c r="J109" i="85"/>
  <c r="J107" i="85"/>
  <c r="J105" i="85"/>
  <c r="J103" i="85"/>
  <c r="D22" i="85"/>
  <c r="C21" i="85"/>
  <c r="C106" i="85"/>
  <c r="C104" i="85"/>
  <c r="C102" i="85"/>
  <c r="C109" i="85"/>
  <c r="C107" i="85"/>
  <c r="C105" i="85"/>
  <c r="C103" i="85"/>
  <c r="E109" i="85"/>
  <c r="E106" i="85"/>
  <c r="E104" i="85"/>
  <c r="E102" i="85"/>
  <c r="E107" i="85"/>
  <c r="E105" i="85"/>
  <c r="E103" i="85"/>
  <c r="F106" i="85"/>
  <c r="F104" i="85"/>
  <c r="F102" i="85"/>
  <c r="F109" i="85"/>
  <c r="F107" i="85"/>
  <c r="F105" i="85"/>
  <c r="F103" i="85"/>
  <c r="N109" i="85"/>
  <c r="N106" i="85"/>
  <c r="N104" i="85"/>
  <c r="N102" i="85"/>
  <c r="N107" i="85"/>
  <c r="N105" i="85"/>
  <c r="N103" i="85"/>
  <c r="G109" i="85"/>
  <c r="G106" i="85"/>
  <c r="G104" i="85"/>
  <c r="G102" i="85"/>
  <c r="G107" i="85"/>
  <c r="G105" i="85"/>
  <c r="G103" i="85"/>
  <c r="I109" i="85"/>
  <c r="I107" i="85"/>
  <c r="I105" i="85"/>
  <c r="I103" i="85"/>
  <c r="I106" i="85"/>
  <c r="I104" i="85"/>
  <c r="I102" i="85"/>
  <c r="H109" i="85"/>
  <c r="H107" i="85"/>
  <c r="H105" i="85"/>
  <c r="H103" i="85"/>
  <c r="H106" i="85"/>
  <c r="H104" i="85"/>
  <c r="H102" i="85"/>
  <c r="Q51" i="44"/>
  <c r="C15" i="44"/>
  <c r="Q72" i="44"/>
  <c r="C35" i="44"/>
  <c r="C33" i="44"/>
  <c r="J21" i="44"/>
  <c r="J19" i="44"/>
  <c r="C38" i="44"/>
  <c r="AC7" i="36"/>
  <c r="V36" i="36"/>
  <c r="I36" i="36"/>
  <c r="W7" i="36"/>
  <c r="C49" i="33"/>
  <c r="B3" i="33"/>
  <c r="B2" i="33"/>
  <c r="C48" i="33"/>
  <c r="G52" i="33"/>
  <c r="H52" i="33"/>
  <c r="G53" i="33"/>
  <c r="H53" i="33"/>
  <c r="F7" i="36"/>
  <c r="H7" i="36"/>
  <c r="I52" i="33"/>
  <c r="J52" i="33"/>
  <c r="I53" i="33"/>
  <c r="J53" i="33"/>
  <c r="E52" i="33"/>
  <c r="F52" i="33"/>
  <c r="E53" i="33"/>
  <c r="F53" i="33"/>
  <c r="E29" i="46"/>
  <c r="C26" i="46"/>
  <c r="B2" i="46"/>
  <c r="B4" i="46"/>
  <c r="Q50" i="15"/>
  <c r="C33" i="15"/>
  <c r="C31" i="15"/>
  <c r="J19" i="15"/>
  <c r="J17" i="15"/>
  <c r="C56" i="15"/>
  <c r="C63" i="15"/>
  <c r="C36" i="15"/>
  <c r="J14" i="15"/>
  <c r="J13" i="15"/>
  <c r="J23" i="15"/>
  <c r="J14" i="77"/>
  <c r="C36" i="77"/>
  <c r="J19" i="77"/>
  <c r="J17" i="77"/>
  <c r="C56" i="77"/>
  <c r="C13" i="77"/>
  <c r="Q50" i="77"/>
  <c r="C33" i="77"/>
  <c r="C31" i="77"/>
  <c r="Q71" i="15"/>
  <c r="C37" i="15"/>
  <c r="C55" i="15"/>
  <c r="C64" i="15"/>
  <c r="J35" i="15"/>
  <c r="J24" i="44"/>
  <c r="J15" i="44"/>
  <c r="J25" i="44"/>
  <c r="C115" i="73"/>
  <c r="D113" i="73"/>
  <c r="E29" i="73"/>
  <c r="C26" i="73"/>
  <c r="B2" i="73"/>
  <c r="C30" i="73"/>
  <c r="E30" i="73"/>
  <c r="C27" i="73"/>
  <c r="C115" i="46"/>
  <c r="D113" i="46"/>
  <c r="G5" i="87"/>
  <c r="F8" i="87"/>
  <c r="D15" i="87"/>
  <c r="F15" i="87"/>
  <c r="J15" i="87"/>
  <c r="F7" i="87"/>
  <c r="D14" i="87"/>
  <c r="F14" i="87"/>
  <c r="J14" i="87"/>
  <c r="B16" i="87"/>
  <c r="J22" i="15"/>
  <c r="J16" i="15"/>
  <c r="J25" i="15"/>
  <c r="C39" i="44"/>
  <c r="C32" i="44"/>
  <c r="C42" i="44"/>
  <c r="Q71" i="44"/>
  <c r="Q70" i="44"/>
  <c r="C30" i="85"/>
  <c r="E30" i="85"/>
  <c r="C27" i="85"/>
  <c r="E29" i="85"/>
  <c r="C26" i="85"/>
  <c r="B2" i="85"/>
  <c r="C115" i="85"/>
  <c r="D113" i="85"/>
  <c r="C43" i="44"/>
  <c r="U7" i="36"/>
  <c r="AB7" i="36"/>
  <c r="T36" i="36"/>
  <c r="G36" i="36"/>
  <c r="AA7" i="36"/>
  <c r="R36" i="36"/>
  <c r="S7" i="36"/>
  <c r="I40" i="36"/>
  <c r="J40" i="36"/>
  <c r="B3" i="46"/>
  <c r="C60" i="15"/>
  <c r="C58" i="15"/>
  <c r="C57" i="15"/>
  <c r="C66" i="15"/>
  <c r="C67" i="15"/>
  <c r="D4" i="46"/>
  <c r="C30" i="15"/>
  <c r="C39" i="15"/>
  <c r="J39" i="15"/>
  <c r="J40" i="15"/>
  <c r="C63" i="77"/>
  <c r="C60" i="77"/>
  <c r="C58" i="77"/>
  <c r="J35" i="77"/>
  <c r="C55" i="77"/>
  <c r="C64" i="77"/>
  <c r="C37" i="77"/>
  <c r="C30" i="77"/>
  <c r="C39" i="77"/>
  <c r="Q71" i="77"/>
  <c r="J22" i="77"/>
  <c r="J13" i="77"/>
  <c r="J23" i="77"/>
  <c r="J18" i="44"/>
  <c r="J27" i="44"/>
  <c r="D4" i="73"/>
  <c r="B4" i="73"/>
  <c r="B3" i="73"/>
  <c r="L51" i="77"/>
  <c r="C40" i="15"/>
  <c r="C43" i="15"/>
  <c r="E8" i="82"/>
  <c r="E10" i="82"/>
  <c r="C6" i="82"/>
  <c r="G13" i="87"/>
  <c r="G14" i="87"/>
  <c r="K14" i="87"/>
  <c r="G15" i="87"/>
  <c r="K15" i="87"/>
  <c r="G12" i="87"/>
  <c r="K12" i="87"/>
  <c r="F18" i="87"/>
  <c r="D16" i="87"/>
  <c r="G6" i="87"/>
  <c r="G7" i="87"/>
  <c r="G8" i="87"/>
  <c r="B3" i="85"/>
  <c r="D4" i="85"/>
  <c r="B4" i="85"/>
  <c r="C44" i="44"/>
  <c r="C45" i="44"/>
  <c r="B2" i="44"/>
  <c r="G40" i="36"/>
  <c r="H40" i="36"/>
  <c r="G41" i="36"/>
  <c r="H41" i="36"/>
  <c r="R37" i="36"/>
  <c r="E36" i="36"/>
  <c r="Q70" i="15"/>
  <c r="Q69" i="15"/>
  <c r="J16" i="77"/>
  <c r="J25" i="77"/>
  <c r="Q68" i="77"/>
  <c r="C57" i="77"/>
  <c r="C66" i="77"/>
  <c r="C67" i="77"/>
  <c r="Q70" i="77"/>
  <c r="Q69" i="77"/>
  <c r="C40" i="77"/>
  <c r="J39" i="77"/>
  <c r="J40" i="77"/>
  <c r="C70" i="15"/>
  <c r="C46" i="15"/>
  <c r="L51" i="15"/>
  <c r="Q66" i="15"/>
  <c r="Q76" i="15"/>
  <c r="B2" i="15"/>
  <c r="B3" i="15"/>
  <c r="Q57" i="15"/>
  <c r="Q63" i="15"/>
  <c r="Q48" i="15"/>
  <c r="Q54" i="15"/>
  <c r="J42" i="15"/>
  <c r="J43" i="15"/>
  <c r="G11" i="87"/>
  <c r="G16" i="87"/>
  <c r="K11" i="87"/>
  <c r="F16" i="87"/>
  <c r="Q68" i="15"/>
  <c r="L52" i="44"/>
  <c r="Q69" i="44"/>
  <c r="E40" i="36"/>
  <c r="F40" i="36"/>
  <c r="E41" i="36"/>
  <c r="F41" i="36"/>
  <c r="I41" i="36"/>
  <c r="J41" i="36"/>
  <c r="C36" i="36"/>
  <c r="C37" i="36"/>
  <c r="B3" i="36"/>
  <c r="B2" i="36"/>
  <c r="Q48" i="77"/>
  <c r="Q54" i="77"/>
  <c r="Q66" i="77"/>
  <c r="Q76" i="77"/>
  <c r="C43" i="77"/>
  <c r="F8" i="80"/>
  <c r="F10" i="80"/>
  <c r="C6" i="80"/>
  <c r="Q57" i="77"/>
  <c r="Q63" i="77"/>
  <c r="B2" i="77"/>
  <c r="B3" i="77"/>
  <c r="J42" i="77"/>
  <c r="J43" i="77"/>
  <c r="C70" i="77"/>
  <c r="C46" i="77"/>
  <c r="C29" i="82"/>
  <c r="C24" i="82"/>
  <c r="B3" i="44"/>
  <c r="B5" i="44"/>
  <c r="B4" i="44"/>
  <c r="C24" i="80"/>
  <c r="C29" i="80"/>
  <c r="C35" i="82"/>
  <c r="C33" i="82"/>
  <c r="C28" i="82"/>
  <c r="C26" i="82"/>
  <c r="C31" i="82"/>
  <c r="C30" i="82"/>
  <c r="C35" i="80"/>
  <c r="C33" i="80"/>
  <c r="C28" i="80"/>
  <c r="C26" i="80"/>
  <c r="C31" i="80"/>
  <c r="C30" i="80"/>
  <c r="C36" i="82"/>
  <c r="C36" i="80"/>
  <c r="C37" i="82"/>
  <c r="B2" i="82"/>
  <c r="B3" i="82"/>
  <c r="B4" i="82"/>
  <c r="B2" i="80"/>
  <c r="C37" i="80"/>
  <c r="D14" i="66"/>
  <c r="B5" i="82"/>
  <c r="B3" i="80"/>
  <c r="E14" i="66"/>
  <c r="B5" i="66"/>
  <c r="F14" i="66"/>
  <c r="B4" i="80"/>
  <c r="B5" i="80"/>
  <c r="C5" i="66"/>
  <c r="D5" i="66"/>
  <c r="G16" i="1"/>
  <c r="F12" i="39"/>
  <c r="AA12" i="39"/>
  <c r="R49" i="39"/>
  <c r="H12" i="39"/>
  <c r="AB12" i="39"/>
  <c r="T49" i="39"/>
  <c r="J12" i="39"/>
  <c r="AC12" i="39"/>
  <c r="V49" i="39"/>
  <c r="R50" i="39"/>
  <c r="C50" i="39"/>
  <c r="F68" i="39"/>
  <c r="B2" i="39"/>
  <c r="B4" i="39"/>
  <c r="B3" i="39"/>
  <c r="B5" i="39"/>
  <c r="B61" i="39"/>
  <c r="F61" i="39"/>
  <c r="B58" i="39"/>
  <c r="F58" i="39"/>
  <c r="B66" i="39"/>
  <c r="F66" i="39"/>
  <c r="B59" i="39"/>
  <c r="F59" i="39"/>
  <c r="B65" i="39"/>
  <c r="F65" i="39"/>
  <c r="B64" i="39"/>
  <c r="F64" i="39"/>
  <c r="B62" i="39"/>
  <c r="F62" i="39"/>
  <c r="B63" i="39"/>
  <c r="F63" i="39"/>
  <c r="B60" i="39"/>
  <c r="F60" i="39"/>
  <c r="B67" i="39"/>
  <c r="F67" i="39"/>
  <c r="C49" i="39"/>
  <c r="I49" i="39"/>
  <c r="E49" i="39"/>
  <c r="I54" i="39"/>
  <c r="J54" i="39"/>
  <c r="E53" i="39"/>
  <c r="F53" i="39"/>
  <c r="G49" i="39"/>
  <c r="E54" i="39"/>
  <c r="F54" i="39"/>
  <c r="I53" i="39"/>
  <c r="J53" i="39"/>
  <c r="G53" i="39"/>
  <c r="H53" i="39"/>
  <c r="G54" i="39"/>
  <c r="H54" i="39"/>
  <c r="W12" i="39"/>
  <c r="J12" i="40"/>
  <c r="AC12" i="40"/>
  <c r="F12" i="40"/>
  <c r="S12" i="40"/>
  <c r="AA12" i="40"/>
  <c r="H12" i="40"/>
  <c r="AB12" i="40"/>
  <c r="S12" i="39"/>
  <c r="U12" i="39"/>
  <c r="W12" i="40"/>
  <c r="U12" i="40"/>
  <c r="E17" i="73"/>
  <c r="E17" i="85"/>
  <c r="C2" i="8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<sst xmlns="http://schemas.openxmlformats.org/spreadsheetml/2006/main" count="9005" uniqueCount="3243">
  <si>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</si>
  <si>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</si>
  <si>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</si>
  <si>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</si>
  <si>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</si>
  <si>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</si>
  <si>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</si>
  <si>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</si>
  <si>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</si>
  <si>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</si>
  <si>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</si>
  <si>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</si>
  <si>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</si>
  <si>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</si>
  <si>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</si>
  <si>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</si>
  <si>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</si>
  <si>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</si>
  <si>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</si>
  <si>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</si>
  <si>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</si>
  <si>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</si>
  <si>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</si>
  <si>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</si>
  <si>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</si>
  <si>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</si>
  <si>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</si>
  <si>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</si>
  <si>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</si>
  <si>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</si>
  <si>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</si>
  <si>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</si>
  <si>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</si>
  <si>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</si>
  <si>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</si>
  <si>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</si>
  <si>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</si>
  <si>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</si>
  <si>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</si>
  <si>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</si>
  <si>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</si>
  <si>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</si>
  <si>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</si>
  <si>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</si>
  <si>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</si>
  <si>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</si>
  <si>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</si>
  <si>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</si>
  <si>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</si>
  <si>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</si>
  <si>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</si>
  <si>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</si>
  <si>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</si>
  <si>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</si>
  <si>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</si>
  <si>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</si>
  <si>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</si>
  <si>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</si>
  <si>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</si>
  <si>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</si>
  <si>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</si>
  <si>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</si>
  <si>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</si>
  <si>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</si>
  <si>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</si>
  <si>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</si>
  <si>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</si>
  <si>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</si>
  <si>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</si>
  <si>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</si>
  <si>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</si>
  <si>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</si>
  <si>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</si>
  <si>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</si>
  <si>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</si>
  <si>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</si>
  <si>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</si>
  <si>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</si>
  <si>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</si>
  <si>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</si>
  <si>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</si>
  <si>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</si>
  <si>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</si>
  <si>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</si>
  <si>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</si>
  <si>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</si>
  <si>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</si>
  <si>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</si>
  <si>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</si>
  <si>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</si>
  <si>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</si>
  <si>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</si>
  <si>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</si>
  <si>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</si>
  <si>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</si>
  <si>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</si>
  <si>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</si>
  <si>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</si>
  <si>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</si>
  <si>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</si>
  <si>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</si>
  <si>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</si>
  <si>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</si>
  <si>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</si>
  <si>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</si>
  <si>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</si>
  <si>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</si>
  <si>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</si>
  <si>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</si>
  <si>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</si>
  <si>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</si>
  <si>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</si>
  <si>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</si>
  <si>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</si>
  <si>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</si>
  <si>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</si>
  <si>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</si>
  <si>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</si>
  <si>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</si>
  <si>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</si>
  <si>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</si>
  <si>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</si>
  <si>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</si>
  <si>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</si>
  <si>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</si>
  <si>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</si>
  <si>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</si>
  <si>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</si>
  <si>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</si>
  <si>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</si>
  <si>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</si>
  <si>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</si>
  <si>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</si>
  <si>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</si>
  <si>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</si>
  <si>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</si>
  <si>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</si>
  <si>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</si>
  <si>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</si>
  <si>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</si>
  <si>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</si>
  <si>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</si>
  <si>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</si>
  <si>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</si>
  <si>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</si>
  <si>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</si>
  <si>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</si>
  <si>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</si>
  <si>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</si>
  <si>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</si>
  <si>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</si>
  <si>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</si>
  <si>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</si>
  <si>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</si>
  <si>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</si>
  <si>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</si>
  <si>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</si>
  <si>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</si>
  <si>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</si>
  <si>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</si>
  <si>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</si>
  <si>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</si>
  <si>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</si>
  <si>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</si>
  <si>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</si>
  <si>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</si>
  <si>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</si>
  <si>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</si>
  <si>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</si>
  <si>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</si>
  <si>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</si>
  <si>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</si>
  <si>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</si>
  <si>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</si>
  <si>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</si>
  <si>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</si>
  <si>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</si>
  <si>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</si>
  <si>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</si>
  <si>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</si>
  <si>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</si>
  <si>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</si>
  <si>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</si>
  <si>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</si>
  <si>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</si>
  <si>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</si>
  <si>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</si>
  <si>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</si>
  <si>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</si>
  <si>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</si>
  <si>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</si>
  <si>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</si>
  <si>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</si>
  <si>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</si>
  <si>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</si>
  <si>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</si>
  <si>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</si>
  <si>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</si>
  <si>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</si>
  <si>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</si>
  <si>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</si>
  <si>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</si>
  <si>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</si>
  <si>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</si>
  <si>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</si>
  <si>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</si>
  <si>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</si>
  <si>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</si>
  <si>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</si>
  <si>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</si>
  <si>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</si>
  <si>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</si>
  <si>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</si>
  <si>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</si>
  <si>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</si>
  <si>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</si>
  <si>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</si>
  <si>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</si>
  <si>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</si>
  <si>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</si>
  <si>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</si>
  <si>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</si>
  <si>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</si>
  <si>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</si>
  <si>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</si>
  <si>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</si>
  <si>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</si>
  <si>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</si>
  <si>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</si>
  <si>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</si>
  <si>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</si>
  <si>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</si>
  <si>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</si>
  <si>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</si>
  <si>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</si>
  <si>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</si>
  <si>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</si>
  <si>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</si>
  <si>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</si>
  <si>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</si>
  <si>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</si>
  <si>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</si>
  <si>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</si>
  <si>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</si>
  <si>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</si>
  <si>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</si>
  <si>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</si>
  <si>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</si>
  <si>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</si>
  <si>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</si>
  <si>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</si>
  <si>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</si>
  <si>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</si>
  <si>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</si>
  <si>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</si>
  <si>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</si>
  <si>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</si>
  <si>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</si>
  <si>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</si>
  <si>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</si>
  <si>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</si>
  <si>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</si>
  <si>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</si>
  <si>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</si>
  <si>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</si>
  <si>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</si>
  <si>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</si>
  <si>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</si>
  <si>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</si>
  <si>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</si>
  <si>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</si>
  <si>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</si>
  <si>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</si>
  <si>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</si>
  <si>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</si>
  <si>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</si>
  <si>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</si>
  <si>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</si>
  <si>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</si>
  <si>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</si>
  <si>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</si>
  <si>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</si>
  <si>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</si>
  <si>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</si>
  <si>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</si>
  <si>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</si>
  <si>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</si>
  <si>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</si>
  <si>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</si>
  <si>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</si>
  <si>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</si>
  <si>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</si>
  <si>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</si>
  <si>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</si>
  <si>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</si>
  <si>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</si>
  <si>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</si>
  <si>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</si>
  <si>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</si>
  <si>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</si>
  <si>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</si>
  <si>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</si>
  <si>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</si>
  <si>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</si>
  <si>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</si>
  <si>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</si>
  <si>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</si>
  <si>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</si>
  <si>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</si>
  <si>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</si>
  <si>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</si>
  <si>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</si>
  <si>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</si>
  <si>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</si>
  <si>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</si>
  <si>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</si>
  <si>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</si>
  <si>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</si>
  <si>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</si>
  <si>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</si>
  <si>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</si>
  <si>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</si>
  <si>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</si>
  <si>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</si>
  <si>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</si>
  <si>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</si>
  <si>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</si>
  <si>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</si>
  <si>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</si>
  <si>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</si>
  <si>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</si>
  <si>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</si>
  <si>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</si>
  <si>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</si>
  <si>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</si>
  <si>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</si>
  <si>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</si>
  <si>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</si>
  <si>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</si>
  <si>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</si>
  <si>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</si>
  <si>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</si>
  <si>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</si>
  <si>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</si>
  <si>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</si>
  <si>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</si>
  <si>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</si>
  <si>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</si>
  <si>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</si>
  <si>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</si>
  <si>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</si>
  <si>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</si>
  <si>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</si>
  <si>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</si>
  <si>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</si>
  <si>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</si>
  <si>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</si>
  <si>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</si>
  <si>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</si>
  <si>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</si>
  <si>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</si>
  <si>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</si>
  <si>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</si>
  <si>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</si>
  <si>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</si>
  <si>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</si>
  <si>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</si>
  <si>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</si>
  <si>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</si>
  <si>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</si>
  <si>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</si>
  <si>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</si>
  <si>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</si>
  <si>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</si>
  <si>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</si>
  <si>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</si>
  <si>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</si>
  <si>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</si>
  <si>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</si>
  <si>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</si>
  <si>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</si>
  <si>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</si>
  <si>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</si>
  <si>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</si>
  <si>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</si>
  <si>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</si>
  <si>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</si>
  <si>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</si>
  <si>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</si>
  <si>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</si>
  <si>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</si>
  <si>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</si>
  <si>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</si>
  <si>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</si>
  <si>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</si>
  <si>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</si>
  <si>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</si>
  <si>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</si>
  <si>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</si>
  <si>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</si>
  <si>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</si>
  <si>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</si>
  <si>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</si>
  <si>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</si>
  <si>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</si>
  <si>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</si>
  <si>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</si>
  <si>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</si>
  <si>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</si>
  <si>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</si>
  <si>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</si>
  <si>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</si>
  <si>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</si>
  <si>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</si>
  <si>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</si>
  <si>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</si>
  <si>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</si>
  <si>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</si>
  <si>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</si>
  <si>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</si>
  <si>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</si>
  <si>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</si>
  <si>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</si>
  <si>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</si>
  <si>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</si>
  <si>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</si>
  <si>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</si>
  <si>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</si>
  <si>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</si>
  <si>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</si>
  <si>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</si>
  <si>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</si>
  <si>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</si>
  <si>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</si>
  <si>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</si>
  <si>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</si>
  <si>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</si>
  <si>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</si>
  <si>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</si>
  <si>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</si>
  <si>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</si>
  <si>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</si>
  <si>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</si>
  <si>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</si>
  <si>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</si>
  <si>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</si>
  <si>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</si>
  <si>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</si>
  <si>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</si>
  <si>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</si>
  <si>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</si>
  <si>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</si>
  <si>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</si>
  <si>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</si>
  <si>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</si>
  <si>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</si>
  <si>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</si>
  <si>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</si>
  <si>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</si>
  <si>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</si>
  <si>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</si>
  <si>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</si>
  <si>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</si>
  <si>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</si>
  <si>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</si>
  <si>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</si>
  <si>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</si>
  <si>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</si>
  <si>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</si>
  <si>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</si>
  <si>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</si>
  <si>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</si>
  <si>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</si>
  <si>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</si>
  <si>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</si>
  <si>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</si>
  <si>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</si>
  <si>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</si>
  <si>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</si>
  <si>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</si>
  <si>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</si>
  <si>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</si>
  <si>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</si>
  <si>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</si>
  <si>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</si>
  <si>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</si>
  <si>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</si>
  <si>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</si>
  <si>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</si>
  <si>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</si>
  <si>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</si>
  <si>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</si>
  <si>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</si>
  <si>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</si>
  <si>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</si>
  <si>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</si>
  <si>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</si>
  <si>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</si>
  <si>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</si>
  <si>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</si>
  <si>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</si>
  <si>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</si>
  <si>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</si>
  <si>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</si>
  <si>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</si>
  <si>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</si>
  <si>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</si>
  <si>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</si>
  <si>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</si>
  <si>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</si>
  <si>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</si>
  <si>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</si>
  <si>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</si>
  <si>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</si>
  <si>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</si>
  <si>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</si>
  <si>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</si>
  <si>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</si>
  <si>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</si>
  <si>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</si>
  <si>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</si>
  <si>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</si>
  <si>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</si>
  <si>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</si>
  <si>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</si>
  <si>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</si>
  <si>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</si>
  <si>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</si>
  <si>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</si>
  <si>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</si>
  <si>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</si>
  <si>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</si>
  <si>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</si>
  <si>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</si>
  <si>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</si>
  <si>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</si>
  <si>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</si>
  <si>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</si>
  <si>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</si>
  <si>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</si>
  <si>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</si>
  <si>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</si>
  <si>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</si>
  <si>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</si>
  <si>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</si>
  <si>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</si>
  <si>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</si>
  <si>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</si>
  <si>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</si>
  <si>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</si>
  <si>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</si>
  <si>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</si>
  <si>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</si>
  <si>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</si>
  <si>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</si>
  <si>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</si>
  <si>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</si>
  <si>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</si>
  <si>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</si>
  <si>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</si>
  <si>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</si>
  <si>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</si>
  <si>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</si>
  <si>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</si>
  <si>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</si>
  <si>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</si>
  <si>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</si>
  <si>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</si>
  <si>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</si>
  <si>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</si>
  <si>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</si>
  <si>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</si>
  <si>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</si>
  <si>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</si>
  <si>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</si>
  <si>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</si>
  <si>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</si>
  <si>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</si>
  <si>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</si>
  <si>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</si>
  <si>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</si>
  <si>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</si>
  <si>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</si>
  <si>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</si>
  <si>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</si>
  <si>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</si>
  <si>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</si>
  <si>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</si>
  <si>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</si>
  <si>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</si>
  <si>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</si>
  <si>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</si>
  <si>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</si>
  <si>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</si>
  <si>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</si>
  <si>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</si>
  <si>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</si>
  <si>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</si>
  <si>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</si>
  <si>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</si>
  <si>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</si>
  <si>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</si>
  <si>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</si>
  <si>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</si>
  <si>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</si>
  <si>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</si>
  <si>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</si>
  <si>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</si>
  <si>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</si>
  <si>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</si>
  <si>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</si>
  <si>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</si>
  <si>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</si>
  <si>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</si>
  <si>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</si>
  <si>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</si>
  <si>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</si>
  <si>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</si>
  <si>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</si>
  <si>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</si>
  <si>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</si>
  <si>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</si>
  <si>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</si>
  <si>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</si>
  <si>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</si>
  <si>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</si>
  <si>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</si>
  <si>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</si>
  <si>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</si>
  <si>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</si>
  <si>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</si>
  <si>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</si>
  <si>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</si>
  <si>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</si>
  <si>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</si>
  <si>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</si>
  <si>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</si>
  <si>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</si>
  <si>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</si>
  <si>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</si>
  <si>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</si>
  <si>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</si>
  <si>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</si>
  <si>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</si>
  <si>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</si>
  <si>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</si>
  <si>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</si>
  <si>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</si>
  <si>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</si>
  <si>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</si>
  <si>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</si>
  <si>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</si>
  <si>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</si>
  <si>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</si>
  <si>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</si>
  <si>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</si>
  <si>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</si>
  <si>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</si>
  <si>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</si>
  <si>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</si>
  <si>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</si>
  <si>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</si>
  <si>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</si>
  <si>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</si>
  <si>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</si>
  <si>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</si>
  <si>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</si>
  <si>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</si>
  <si>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</si>
  <si>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</si>
  <si>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</si>
  <si>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</si>
  <si>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</si>
  <si>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</si>
  <si>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</si>
  <si>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</si>
  <si>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</si>
  <si>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</si>
  <si>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</si>
  <si>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</si>
  <si>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</si>
  <si>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</si>
  <si>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</si>
  <si>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</si>
  <si>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</si>
  <si>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</si>
  <si>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</si>
  <si>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</si>
  <si>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</si>
  <si>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</si>
  <si>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</si>
  <si>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</si>
  <si>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</si>
  <si>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</si>
  <si>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</si>
  <si>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</si>
  <si>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</si>
  <si>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</si>
  <si>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</si>
  <si>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</si>
  <si>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</si>
  <si>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</si>
  <si>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</si>
  <si>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</si>
  <si>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</si>
  <si>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</si>
  <si>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</si>
  <si>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</si>
  <si>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</si>
  <si>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</si>
  <si>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</si>
  <si>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</si>
  <si>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</si>
  <si>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</si>
  <si>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</si>
  <si>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</si>
  <si>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</si>
  <si>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</si>
  <si>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</si>
  <si>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</si>
  <si>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</si>
  <si>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</si>
  <si>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</si>
  <si>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</si>
  <si>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</si>
  <si>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</si>
  <si>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</si>
  <si>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</si>
  <si>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</si>
  <si>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</si>
  <si>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</si>
  <si>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</si>
  <si>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</si>
  <si>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</si>
  <si>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</si>
  <si>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</si>
  <si>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</si>
  <si>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</si>
  <si>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</si>
  <si>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</si>
  <si>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</si>
  <si>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</si>
  <si>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</si>
  <si>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</si>
  <si>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</si>
  <si>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</si>
  <si>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</si>
  <si>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</si>
  <si>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</si>
  <si>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</si>
  <si>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</si>
  <si>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</si>
  <si>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</si>
  <si>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</si>
  <si>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</si>
  <si>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</si>
  <si>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</si>
  <si>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</si>
  <si>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</si>
  <si>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</si>
  <si>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</si>
  <si>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</si>
  <si>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</si>
  <si>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</si>
  <si>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</si>
  <si>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</si>
  <si>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</si>
  <si>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</si>
  <si>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</si>
  <si>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</si>
  <si>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</si>
  <si>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</si>
  <si>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</si>
  <si>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</si>
  <si>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</si>
  <si>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</si>
  <si>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</si>
  <si>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</si>
  <si>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</si>
  <si>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</si>
  <si>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</si>
  <si>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</si>
  <si>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</si>
  <si>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</si>
  <si>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</si>
  <si>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</si>
  <si>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</si>
  <si>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</si>
  <si>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</si>
  <si>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</si>
  <si>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</si>
  <si>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</si>
  <si>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</si>
  <si>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</si>
  <si>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</si>
  <si>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</si>
  <si>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</si>
  <si>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</si>
  <si>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</si>
  <si>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</si>
  <si>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</si>
  <si>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</si>
  <si>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</si>
  <si>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</si>
  <si>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</si>
  <si>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</si>
  <si>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</si>
  <si>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</si>
  <si>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</si>
  <si>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</si>
  <si>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</si>
  <si>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</si>
  <si>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</si>
  <si>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</si>
  <si>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</si>
  <si>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</si>
  <si>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</si>
  <si>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</si>
  <si>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</si>
  <si>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</si>
  <si>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</si>
  <si>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</si>
  <si>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</si>
  <si>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</si>
  <si>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</si>
  <si>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</si>
  <si>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</si>
  <si>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</si>
  <si>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</si>
  <si>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</si>
  <si>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</si>
  <si>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</si>
  <si>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</si>
  <si>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</si>
  <si>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</si>
  <si>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</si>
  <si>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</si>
  <si>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</si>
  <si>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</si>
  <si>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</si>
  <si>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</si>
  <si>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</si>
  <si>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</si>
  <si>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</si>
  <si>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</si>
  <si>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</si>
  <si>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</si>
  <si>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</si>
  <si>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</si>
  <si>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</si>
  <si>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</si>
  <si>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</si>
  <si>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</si>
  <si>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</si>
  <si>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</si>
  <si>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</si>
  <si>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</si>
  <si>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</si>
  <si>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</si>
  <si>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</si>
  <si>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</si>
  <si>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</si>
  <si>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</si>
  <si>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</si>
  <si>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</si>
  <si>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</si>
  <si>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</si>
  <si>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</si>
  <si>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</si>
  <si>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</si>
  <si>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</si>
  <si>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</si>
  <si>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</si>
  <si>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</si>
  <si>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</si>
  <si>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</si>
  <si>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</si>
  <si>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</si>
  <si>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</si>
  <si>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</si>
  <si>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</si>
  <si>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</si>
  <si>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</si>
  <si>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</si>
  <si>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</si>
  <si>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</si>
  <si>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</si>
  <si>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</si>
  <si>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</si>
  <si>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</si>
  <si>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</si>
  <si>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</si>
  <si>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</si>
  <si>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</si>
  <si>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</si>
  <si>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</si>
  <si>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</si>
  <si>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</si>
  <si>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</si>
  <si>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</si>
  <si>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</si>
  <si>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</si>
  <si>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</si>
  <si>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</si>
  <si>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</si>
  <si>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</si>
  <si>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</si>
  <si>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</si>
  <si>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</si>
  <si>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</si>
  <si>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</si>
  <si>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</si>
  <si>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</si>
  <si>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</si>
  <si>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</si>
  <si>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</si>
  <si>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</si>
  <si>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</si>
  <si>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</si>
  <si>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</si>
  <si>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</si>
  <si>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</si>
  <si>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</si>
  <si>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</si>
  <si>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</si>
  <si>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</si>
  <si>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</si>
  <si>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</si>
  <si>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</si>
  <si>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</si>
  <si>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</si>
  <si>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</si>
  <si>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</si>
  <si>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</si>
  <si>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</si>
  <si>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</si>
  <si>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</si>
  <si>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</si>
  <si>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</si>
  <si>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</si>
  <si>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</si>
  <si>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</si>
  <si>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</si>
  <si>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</si>
  <si>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</si>
  <si>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</si>
  <si>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</si>
  <si>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</si>
  <si>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</si>
  <si>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</si>
  <si>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</si>
  <si>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</si>
  <si>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</si>
  <si>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</si>
  <si>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</si>
  <si>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</si>
  <si>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</si>
  <si>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</si>
  <si>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</si>
  <si>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</si>
  <si>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</si>
  <si>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</si>
  <si>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</si>
  <si>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</si>
  <si>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</si>
  <si>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</si>
  <si>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</si>
  <si>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</si>
  <si>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</si>
  <si>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</si>
  <si>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</si>
  <si>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</si>
  <si>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</si>
  <si>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</si>
  <si>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</si>
  <si>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</si>
  <si>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</si>
  <si>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</si>
  <si>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</si>
  <si>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</si>
  <si>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</si>
  <si>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</si>
  <si>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</si>
  <si>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</si>
  <si>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</si>
  <si>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</si>
  <si>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</si>
  <si>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</si>
  <si>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</si>
  <si>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</si>
  <si>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</si>
  <si>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</si>
  <si>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</si>
  <si>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</si>
  <si>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</si>
  <si>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</si>
  <si>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</si>
  <si>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</si>
  <si>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</si>
  <si>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</si>
  <si>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</si>
  <si>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</si>
  <si>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</si>
  <si>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</si>
  <si>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</si>
  <si>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</si>
  <si>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</si>
  <si>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</si>
  <si>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</si>
  <si>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</si>
  <si>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</si>
  <si>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</si>
  <si>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</si>
  <si>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</si>
  <si>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</si>
  <si>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</si>
  <si>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</si>
  <si>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</si>
  <si>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</si>
  <si>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</si>
  <si>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</si>
  <si>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</si>
  <si>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</si>
  <si>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</si>
  <si>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</si>
  <si>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</si>
  <si>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</si>
  <si>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</si>
  <si>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</si>
  <si>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</si>
  <si>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</si>
  <si>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</si>
  <si>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</si>
  <si>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</si>
  <si>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</si>
  <si>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</si>
  <si>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</si>
  <si>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</si>
  <si>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</si>
  <si>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</si>
  <si>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</si>
  <si>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</si>
  <si>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</si>
  <si>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</si>
  <si>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</si>
  <si>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</si>
  <si>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</si>
  <si>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</si>
  <si>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</si>
  <si>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</si>
  <si>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</si>
  <si>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</si>
  <si>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</si>
  <si>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</si>
  <si>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</si>
  <si>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</si>
  <si>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</si>
  <si>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</si>
  <si>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</si>
  <si>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</si>
  <si>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</si>
  <si>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</si>
  <si>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</si>
  <si>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</si>
  <si>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</si>
  <si>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</si>
  <si>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</si>
  <si>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</si>
  <si>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</si>
  <si>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</si>
  <si>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</si>
  <si>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</si>
  <si>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</si>
  <si>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</si>
  <si>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</si>
  <si>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</si>
  <si>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</si>
  <si>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</si>
  <si>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</si>
  <si>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</si>
  <si>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</si>
  <si>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</si>
  <si>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</si>
  <si>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</si>
  <si>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</si>
  <si>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</si>
  <si>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</si>
  <si>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</si>
  <si>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</si>
  <si>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</si>
  <si>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</si>
  <si>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</si>
  <si>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</si>
  <si>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</si>
  <si>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</si>
  <si>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</si>
  <si>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</si>
  <si>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</si>
  <si>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</si>
  <si>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</si>
  <si>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</si>
  <si>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</si>
  <si>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</si>
  <si>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</si>
  <si>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</si>
  <si>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</si>
  <si>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</si>
  <si>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</si>
  <si>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</si>
  <si>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</si>
  <si>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</si>
  <si>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</si>
  <si>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</si>
  <si>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</si>
  <si>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</si>
  <si>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</si>
  <si>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</si>
  <si>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</si>
  <si>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</si>
  <si>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</si>
  <si>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</si>
  <si>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</si>
  <si>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</si>
  <si>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</si>
  <si>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</si>
  <si>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</si>
  <si>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</si>
  <si>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</si>
  <si>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</si>
  <si>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</si>
  <si>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</si>
  <si>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</si>
  <si>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</si>
  <si>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</si>
  <si>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</si>
  <si>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</si>
  <si>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</si>
  <si>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</si>
  <si>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</si>
  <si>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</si>
  <si>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</si>
  <si>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</si>
  <si>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</si>
  <si>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</si>
  <si>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</si>
  <si>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</si>
  <si>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</si>
  <si>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</si>
  <si>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</si>
  <si>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</si>
  <si>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</si>
  <si>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</si>
  <si>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</si>
  <si>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</si>
  <si>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</si>
  <si>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</si>
  <si>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</si>
  <si>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</si>
  <si>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</si>
  <si>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</si>
  <si>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</si>
  <si>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</si>
  <si>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</si>
  <si>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</si>
  <si>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</si>
  <si>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</si>
  <si>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</si>
  <si>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</si>
  <si>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</si>
  <si>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</si>
  <si>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</si>
  <si>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</si>
  <si>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</si>
  <si>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</si>
  <si>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</si>
  <si>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</si>
  <si>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</si>
  <si>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</si>
  <si>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</si>
  <si>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</si>
  <si>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</si>
  <si>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</si>
  <si>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</si>
  <si>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</si>
  <si>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</si>
  <si>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</si>
  <si>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</si>
  <si>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</si>
  <si>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</si>
  <si>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</si>
  <si>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</si>
  <si>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</si>
  <si>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</si>
  <si>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</si>
  <si>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</si>
  <si>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</si>
  <si>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</si>
  <si>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</si>
  <si>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</si>
  <si>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</si>
  <si>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</si>
  <si>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</si>
  <si>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</si>
  <si>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</si>
  <si>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</si>
  <si>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</si>
  <si>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</si>
  <si>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</si>
  <si>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</si>
  <si>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</si>
  <si>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</si>
  <si>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</si>
  <si>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</si>
  <si>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</si>
  <si>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</si>
  <si>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</si>
  <si>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</si>
  <si>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</si>
  <si>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</si>
  <si>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</si>
  <si>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</si>
  <si>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</si>
  <si>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</si>
  <si>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</si>
  <si>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</si>
  <si>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</si>
  <si>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</si>
  <si>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</si>
  <si>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</si>
  <si>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</si>
  <si>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</si>
  <si>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</si>
  <si>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</si>
  <si>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</si>
  <si>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</si>
  <si>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</si>
  <si>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</si>
  <si>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</si>
  <si>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</si>
  <si>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</si>
  <si>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</si>
  <si>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</si>
  <si>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</si>
  <si>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</si>
  <si>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</si>
  <si>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</si>
  <si>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</si>
  <si>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</si>
  <si>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</si>
  <si>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</si>
  <si>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</si>
  <si>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</si>
  <si>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</si>
  <si>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</si>
  <si>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</si>
  <si>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</si>
  <si>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</si>
  <si>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</si>
  <si>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</si>
  <si>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</si>
  <si>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</si>
  <si>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</si>
  <si>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</si>
  <si>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</si>
  <si>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</si>
  <si>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</si>
  <si>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</si>
  <si>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</si>
  <si>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</si>
  <si>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</si>
  <si>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</si>
  <si>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</si>
  <si>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</si>
  <si>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</si>
  <si>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</si>
  <si>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</si>
  <si>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</si>
  <si>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</si>
  <si>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</si>
  <si>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</si>
  <si>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</si>
  <si>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</si>
  <si>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</si>
  <si>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</si>
  <si>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</si>
  <si>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</si>
  <si>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</si>
  <si>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</si>
  <si>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</si>
  <si>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</si>
  <si>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</si>
  <si>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</si>
  <si>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</si>
  <si>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</si>
  <si>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</si>
  <si>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</si>
  <si>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</si>
  <si>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</si>
  <si>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</si>
  <si>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</si>
  <si>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</si>
  <si>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</si>
  <si>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</si>
  <si>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</si>
  <si>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</si>
  <si>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</si>
  <si>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</si>
  <si>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</si>
  <si>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</si>
  <si>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</si>
  <si>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</si>
  <si>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</si>
  <si>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</si>
  <si>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</si>
  <si>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</si>
  <si>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</si>
  <si>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</si>
  <si>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</si>
  <si>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</si>
  <si>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</si>
  <si>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</si>
  <si>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</si>
  <si>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</si>
  <si>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</si>
  <si>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</si>
  <si>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</si>
  <si>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</si>
  <si>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</si>
  <si>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</si>
  <si>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</si>
  <si>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</si>
  <si>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</si>
  <si>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</si>
  <si>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</si>
  <si>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</si>
  <si>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</si>
  <si>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</si>
  <si>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</si>
  <si>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</si>
  <si>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</si>
  <si>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</si>
  <si>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</si>
  <si>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</si>
  <si>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</si>
  <si>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</si>
  <si>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</si>
  <si>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</si>
  <si>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</si>
  <si>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</si>
  <si>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</si>
  <si>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</si>
  <si>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</si>
  <si>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</si>
  <si>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</si>
  <si>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</si>
  <si>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</si>
  <si>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</si>
  <si>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</si>
  <si>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</si>
  <si>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</si>
  <si>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</si>
  <si>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</si>
  <si>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</si>
  <si>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</si>
  <si>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</si>
  <si>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</si>
  <si>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</si>
  <si>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</si>
  <si>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</si>
  <si>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</si>
  <si>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</si>
  <si>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</si>
  <si>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</si>
  <si>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</si>
  <si>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</si>
  <si>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</si>
  <si>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</si>
  <si>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</si>
  <si>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</si>
  <si>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</si>
  <si>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</si>
  <si>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</si>
  <si>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</si>
  <si>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</si>
  <si>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</si>
  <si>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</si>
  <si>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</si>
  <si>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</si>
  <si>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</si>
  <si>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</si>
  <si>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</si>
  <si>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</si>
  <si>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</si>
  <si>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</si>
  <si>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</si>
  <si>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</si>
  <si>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</si>
  <si>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</si>
  <si>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</si>
  <si>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</si>
  <si>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</si>
  <si>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</si>
  <si>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</si>
  <si>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</si>
  <si>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</si>
  <si>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</si>
  <si>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</si>
  <si>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</si>
  <si>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</si>
  <si>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</si>
  <si>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</si>
  <si>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</si>
  <si>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</si>
  <si>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</si>
  <si>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</si>
  <si>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</si>
  <si>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</si>
  <si>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</si>
  <si>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</si>
  <si>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</si>
  <si>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</si>
  <si>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</si>
  <si>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</si>
  <si>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</si>
  <si>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</si>
  <si>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</si>
  <si>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</si>
  <si>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</si>
  <si>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</si>
  <si>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</si>
  <si>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</si>
  <si>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</si>
  <si>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</si>
  <si>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</si>
  <si>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</si>
  <si>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</si>
  <si>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</si>
  <si>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</si>
  <si>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</si>
  <si>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</si>
  <si>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</si>
  <si>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</si>
  <si>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</si>
  <si>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</si>
  <si>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</si>
  <si>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</si>
  <si>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</si>
  <si>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</si>
  <si>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</si>
  <si>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</si>
  <si>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</si>
  <si>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</si>
  <si>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</si>
  <si>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</si>
  <si>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</si>
  <si>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</si>
  <si>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</si>
  <si>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</si>
  <si>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</si>
  <si>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</si>
  <si>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</si>
  <si>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</si>
  <si>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</si>
  <si>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</si>
  <si>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</si>
  <si>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</si>
  <si>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</si>
  <si>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</si>
  <si>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</si>
  <si>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</si>
  <si>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</si>
  <si>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</si>
  <si>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</si>
  <si>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</si>
  <si>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</si>
  <si>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</si>
  <si>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</si>
  <si>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</si>
  <si>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</si>
  <si>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</si>
  <si>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</si>
  <si>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</si>
  <si>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</si>
  <si>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</si>
  <si>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</si>
  <si>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</si>
  <si>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</si>
  <si>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</si>
  <si>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</si>
  <si>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</si>
  <si>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</si>
  <si>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</si>
  <si>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</si>
  <si>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</si>
  <si>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</si>
  <si>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</si>
  <si>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</si>
  <si>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</si>
  <si>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</si>
  <si>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</si>
  <si>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</si>
  <si>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</si>
  <si>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</si>
  <si>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</si>
  <si>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</si>
  <si>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</si>
  <si>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</si>
  <si>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</si>
  <si>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</si>
  <si>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</si>
  <si>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</si>
  <si>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</si>
  <si>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</si>
  <si>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</si>
  <si>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</si>
  <si>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</si>
  <si>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</si>
  <si>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</si>
  <si>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</si>
  <si>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</si>
  <si>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</si>
  <si>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</si>
  <si>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</si>
  <si>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</si>
  <si>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</si>
  <si>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</si>
  <si>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</si>
  <si>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</si>
  <si>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</si>
  <si>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</si>
  <si>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</si>
  <si>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</si>
  <si>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</si>
  <si>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</si>
  <si>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</si>
  <si>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</si>
  <si>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</si>
  <si>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</si>
  <si>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</si>
  <si>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</si>
  <si>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</si>
  <si>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</si>
  <si>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</si>
  <si>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</si>
  <si>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</si>
  <si>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</si>
  <si>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</si>
  <si>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</si>
  <si>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</si>
  <si>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</si>
  <si>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</si>
  <si>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</si>
  <si>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</si>
  <si>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</si>
  <si>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</si>
  <si>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</si>
  <si>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</si>
  <si>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</si>
  <si>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</si>
  <si>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</si>
  <si>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</si>
  <si>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</si>
  <si>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</si>
  <si>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</si>
  <si>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</si>
  <si>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</si>
  <si>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</si>
  <si>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</si>
  <si>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</si>
  <si>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</si>
  <si>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</si>
  <si>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</si>
  <si>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</si>
  <si>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</si>
  <si>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</si>
  <si>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</si>
  <si>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</si>
  <si>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</si>
  <si>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</si>
  <si>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</si>
  <si>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</si>
  <si>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</si>
  <si>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</si>
  <si>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</si>
  <si>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</si>
  <si>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</si>
  <si>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</si>
  <si>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</si>
  <si>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</si>
  <si>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</si>
  <si>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</si>
  <si>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</si>
  <si>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</si>
  <si>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</si>
  <si>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</si>
  <si>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</si>
  <si>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</si>
  <si>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</si>
  <si>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</si>
  <si>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</si>
  <si>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</si>
  <si>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</si>
  <si>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</si>
  <si>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</si>
  <si>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</si>
  <si>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</si>
  <si>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</si>
  <si>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</si>
  <si>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</si>
  <si>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</si>
  <si>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</si>
  <si>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</si>
  <si>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</si>
  <si>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</si>
  <si>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</si>
  <si>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</si>
  <si>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</si>
  <si>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</si>
  <si>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</si>
  <si>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</si>
  <si>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</si>
  <si>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</si>
  <si>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</si>
  <si>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</si>
  <si>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</si>
  <si>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</si>
  <si>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</si>
  <si>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</si>
  <si>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</si>
  <si>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</si>
  <si>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</si>
  <si>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</si>
  <si>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</si>
  <si>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</si>
  <si>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</si>
  <si>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</si>
  <si>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</si>
  <si>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</si>
  <si>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</si>
  <si>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</si>
  <si>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</si>
  <si>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</si>
  <si>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</si>
  <si>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</si>
  <si>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</si>
  <si>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</si>
  <si>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</si>
  <si>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</si>
  <si>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</si>
  <si>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</si>
  <si>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</si>
  <si>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</si>
  <si>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</si>
  <si>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</si>
  <si>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</si>
  <si>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</si>
  <si>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</si>
  <si>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</si>
  <si>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</si>
  <si>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</si>
  <si>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</si>
  <si>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</si>
  <si>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</si>
  <si>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</si>
  <si>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</si>
  <si>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</si>
  <si>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</si>
  <si>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</si>
  <si>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</si>
  <si>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</si>
  <si>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</si>
  <si>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</si>
  <si>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</si>
  <si>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</si>
  <si>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</si>
  <si>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</si>
  <si>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</si>
  <si>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</si>
  <si>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</si>
  <si>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</si>
  <si>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</si>
  <si>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</si>
  <si>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</si>
  <si>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</si>
  <si>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</si>
  <si>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</si>
  <si>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</si>
  <si>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</si>
  <si>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</si>
  <si>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</si>
  <si>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</si>
  <si>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</si>
  <si>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</si>
  <si>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</si>
  <si>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</si>
  <si>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</si>
  <si>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</si>
  <si>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</si>
  <si>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</si>
  <si>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</si>
  <si>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</si>
  <si>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</si>
  <si>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</si>
  <si>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</si>
  <si>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</si>
  <si>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</si>
  <si>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</si>
  <si>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</si>
  <si>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</si>
  <si>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</si>
  <si>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</si>
  <si>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</si>
  <si>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</si>
  <si>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</si>
  <si>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</si>
  <si>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</si>
  <si>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</si>
  <si>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</si>
  <si>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</si>
  <si>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</si>
  <si>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</si>
  <si>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</si>
  <si>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</si>
  <si>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</si>
  <si>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</si>
  <si>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</si>
  <si>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</si>
  <si>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</si>
  <si>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</si>
  <si>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</si>
  <si>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</si>
  <si>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</si>
  <si>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</si>
  <si>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</si>
  <si>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</si>
  <si>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</si>
  <si>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</si>
  <si>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</si>
  <si>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</si>
  <si>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</si>
  <si>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</si>
  <si>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</si>
  <si>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</si>
  <si>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</si>
  <si>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</si>
  <si>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</si>
  <si>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</si>
  <si>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</si>
  <si>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</si>
  <si>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</si>
  <si>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</si>
  <si>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</si>
  <si>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</si>
  <si>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</si>
  <si>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</si>
  <si>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</si>
  <si>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</si>
  <si>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</si>
  <si>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</si>
  <si>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</si>
  <si>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</si>
  <si>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</si>
  <si>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</si>
  <si>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</si>
  <si>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</si>
  <si>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</si>
  <si>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</si>
  <si>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</si>
  <si>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</si>
  <si>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</si>
  <si>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</si>
  <si>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</si>
  <si>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</si>
  <si>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</si>
  <si>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</si>
  <si>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</si>
  <si>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</si>
  <si>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</si>
  <si>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</si>
  <si>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</si>
  <si>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</si>
  <si>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</si>
  <si>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</si>
  <si>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</si>
  <si>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</si>
  <si>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</si>
  <si>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</si>
  <si>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</si>
  <si>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</si>
  <si>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</si>
  <si>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</si>
  <si>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</si>
  <si>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</si>
  <si>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</si>
  <si>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</si>
  <si>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</si>
  <si>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</si>
  <si>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</si>
  <si>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</si>
  <si>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</si>
  <si>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</si>
  <si>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</si>
  <si>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</si>
  <si>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</si>
  <si>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</si>
  <si>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</si>
  <si>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</si>
  <si>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</si>
  <si>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</si>
  <si>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</si>
  <si>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</si>
  <si>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</si>
  <si>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</si>
  <si>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</si>
  <si>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</si>
  <si>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</si>
  <si>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</si>
  <si>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</si>
  <si>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</si>
  <si>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</si>
  <si>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</si>
  <si>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</si>
  <si>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</si>
  <si>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</si>
  <si>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</si>
  <si>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</si>
  <si>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</si>
  <si>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</si>
  <si>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</si>
  <si>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</si>
  <si>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</si>
  <si>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</si>
  <si>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</si>
  <si>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</si>
  <si>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</si>
  <si>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</si>
  <si>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</si>
  <si>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</si>
  <si>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</si>
  <si>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</si>
  <si>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</si>
  <si>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</si>
  <si>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</si>
  <si>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</si>
  <si>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</si>
  <si>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</si>
  <si>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</si>
  <si>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</si>
  <si>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</si>
  <si>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</si>
  <si>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</si>
  <si>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</si>
  <si>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</si>
  <si>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</si>
  <si>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</si>
  <si>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</si>
  <si>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</si>
  <si>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</si>
  <si>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</si>
  <si>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</si>
  <si>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</si>
  <si>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</si>
  <si>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</si>
  <si>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</si>
  <si>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</si>
  <si>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</si>
  <si>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</si>
  <si>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</si>
  <si>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</si>
  <si>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</si>
  <si>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</si>
  <si>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</si>
  <si>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</si>
  <si>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</si>
  <si>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</si>
  <si>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</si>
  <si>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</si>
  <si>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</si>
  <si>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</si>
  <si>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</si>
  <si>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</si>
  <si>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</si>
  <si>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</si>
  <si>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</si>
  <si>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</si>
  <si>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</si>
  <si>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</si>
  <si>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</si>
  <si>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</si>
  <si>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</si>
  <si>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</si>
  <si>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</si>
  <si>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</si>
  <si>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</si>
  <si>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</si>
  <si>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</si>
  <si>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</si>
  <si>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</si>
  <si>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</si>
  <si>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</si>
  <si>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</si>
  <si>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</si>
  <si>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</si>
  <si>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</si>
  <si>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</si>
  <si>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</si>
  <si>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</si>
  <si>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</si>
  <si>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</si>
  <si>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</si>
  <si>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</si>
  <si>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</si>
  <si>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</si>
  <si>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</si>
  <si>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</si>
  <si>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</si>
  <si>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</si>
  <si>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</si>
  <si>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</si>
  <si>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</si>
  <si>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</si>
  <si>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</si>
  <si>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</si>
  <si>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</si>
  <si>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</si>
  <si>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</si>
  <si>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</si>
  <si>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</si>
  <si>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</si>
  <si>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</si>
  <si>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</si>
  <si>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</si>
  <si>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</si>
  <si>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</si>
  <si>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</si>
  <si>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</si>
  <si>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</si>
  <si>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</si>
  <si>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</si>
  <si>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</si>
  <si>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</si>
  <si>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</si>
  <si>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</si>
  <si>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</si>
  <si>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</si>
  <si>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</si>
  <si>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</si>
  <si>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</si>
  <si>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</si>
  <si>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</si>
  <si>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</si>
  <si>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</si>
  <si>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</si>
  <si>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</si>
  <si>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</si>
  <si>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</si>
  <si>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</si>
  <si>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</si>
  <si>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</si>
  <si>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</si>
  <si>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</si>
  <si>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</si>
  <si>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</si>
  <si>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</si>
  <si>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</si>
  <si>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</si>
  <si>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</si>
  <si>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</si>
  <si>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</si>
  <si>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</si>
  <si>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</si>
  <si>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</si>
  <si>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</si>
  <si>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</si>
  <si>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</si>
  <si>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</si>
  <si>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</si>
  <si>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</si>
  <si>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</si>
  <si>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</si>
  <si>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</si>
  <si>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</si>
  <si>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</si>
  <si>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</si>
  <si>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</si>
  <si>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</si>
  <si>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</si>
  <si>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</si>
  <si>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</si>
  <si>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</si>
  <si>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</si>
  <si>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</si>
  <si>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</si>
  <si>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</si>
  <si>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</si>
  <si>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</si>
  <si>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</si>
  <si>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</si>
  <si>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</si>
  <si>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</si>
  <si>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</si>
  <si>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</si>
  <si>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</si>
  <si>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</si>
  <si>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</si>
  <si>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</si>
  <si>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</si>
  <si>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</si>
  <si>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</si>
  <si>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</si>
  <si>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</si>
  <si>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</si>
  <si>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</si>
  <si>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</si>
  <si>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</si>
  <si>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</si>
  <si>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</si>
  <si>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</si>
  <si>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</si>
  <si>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</si>
  <si>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</si>
  <si>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</si>
  <si>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</si>
  <si>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</si>
  <si>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</si>
  <si>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</si>
  <si>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</si>
  <si>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</si>
  <si>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</si>
  <si>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</si>
  <si>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</si>
  <si>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</si>
  <si>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</si>
  <si>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</si>
  <si>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</si>
  <si>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</si>
  <si>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</si>
  <si>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</si>
  <si>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</si>
  <si>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</si>
  <si>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</si>
  <si>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</si>
  <si>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</si>
  <si>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</si>
  <si>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</si>
  <si>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</si>
  <si>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</si>
  <si>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</si>
  <si>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</si>
  <si>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</si>
  <si>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</si>
  <si>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</si>
  <si>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</si>
  <si>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</si>
  <si>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</si>
  <si>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</si>
  <si>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</si>
  <si>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</si>
  <si>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</si>
  <si>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</si>
  <si>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</si>
  <si>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</si>
  <si>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</si>
  <si>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</si>
  <si>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</si>
  <si>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</si>
  <si>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</si>
  <si>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</si>
  <si>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</si>
  <si>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</si>
  <si>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</si>
  <si>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</si>
  <si>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</si>
  <si>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</si>
  <si>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</si>
  <si>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</si>
  <si>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</si>
  <si>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</si>
  <si>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</si>
  <si>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</si>
  <si>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</si>
  <si>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</si>
  <si>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</si>
  <si>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</si>
  <si>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</si>
  <si>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</si>
  <si>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</si>
  <si>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</si>
  <si>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</si>
  <si>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</si>
  <si>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</si>
  <si>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</si>
  <si>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</si>
  <si>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</si>
  <si>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</si>
  <si>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</si>
  <si>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</si>
  <si>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</si>
  <si>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</si>
  <si>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</si>
  <si>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</si>
  <si>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</si>
  <si>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</si>
  <si>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</si>
  <si>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</si>
  <si>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</si>
  <si>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</si>
  <si>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</si>
  <si>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</si>
  <si>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</si>
  <si>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</si>
  <si>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</si>
  <si>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</si>
  <si>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</si>
  <si>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</si>
  <si>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</si>
  <si>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</si>
  <si>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</si>
  <si>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</si>
  <si>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</si>
  <si>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</si>
  <si>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</si>
  <si>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</si>
  <si>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</si>
  <si>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</si>
  <si>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</si>
  <si>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</si>
  <si>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</si>
  <si>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</si>
  <si>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</si>
  <si>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</si>
  <si>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</si>
  <si>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</si>
  <si>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</si>
  <si>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</si>
  <si>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</si>
  <si>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</si>
  <si>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</si>
  <si>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</si>
  <si>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</si>
  <si>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</si>
  <si>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</si>
  <si>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</si>
  <si>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</si>
  <si>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</si>
  <si>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</si>
  <si>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</si>
  <si>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</si>
  <si>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</si>
  <si>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</si>
  <si>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</si>
  <si>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</si>
  <si>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</si>
  <si>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</si>
  <si>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</si>
  <si>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</si>
  <si>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</si>
  <si>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</si>
  <si>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</si>
  <si>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</si>
  <si>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</si>
  <si>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</si>
  <si>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</si>
  <si>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</si>
  <si>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</si>
  <si>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</si>
  <si>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</si>
  <si>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</si>
  <si>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</si>
  <si>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</si>
  <si>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</si>
  <si>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</si>
  <si>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</si>
  <si>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</si>
  <si>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</si>
  <si>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</si>
  <si>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</si>
  <si>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</si>
  <si>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</si>
  <si>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</si>
  <si>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</si>
  <si>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</si>
  <si>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</si>
  <si>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</si>
  <si>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</si>
  <si>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</si>
  <si>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</si>
  <si>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</si>
  <si>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</si>
  <si>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</si>
  <si>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</si>
  <si>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</si>
  <si>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</si>
  <si>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</si>
  <si>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</si>
  <si>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</si>
  <si>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</si>
  <si>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</si>
  <si>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</si>
  <si>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</si>
  <si>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</si>
  <si>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</si>
  <si>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</si>
  <si>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</si>
  <si>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</si>
  <si>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</si>
  <si>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</si>
  <si>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</si>
  <si>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</si>
  <si>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</si>
  <si>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</si>
  <si>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</si>
  <si>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</si>
  <si>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</si>
  <si>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</si>
  <si>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</si>
  <si>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</si>
  <si>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</si>
  <si>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</si>
  <si>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</si>
  <si>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</si>
  <si>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</si>
  <si>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</si>
  <si>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</si>
  <si>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</si>
  <si>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</si>
  <si>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</si>
  <si>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</si>
  <si>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</si>
  <si>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</si>
  <si>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</si>
  <si>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</si>
  <si>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</si>
  <si>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</si>
  <si>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</si>
  <si>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</si>
  <si>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</si>
  <si>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</si>
  <si>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</si>
  <si>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</si>
  <si>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</si>
  <si>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</si>
  <si>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</si>
  <si>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</si>
  <si>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</si>
  <si>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</si>
  <si>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</si>
  <si>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</si>
  <si>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</si>
  <si>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</si>
  <si>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</si>
  <si>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</si>
  <si>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</si>
  <si>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</si>
  <si>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</si>
  <si>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</si>
  <si>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</si>
  <si>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</si>
  <si>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</si>
  <si>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</si>
  <si>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</si>
  <si>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</si>
  <si>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</si>
  <si>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</si>
  <si>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</si>
  <si>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</si>
  <si>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</si>
  <si>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</si>
  <si>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</si>
  <si>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</si>
  <si>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</si>
  <si>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</si>
  <si>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</si>
  <si>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</si>
  <si>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</si>
  <si>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</si>
  <si>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</si>
  <si>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</si>
  <si>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</si>
  <si>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</si>
  <si>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</si>
  <si>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</si>
  <si>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</si>
  <si>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</si>
  <si>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</si>
  <si>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</si>
  <si>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</si>
  <si>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</si>
  <si>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</si>
  <si>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</si>
  <si>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</si>
  <si>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</si>
  <si>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</si>
  <si>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</si>
  <si>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</si>
  <si>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</si>
  <si>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</si>
  <si>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</si>
  <si>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</si>
  <si>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</si>
  <si>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</si>
  <si>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</si>
  <si>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</si>
  <si>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</si>
  <si>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</si>
  <si>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</si>
  <si>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</si>
  <si>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</si>
  <si>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</si>
  <si>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</si>
  <si>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</si>
  <si>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</si>
  <si>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</si>
  <si>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</si>
  <si>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</si>
  <si>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</si>
  <si>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</si>
  <si>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</si>
  <si>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</si>
  <si>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</si>
  <si>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</si>
  <si>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</si>
  <si>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</si>
  <si>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</si>
  <si>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</si>
  <si>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</si>
  <si>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</si>
  <si>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</si>
  <si>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</si>
  <si>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</si>
  <si>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</si>
  <si>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</si>
  <si>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</si>
  <si>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</si>
  <si>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</si>
  <si>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</si>
  <si>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</si>
  <si>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</si>
  <si>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</si>
  <si>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</si>
  <si>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</si>
  <si>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</si>
  <si>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</si>
  <si>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</si>
  <si>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</si>
  <si>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</si>
  <si>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</si>
  <si>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</si>
  <si>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</si>
  <si>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</si>
  <si>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</si>
  <si>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</si>
  <si>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</si>
  <si>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</si>
  <si>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</si>
  <si>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</si>
  <si>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</si>
  <si>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</si>
  <si>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</si>
  <si>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</si>
  <si>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</si>
  <si>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</si>
  <si>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</si>
  <si>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</si>
  <si>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</si>
  <si>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</si>
  <si>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</si>
  <si>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</si>
  <si>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</si>
  <si>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</si>
  <si>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</si>
  <si>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</si>
  <si>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</si>
  <si>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</si>
  <si>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</si>
  <si>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</si>
  <si>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</si>
  <si>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</si>
  <si>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</si>
  <si>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</si>
  <si>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</si>
  <si>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</si>
  <si>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</si>
  <si>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</si>
  <si>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</si>
  <si>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</si>
  <si>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</si>
  <si>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</si>
  <si>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</si>
  <si>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</si>
  <si>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</si>
  <si>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</si>
  <si>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</si>
  <si>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</si>
  <si>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</si>
  <si>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</si>
  <si>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</si>
  <si>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</si>
  <si>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</si>
  <si>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</si>
  <si>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</si>
  <si>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</si>
  <si>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</si>
  <si>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</si>
  <si>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</si>
  <si>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</si>
  <si>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</si>
  <si>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</si>
  <si>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</si>
  <si>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</si>
  <si>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</si>
  <si>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</si>
  <si>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</si>
  <si>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</si>
  <si>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</si>
  <si>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</si>
  <si>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</si>
  <si>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</si>
  <si>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</si>
  <si>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</si>
  <si>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</si>
  <si>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</si>
  <si>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</si>
  <si>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</si>
  <si>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</si>
  <si>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</si>
  <si>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</si>
  <si>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</si>
  <si>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</si>
  <si>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</si>
  <si>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</si>
  <si>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</si>
  <si>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</si>
  <si>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</si>
  <si>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</si>
  <si>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</si>
  <si>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</si>
  <si>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</si>
  <si>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</si>
  <si>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</si>
  <si>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</si>
  <si>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</si>
  <si>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</si>
  <si>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</si>
  <si>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</si>
  <si>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</si>
  <si>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</si>
  <si>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</si>
  <si>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</si>
  <si>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</si>
  <si>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</si>
  <si>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</si>
  <si>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</si>
  <si>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</si>
  <si>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</si>
  <si>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</si>
  <si>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</si>
  <si>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</si>
  <si>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</si>
  <si>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</si>
  <si>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</si>
  <si>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</si>
  <si>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</si>
  <si>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</si>
  <si>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</si>
  <si>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</si>
  <si>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</si>
  <si>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</si>
  <si>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</si>
  <si>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</si>
  <si>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</si>
  <si>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</si>
  <si>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</si>
  <si>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</si>
  <si>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</si>
  <si>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</si>
  <si>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</si>
  <si>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</si>
  <si>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</si>
  <si>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</si>
  <si>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</si>
  <si>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</si>
  <si>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</si>
  <si>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</si>
  <si>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</si>
  <si>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</si>
  <si>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</si>
  <si>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</si>
  <si>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</si>
  <si>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</si>
  <si>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</si>
  <si>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</si>
  <si>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</si>
  <si>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</si>
  <si>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</si>
  <si>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</si>
  <si>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</si>
  <si>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</si>
  <si>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</si>
  <si>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</si>
  <si>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</si>
  <si>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</si>
  <si>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</si>
  <si>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</si>
  <si>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</si>
  <si>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</si>
  <si>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</si>
  <si>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</si>
  <si>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</si>
  <si>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</si>
  <si>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</si>
  <si>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</si>
  <si>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</si>
  <si>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</si>
  <si>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</si>
  <si>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</si>
  <si>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</si>
  <si>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</si>
  <si>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</si>
  <si>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</si>
  <si>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</si>
  <si>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</si>
  <si>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</si>
  <si>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</si>
  <si>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</si>
  <si>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</si>
  <si>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</si>
  <si>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</si>
  <si>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</si>
  <si>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</si>
  <si>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</si>
  <si>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</si>
  <si>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</si>
  <si>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</si>
  <si>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</si>
  <si>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</si>
  <si>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</si>
  <si>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</si>
  <si>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</si>
  <si>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</si>
  <si>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</si>
  <si>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</si>
  <si>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</si>
  <si>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</si>
  <si>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</si>
  <si>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</si>
  <si>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</si>
  <si>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</si>
  <si>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</si>
  <si>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</si>
  <si>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</si>
  <si>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</si>
  <si>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</si>
  <si>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</si>
  <si>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</si>
  <si>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</si>
  <si>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</si>
  <si>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</si>
  <si>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</si>
  <si>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</si>
  <si>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</si>
  <si>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</si>
  <si>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</si>
  <si>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</si>
  <si>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</si>
  <si>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</si>
  <si>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</si>
  <si>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</si>
  <si>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</si>
  <si>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</si>
  <si>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</si>
  <si>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</si>
  <si>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</si>
  <si>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</si>
  <si>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</si>
  <si>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</si>
  <si>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</si>
  <si>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</si>
  <si>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</si>
  <si>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</si>
  <si>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</si>
  <si>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</si>
  <si>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</si>
  <si>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</si>
  <si>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</si>
  <si>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</si>
  <si>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</si>
  <si>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</si>
  <si>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</si>
  <si>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</si>
  <si>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</si>
  <si>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</si>
  <si>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</si>
  <si>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</si>
  <si>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</si>
  <si>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</si>
  <si>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</si>
  <si>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</si>
  <si>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</si>
  <si>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</si>
  <si>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</si>
  <si>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</si>
  <si>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</si>
  <si>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</si>
  <si>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</si>
  <si>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</si>
  <si>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</si>
  <si>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</si>
  <si>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</si>
  <si>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</si>
  <si>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</si>
  <si>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</si>
  <si>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</si>
  <si>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</si>
  <si>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</si>
  <si>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</si>
  <si>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</si>
  <si>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</si>
  <si>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</si>
  <si>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</si>
  <si>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</si>
  <si>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</si>
  <si>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</si>
  <si>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</si>
  <si>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</si>
  <si>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</si>
  <si>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</si>
  <si>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</si>
  <si>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</si>
  <si>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</si>
  <si>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</si>
  <si>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</si>
  <si>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</si>
  <si>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</si>
  <si>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</si>
  <si>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</si>
  <si>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</si>
  <si>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</si>
  <si>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</si>
  <si>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</si>
  <si>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</si>
  <si>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</si>
  <si>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</si>
  <si>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</si>
  <si>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</si>
  <si>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</si>
  <si>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</si>
  <si>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</si>
  <si>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</si>
  <si>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</si>
  <si>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</si>
  <si>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</si>
  <si>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</si>
  <si>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</si>
  <si>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</si>
  <si>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</si>
  <si>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</si>
  <si>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</si>
  <si>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</si>
  <si>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</si>
  <si>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</si>
  <si>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</si>
  <si>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</si>
  <si>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</si>
  <si>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</si>
  <si>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</si>
  <si>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</si>
  <si>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</si>
  <si>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</si>
  <si>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</si>
  <si>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</si>
  <si>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</si>
  <si>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</si>
  <si>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</si>
  <si>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</si>
  <si>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</si>
  <si>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</si>
  <si>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</si>
  <si>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</si>
  <si>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</si>
  <si>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</si>
  <si>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</si>
  <si>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</si>
  <si>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</si>
  <si>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</si>
  <si>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</si>
  <si>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</si>
  <si>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</si>
  <si>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</si>
  <si>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</si>
  <si>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</si>
  <si>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</si>
  <si>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</si>
  <si>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</si>
  <si>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</si>
  <si>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</si>
  <si>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</si>
  <si>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</si>
  <si>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</si>
  <si>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</si>
  <si>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</si>
  <si>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</si>
  <si>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</si>
  <si>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</si>
  <si>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</si>
  <si>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</si>
  <si>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</si>
  <si>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</si>
  <si>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</si>
  <si>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</si>
  <si>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</si>
  <si>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</si>
  <si>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</si>
  <si>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</si>
  <si>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</si>
  <si>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</si>
  <si>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</si>
  <si>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</si>
  <si>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</si>
  <si>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</si>
  <si>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</si>
  <si>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</si>
  <si>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</si>
  <si>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</si>
  <si>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</si>
  <si>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</si>
  <si>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</si>
  <si>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</si>
  <si>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</si>
  <si>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</si>
  <si>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</si>
  <si>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</si>
  <si>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</si>
  <si>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</si>
  <si>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</si>
  <si>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</si>
  <si>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</si>
  <si>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</si>
  <si>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</si>
  <si>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</si>
  <si>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</si>
  <si>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</si>
  <si>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</si>
  <si>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</si>
  <si>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</si>
  <si>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</si>
  <si>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</si>
  <si>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</si>
  <si>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</si>
  <si>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</si>
  <si>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</si>
  <si>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</si>
  <si>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</si>
  <si>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</si>
  <si>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</si>
  <si>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</si>
  <si>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</si>
  <si>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</si>
  <si>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</si>
  <si>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</si>
  <si>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</si>
  <si>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</si>
  <si>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</si>
  <si>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</si>
  <si>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</si>
  <si>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</si>
  <si>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</si>
  <si>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</si>
  <si>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</si>
  <si>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</si>
  <si>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</si>
  <si>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</si>
  <si>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</si>
  <si>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</si>
  <si>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</si>
  <si>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</si>
  <si>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</si>
  <si>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</si>
  <si>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</si>
  <si>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</si>
  <si>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</si>
  <si>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</si>
  <si>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</si>
  <si>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</si>
  <si>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</si>
  <si>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</si>
  <si>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</si>
  <si>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</si>
  <si>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</si>
  <si>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</si>
  <si>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</si>
  <si>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</si>
  <si>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</si>
  <si>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</si>
  <si>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</si>
  <si>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</si>
  <si>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</si>
  <si>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</si>
  <si>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</si>
  <si>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</si>
  <si>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</si>
  <si>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</si>
  <si>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</si>
  <si>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</si>
  <si>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</si>
  <si>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</si>
  <si>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</si>
  <si>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</si>
  <si>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</si>
  <si>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</si>
  <si>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</si>
  <si>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</si>
  <si>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</si>
  <si>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</si>
  <si>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</si>
  <si>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</si>
  <si>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</si>
  <si>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</si>
  <si>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</si>
  <si>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</si>
  <si>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</si>
  <si>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</si>
  <si>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</si>
  <si>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</si>
  <si>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</si>
  <si>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</si>
  <si>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</si>
  <si>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</si>
  <si>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</si>
  <si>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</si>
  <si>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</si>
  <si>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</si>
  <si>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</si>
  <si>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</si>
  <si>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</si>
  <si>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</si>
  <si>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</si>
  <si>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</si>
  <si>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</si>
  <si>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</si>
  <si>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</si>
  <si>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</si>
  <si>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</si>
  <si>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</si>
  <si>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</si>
  <si>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</si>
  <si>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</si>
  <si>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</si>
  <si>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</si>
  <si>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</si>
  <si>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</si>
  <si>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</si>
  <si>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</si>
  <si>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</si>
  <si>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</si>
  <si>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</si>
  <si>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</si>
  <si>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</si>
  <si>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</si>
  <si>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</si>
  <si>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</si>
  <si>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</si>
  <si>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</si>
  <si>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</si>
  <si>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</si>
  <si>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</si>
  <si>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</si>
  <si>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</si>
  <si>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</si>
  <si>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</si>
  <si>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</si>
  <si>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</si>
  <si>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</si>
  <si>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</si>
  <si>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</si>
  <si>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</si>
  <si>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</si>
  <si>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</si>
  <si>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</si>
  <si>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</si>
  <si>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</si>
  <si>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</si>
  <si>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</si>
  <si>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</si>
  <si>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</si>
  <si>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</si>
  <si>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</si>
  <si>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</si>
  <si>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</si>
  <si>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</si>
  <si>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</si>
  <si>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</si>
  <si>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</si>
  <si>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</si>
  <si>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</si>
  <si>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</si>
  <si>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</si>
  <si>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</si>
  <si>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</si>
  <si>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</si>
  <si>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</si>
  <si>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</si>
  <si>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</si>
  <si>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</si>
  <si>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</si>
  <si>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</si>
  <si>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</si>
  <si>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</si>
  <si>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</si>
  <si>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</si>
  <si>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</si>
  <si>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</si>
  <si>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</si>
  <si>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</si>
  <si>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</si>
  <si>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</si>
  <si>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</si>
  <si>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</si>
  <si>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</si>
  <si>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</si>
  <si>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</si>
  <si>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</si>
  <si>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</si>
  <si>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</si>
  <si>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</si>
  <si>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</si>
  <si>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</si>
  <si>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</si>
  <si>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</si>
  <si>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</si>
  <si>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</si>
  <si>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</si>
  <si>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</si>
  <si>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</si>
  <si>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</si>
  <si>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</si>
  <si>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</si>
  <si>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</si>
  <si>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</si>
  <si>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</si>
  <si>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</si>
  <si>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</si>
  <si>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</si>
  <si>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</si>
  <si>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</si>
  <si>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</si>
  <si>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</si>
  <si>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</si>
  <si>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</si>
  <si>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</si>
  <si>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</si>
  <si>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</si>
  <si>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</si>
  <si>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</si>
  <si>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</si>
  <si>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</si>
  <si>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</si>
  <si>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</si>
  <si>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</si>
  <si>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</si>
  <si>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</si>
  <si>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</si>
  <si>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</si>
  <si>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</si>
  <si>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</si>
  <si>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</si>
  <si>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</si>
  <si>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</si>
  <si>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</si>
  <si>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</si>
  <si>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</si>
  <si>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</si>
  <si>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</si>
  <si>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</si>
  <si>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</si>
  <si>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</si>
  <si>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</si>
  <si>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</si>
  <si>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</si>
  <si>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</si>
  <si>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</si>
  <si>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</si>
  <si>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</si>
  <si>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</si>
  <si>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</si>
  <si>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</si>
  <si>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</si>
  <si>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</si>
  <si>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以估价对象土地价格为基数记取</t>
    <phoneticPr fontId="15" type="noConversion"/>
  </si>
  <si>
    <t>2019-3</t>
    <phoneticPr fontId="3" type="noConversion"/>
  </si>
  <si>
    <t>赵璠</t>
  </si>
  <si>
    <t>2019A-027</t>
    <phoneticPr fontId="3" type="noConversion"/>
  </si>
  <si>
    <t>刘俊财</t>
    <phoneticPr fontId="3" type="noConversion"/>
  </si>
  <si>
    <t>2019-4</t>
    <phoneticPr fontId="3" type="noConversion"/>
  </si>
  <si>
    <t>2020-1</t>
    <phoneticPr fontId="3" type="noConversion"/>
  </si>
  <si>
    <t>2020-2</t>
    <phoneticPr fontId="3" type="noConversion"/>
  </si>
  <si>
    <t>2020-3</t>
    <phoneticPr fontId="3" type="noConversion"/>
  </si>
  <si>
    <t>市场价格</t>
  </si>
  <si>
    <t>企业</t>
  </si>
  <si>
    <t>地上</t>
  </si>
  <si>
    <t>收益还原法</t>
  </si>
  <si>
    <t>案例G</t>
  </si>
  <si>
    <t>金融街园中园</t>
  </si>
  <si>
    <t>案例H</t>
  </si>
  <si>
    <t>案例I</t>
  </si>
  <si>
    <t>通州万达广场</t>
  </si>
  <si>
    <r>
      <rPr>
        <sz val="11"/>
        <color indexed="8"/>
        <rFont val="仿宋_GB2312"/>
        <family val="3"/>
        <charset val="134"/>
      </rPr>
      <t>不动产比较法</t>
    </r>
    <r>
      <rPr>
        <sz val="11"/>
        <color indexed="8"/>
        <rFont val="Arial"/>
        <family val="2"/>
      </rPr>
      <t>-</t>
    </r>
    <r>
      <rPr>
        <sz val="11"/>
        <color indexed="8"/>
        <rFont val="仿宋_GB2312"/>
        <family val="3"/>
        <charset val="134"/>
      </rPr>
      <t>办公售价</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</si>
  <si>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办公租金</t>
    </r>
    <phoneticPr fontId="14" type="noConversion"/>
  </si>
  <si>
    <t>售价</t>
  </si>
  <si>
    <t>通路</t>
  </si>
  <si>
    <t>通电</t>
  </si>
  <si>
    <t>通讯</t>
  </si>
  <si>
    <t>通上水</t>
  </si>
  <si>
    <t>通下水</t>
  </si>
  <si>
    <t>平整</t>
  </si>
  <si>
    <t>容积率修正</t>
  </si>
  <si>
    <t>一般</t>
  </si>
  <si>
    <t>较好</t>
  </si>
  <si>
    <t>自定义容积率</t>
  </si>
  <si>
    <r>
      <rPr>
        <sz val="11"/>
        <color indexed="53"/>
        <rFont val="仿宋_GB2312"/>
        <family val="3"/>
        <charset val="134"/>
      </rPr>
      <t>估价对象名称</t>
    </r>
  </si>
  <si>
    <t>通州区东夏园</t>
  </si>
  <si>
    <t>通州区永顺镇</t>
  </si>
  <si>
    <t>通州北苑</t>
  </si>
  <si>
    <t>正常</t>
  </si>
  <si>
    <t>办公</t>
    <phoneticPr fontId="27" type="noConversion"/>
  </si>
  <si>
    <t>40-50（含）</t>
  </si>
  <si>
    <t>五通</t>
  </si>
  <si>
    <t>高速路</t>
  </si>
  <si>
    <t>城市主干道</t>
  </si>
  <si>
    <t>城市次干道</t>
  </si>
  <si>
    <t>城市支路</t>
  </si>
  <si>
    <t>钢混</t>
  </si>
  <si>
    <t>精装修</t>
  </si>
  <si>
    <t>普通装修</t>
  </si>
  <si>
    <t>简单装修</t>
  </si>
  <si>
    <t>毛坯</t>
  </si>
  <si>
    <t>标准写字楼</t>
  </si>
  <si>
    <t>非标准写字楼</t>
  </si>
  <si>
    <t>物业公司管理</t>
  </si>
  <si>
    <t>否</t>
  </si>
  <si>
    <t>已部分缴纳</t>
  </si>
  <si>
    <t>押一</t>
  </si>
  <si>
    <t>非生产用房</t>
    <phoneticPr fontId="3" type="noConversion"/>
  </si>
  <si>
    <t>钢混</t>
    <phoneticPr fontId="3" type="noConversion"/>
  </si>
  <si>
    <t>楼面单价
（元/平方米）</t>
  </si>
  <si>
    <t>建筑规模
（平方米）</t>
  </si>
  <si>
    <t>总价
（万元）</t>
  </si>
  <si>
    <t>熟地总价</t>
  </si>
  <si>
    <t>政府土地出让收益总价</t>
  </si>
  <si>
    <t>权重</t>
  </si>
  <si>
    <t>剩余法</t>
  </si>
  <si>
    <t>出让金</t>
  </si>
  <si>
    <t>权重后总价</t>
  </si>
  <si>
    <t>基准地价</t>
    <phoneticPr fontId="228" type="noConversion"/>
  </si>
  <si>
    <t>总价（万元）</t>
    <phoneticPr fontId="228" type="noConversion"/>
  </si>
  <si>
    <t>挂牌</t>
  </si>
  <si>
    <t>挂牌</t>
    <phoneticPr fontId="228" type="noConversion"/>
  </si>
  <si>
    <t>办公</t>
    <phoneticPr fontId="228" type="noConversion"/>
  </si>
  <si>
    <t>北京one写字楼</t>
    <phoneticPr fontId="3" type="noConversion"/>
  </si>
  <si>
    <t>通州绿地中央广场</t>
    <phoneticPr fontId="228" type="noConversion"/>
  </si>
  <si>
    <t>Ⅶ-通1</t>
  </si>
  <si>
    <t>商业</t>
  </si>
  <si>
    <t>地下</t>
  </si>
  <si>
    <t>仓储</t>
  </si>
  <si>
    <t>车库</t>
  </si>
  <si>
    <t>住宅</t>
    <phoneticPr fontId="7" type="noConversion"/>
  </si>
  <si>
    <t>商业</t>
    <phoneticPr fontId="7" type="noConversion"/>
  </si>
  <si>
    <t>居住用地（指二类居住用地）</t>
  </si>
  <si>
    <t>无</t>
  </si>
  <si>
    <t>1000米以外</t>
  </si>
  <si>
    <t>通热</t>
  </si>
  <si>
    <t>燃气</t>
  </si>
  <si>
    <t>与级别开发程度一致</t>
  </si>
  <si>
    <t>较差</t>
  </si>
  <si>
    <t>好</t>
  </si>
  <si>
    <t>派出所</t>
  </si>
  <si>
    <t>行政办公</t>
  </si>
  <si>
    <t>幼儿园</t>
  </si>
  <si>
    <t>学校</t>
  </si>
  <si>
    <t>备注</t>
  </si>
  <si>
    <t>地下仓储</t>
  </si>
  <si>
    <t>估价对象容积率</t>
  </si>
  <si>
    <t>不临58条商业街</t>
  </si>
  <si>
    <t>批发零售用地</t>
  </si>
  <si>
    <t>不动产收益法-车库</t>
  </si>
  <si>
    <r>
      <rPr>
        <sz val="11"/>
        <color indexed="8"/>
        <rFont val="宋体"/>
        <family val="3"/>
        <charset val="134"/>
      </rPr>
      <t>不动产收益法</t>
    </r>
    <r>
      <rPr>
        <sz val="11"/>
        <color indexed="8"/>
        <rFont val="Arial"/>
        <family val="2"/>
      </rPr>
      <t>-</t>
    </r>
    <r>
      <rPr>
        <sz val="11"/>
        <color indexed="8"/>
        <rFont val="宋体"/>
        <family val="3"/>
        <charset val="134"/>
      </rPr>
      <t>仓储</t>
    </r>
    <phoneticPr fontId="14" type="noConversion"/>
  </si>
  <si>
    <t>不动产收益法-仓储</t>
  </si>
  <si>
    <t>商业用途熟地价</t>
    <phoneticPr fontId="228" type="noConversion"/>
  </si>
  <si>
    <t>地下仓储用途熟地价</t>
    <phoneticPr fontId="228" type="noConversion"/>
  </si>
  <si>
    <t>地下车库用途熟地价</t>
    <phoneticPr fontId="228" type="noConversion"/>
  </si>
  <si>
    <t>居住用途熟地价</t>
    <phoneticPr fontId="228" type="noConversion"/>
  </si>
  <si>
    <t>商业用途政府土地出让收益</t>
    <phoneticPr fontId="228" type="noConversion"/>
  </si>
  <si>
    <t>居住用途政府土地出让收益</t>
    <phoneticPr fontId="228" type="noConversion"/>
  </si>
  <si>
    <t>地下仓储用途政府土地出让收益</t>
    <phoneticPr fontId="228" type="noConversion"/>
  </si>
  <si>
    <t>地下车库用途政府土地出让收益</t>
    <phoneticPr fontId="228" type="noConversion"/>
  </si>
  <si>
    <t>住宅</t>
    <phoneticPr fontId="228" type="noConversion"/>
  </si>
  <si>
    <t>商业</t>
    <phoneticPr fontId="228" type="noConversion"/>
  </si>
  <si>
    <t>地下仓储</t>
    <phoneticPr fontId="228" type="noConversion"/>
  </si>
  <si>
    <t>地下车库</t>
    <phoneticPr fontId="228" type="noConversion"/>
  </si>
  <si>
    <r>
      <rPr>
        <sz val="11"/>
        <color theme="1"/>
        <rFont val="宋体"/>
        <family val="3"/>
        <charset val="134"/>
      </rPr>
      <t>剩余法</t>
    </r>
    <r>
      <rPr>
        <sz val="11"/>
        <color theme="1"/>
        <rFont val="Arial"/>
        <family val="2"/>
      </rPr>
      <t>-</t>
    </r>
    <r>
      <rPr>
        <sz val="11"/>
        <color theme="1"/>
        <rFont val="宋体"/>
        <family val="3"/>
        <charset val="134"/>
      </rPr>
      <t>商业</t>
    </r>
    <phoneticPr fontId="14" type="noConversion"/>
  </si>
  <si>
    <t>结果汇总表</t>
    <phoneticPr fontId="228" type="noConversion"/>
  </si>
  <si>
    <t>土地价款计算表</t>
  </si>
  <si>
    <t>基数(平方米)</t>
  </si>
  <si>
    <t>单价（万元）</t>
  </si>
  <si>
    <t>土地开发建设补偿费</t>
  </si>
  <si>
    <t>北区</t>
  </si>
  <si>
    <t>预估一级开发总成本396739.19万元，副中心住房项目北区（含行政办公地块）与安贞医院按原规划建设用地面积比例分摊成本，确定土地价格为31445.44万元</t>
    <phoneticPr fontId="228" type="noConversion"/>
  </si>
  <si>
    <t>安置房</t>
  </si>
  <si>
    <t>用于安置房售价审计</t>
  </si>
  <si>
    <t>公租房（公产房）</t>
  </si>
  <si>
    <t>工程办为主体，</t>
  </si>
  <si>
    <t>用于计算补交政府土地收益</t>
  </si>
  <si>
    <t>根据文件承担10%</t>
  </si>
  <si>
    <t>其他公共服务设施</t>
  </si>
  <si>
    <t>南区</t>
  </si>
  <si>
    <t>工勤宿舍</t>
  </si>
  <si>
    <t>公共服务设施</t>
  </si>
  <si>
    <t>补交政府土地收益</t>
  </si>
  <si>
    <t>公租房转共有产权房补交综合地价款</t>
  </si>
  <si>
    <t>经营性用房政府收益</t>
  </si>
  <si>
    <t>2.2.1</t>
  </si>
  <si>
    <t>地上商业</t>
  </si>
  <si>
    <t>2.2.2</t>
  </si>
  <si>
    <t>地下车库和库房</t>
  </si>
  <si>
    <t>契税</t>
  </si>
  <si>
    <t>出让金的3%</t>
  </si>
  <si>
    <t>说明：因目前仅B#地块方案已稳定，其余地块方案尚未确定，本表所列指标均为根据3月份市政府批复的项目方案中控制指标及相关规范标准估算数据，最终以确定后的方案指标为准。</t>
  </si>
  <si>
    <t>成交日期</t>
  </si>
  <si>
    <t>地块名称</t>
  </si>
  <si>
    <t>建设用地面积(㎡)</t>
  </si>
  <si>
    <t>规划建筑面积(㎡)</t>
  </si>
  <si>
    <t>土地开发建设补偿费总额（万元）</t>
    <phoneticPr fontId="3" type="noConversion"/>
  </si>
  <si>
    <t>土地一级开发成本单价（元/平方米）</t>
    <phoneticPr fontId="3" type="noConversion"/>
  </si>
  <si>
    <t>用地性质</t>
  </si>
  <si>
    <t>详细规划</t>
  </si>
  <si>
    <t>起始价(万元)</t>
  </si>
  <si>
    <t>成交价(万元)</t>
  </si>
  <si>
    <t>成交楼面价(元/㎡)</t>
  </si>
  <si>
    <t>成交楼面价(除保障房)(元/㎡)</t>
  </si>
  <si>
    <t>溢价率</t>
  </si>
  <si>
    <t>商业比例</t>
  </si>
  <si>
    <t>保障房类型</t>
  </si>
  <si>
    <t>成交保障房面积(㎡)</t>
  </si>
  <si>
    <t>配建自住房情况</t>
  </si>
  <si>
    <t>成交特殊政策</t>
  </si>
  <si>
    <t>受让单位</t>
  </si>
  <si>
    <t>土地星级</t>
  </si>
  <si>
    <t>出让方式</t>
  </si>
  <si>
    <t>2020-07-14</t>
  </si>
  <si>
    <t>北京市通州区永顺镇运通人和良园二期项目FZX-0604-6002、FZX-0604-6006地块R2二类居住用地、A334托幼用地</t>
  </si>
  <si>
    <t>综合用地(含住宅)</t>
  </si>
  <si>
    <t>R2二类居住用地、A334托幼用地</t>
  </si>
  <si>
    <t>r2≤2.2,a33≤0.8</t>
  </si>
  <si>
    <t>定向安置房,</t>
  </si>
  <si>
    <t>限地价,含保障房用地</t>
  </si>
  <si>
    <t>北京古城房地产开发有限公司、北京通州投资发展有限公司和北京春江房地产经纪有限责任公司联合体</t>
  </si>
  <si>
    <t>5星</t>
  </si>
  <si>
    <t>2020-02-18</t>
  </si>
  <si>
    <t>北京市通州区台湖镇亦庄新城站前区YZ00-0401-0056、YZ00-0401-L0055-02地块R2二类居住用地、A334托幼用地</t>
  </si>
  <si>
    <t>a334≤0.8,r2≤2.0</t>
  </si>
  <si>
    <t>限地价,竞自持</t>
  </si>
  <si>
    <t>北京绿城投资有限公司</t>
  </si>
  <si>
    <t>2020-02-11</t>
  </si>
  <si>
    <t>北京市通州区马驹桥镇亦庄新城0500街区YZ00-0500-6007等地块R2二类居住用地、A334托幼用地</t>
  </si>
  <si>
    <t>a334≤0.8,r2(6007)≤2.4,r2(6011)≤2.2</t>
  </si>
  <si>
    <t>限地价</t>
  </si>
  <si>
    <t>北京润置商业运营管理有限公司和华通置业有限公司联合体</t>
  </si>
  <si>
    <t>3星</t>
  </si>
  <si>
    <t>2019-10-17</t>
  </si>
  <si>
    <t>北京市通州区潞城镇FZX-0901-0162地块F3其他类多功能用地</t>
  </si>
  <si>
    <t>商业/办公用地</t>
  </si>
  <si>
    <t>F3其他类多功能用地</t>
  </si>
  <si>
    <t>≤2.5</t>
  </si>
  <si>
    <t>北京润置商业运营管理有限公司和北京首都开发股份有限公司联合体</t>
  </si>
  <si>
    <t>2019-10-15</t>
  </si>
  <si>
    <t>北京市通州区马驹桥镇国家环保产业园区YZ00-0703-6004、6005、6006地块R2二类居住用地及A33基础教育用地</t>
  </si>
  <si>
    <t>R2二类居住用地、A33基础教育用地</t>
  </si>
  <si>
    <t>限地价,限房价,90/70</t>
  </si>
  <si>
    <t>北京融玺企业管理服务有限公司、北京首都开发股份有限公司和北京通州投资发展有限公司联合体</t>
  </si>
  <si>
    <t>2019-02-02</t>
  </si>
  <si>
    <r>
      <rPr>
        <sz val="10"/>
        <rFont val="宋体"/>
        <family val="3"/>
        <charset val="134"/>
      </rPr>
      <t>北京市通州新城</t>
    </r>
    <r>
      <rPr>
        <sz val="11"/>
        <color theme="1"/>
        <rFont val="宋体"/>
        <family val="3"/>
        <charset val="134"/>
        <scheme val="minor"/>
      </rPr>
      <t>0203</t>
    </r>
    <r>
      <rPr>
        <sz val="10"/>
        <rFont val="宋体"/>
        <family val="3"/>
        <charset val="134"/>
      </rPr>
      <t>街区</t>
    </r>
    <r>
      <rPr>
        <sz val="11"/>
        <color theme="1"/>
        <rFont val="宋体"/>
        <family val="3"/>
        <charset val="134"/>
        <scheme val="minor"/>
      </rPr>
      <t>TZ00-0203-6009</t>
    </r>
    <r>
      <rPr>
        <sz val="10"/>
        <rFont val="宋体"/>
        <family val="3"/>
        <charset val="134"/>
      </rPr>
      <t>地块</t>
    </r>
    <r>
      <rPr>
        <sz val="11"/>
        <color theme="1"/>
        <rFont val="宋体"/>
        <family val="3"/>
        <charset val="134"/>
        <scheme val="minor"/>
      </rPr>
      <t>R2</t>
    </r>
    <r>
      <rPr>
        <sz val="10"/>
        <rFont val="宋体"/>
        <family val="3"/>
        <charset val="134"/>
      </rPr>
      <t>二类居住用地、</t>
    </r>
    <r>
      <rPr>
        <sz val="11"/>
        <color theme="1"/>
        <rFont val="宋体"/>
        <family val="3"/>
        <charset val="134"/>
        <scheme val="minor"/>
      </rPr>
      <t>TZ00-0203-6010</t>
    </r>
    <r>
      <rPr>
        <sz val="10"/>
        <rFont val="宋体"/>
        <family val="3"/>
        <charset val="134"/>
      </rPr>
      <t>地块</t>
    </r>
    <r>
      <rPr>
        <sz val="11"/>
        <color theme="1"/>
        <rFont val="宋体"/>
        <family val="3"/>
        <charset val="134"/>
        <scheme val="minor"/>
      </rPr>
      <t>A33</t>
    </r>
    <r>
      <rPr>
        <sz val="10"/>
        <rFont val="宋体"/>
        <family val="3"/>
        <charset val="134"/>
      </rPr>
      <t>基础教育用地</t>
    </r>
    <phoneticPr fontId="3" type="noConversion"/>
  </si>
  <si>
    <t>r2=1.6,a33=0.8</t>
  </si>
  <si>
    <t>限地价,限房价</t>
  </si>
  <si>
    <t>北京通州房地产开发有限责任公司</t>
  </si>
  <si>
    <t>4星</t>
  </si>
  <si>
    <t>北京市通州区永顺镇TZ-0104-6002地块F1住宅混合公建用地、TZ-0104-6001地块A33基础教育用地</t>
  </si>
  <si>
    <t>F1住宅混合公建用地、A33基础教育用地</t>
  </si>
  <si>
    <t>f1=1.6,a33=0.8</t>
  </si>
  <si>
    <t>天津北方泽茂企业管理有限公司和北京煦腾房地产开发有限公司联合体</t>
  </si>
  <si>
    <t>2019-01-31</t>
  </si>
  <si>
    <t>北京市通州区台湖镇TZ09-0100-6016地块、6019地块R2二类居住用地、TZ09-0100-6018地块A33基础教育用地</t>
  </si>
  <si>
    <t>居住用途建筑规模全部建设“共有产权住房”,销售价格30000元/平方米(含全装修费用)</t>
  </si>
  <si>
    <t>限房价,含自住房/共有产权住房</t>
  </si>
  <si>
    <t>中建一局集团房地产开发有限公司</t>
  </si>
  <si>
    <r>
      <rPr>
        <sz val="10"/>
        <rFont val="宋体"/>
        <family val="3"/>
        <charset val="134"/>
      </rPr>
      <t>北京市通州区台湖镇</t>
    </r>
    <r>
      <rPr>
        <sz val="11"/>
        <color theme="1"/>
        <rFont val="宋体"/>
        <family val="3"/>
        <charset val="134"/>
        <scheme val="minor"/>
      </rPr>
      <t>YZ00-0405-0094</t>
    </r>
    <r>
      <rPr>
        <sz val="10"/>
        <rFont val="宋体"/>
        <family val="3"/>
        <charset val="134"/>
      </rPr>
      <t>等地块</t>
    </r>
    <r>
      <rPr>
        <sz val="11"/>
        <color theme="1"/>
        <rFont val="宋体"/>
        <family val="3"/>
        <charset val="134"/>
        <scheme val="minor"/>
      </rPr>
      <t>R2</t>
    </r>
    <r>
      <rPr>
        <sz val="10"/>
        <rFont val="宋体"/>
        <family val="3"/>
        <charset val="134"/>
      </rPr>
      <t>二类居住用地、</t>
    </r>
    <r>
      <rPr>
        <sz val="11"/>
        <color theme="1"/>
        <rFont val="宋体"/>
        <family val="3"/>
        <charset val="134"/>
        <scheme val="minor"/>
      </rPr>
      <t>YZ00-0405-0097</t>
    </r>
    <r>
      <rPr>
        <sz val="10"/>
        <rFont val="宋体"/>
        <family val="3"/>
        <charset val="134"/>
      </rPr>
      <t>地块</t>
    </r>
    <r>
      <rPr>
        <sz val="11"/>
        <color theme="1"/>
        <rFont val="宋体"/>
        <family val="3"/>
        <charset val="134"/>
        <scheme val="minor"/>
      </rPr>
      <t>A33</t>
    </r>
    <r>
      <rPr>
        <sz val="10"/>
        <rFont val="宋体"/>
        <family val="3"/>
        <charset val="134"/>
      </rPr>
      <t>基础教育用地</t>
    </r>
    <phoneticPr fontId="3" type="noConversion"/>
  </si>
  <si>
    <t>北京万科企业有限公司和深圳市创邺企业管理有限公司联合体</t>
  </si>
  <si>
    <t>住宅用地</t>
  </si>
  <si>
    <t>R2二类居住用地</t>
  </si>
  <si>
    <t>居住建筑规模全部建设“共有产权住房”,销售价格25600元/平方米(含全装修费用)</t>
  </si>
  <si>
    <t>北京住总房地产开发有限责任公司、北京通州投资发展有限公司和北京住总置业有限公司联合体</t>
  </si>
  <si>
    <t>2019-01-28</t>
  </si>
  <si>
    <t>北京市通州区马驹桥镇C01地块B1商业用地、C-07地块R2二类居住用地、C-09地块A33基础教育用地</t>
  </si>
  <si>
    <t>R2二类居住用地、B1商业用地、A33基础教育用地</t>
  </si>
  <si>
    <t>出让宗地除回迁安置房外,剩余居住用途建筑规模全部建设“共有产权住房”,销售价格25500元/平方米</t>
  </si>
  <si>
    <t>限房价,含自住房/共有产权住房,含保障房用地</t>
  </si>
  <si>
    <t>北京北投置业有限公司、北京通州投资发展有限公司</t>
  </si>
  <si>
    <t>2星</t>
  </si>
  <si>
    <t>2018-02-06</t>
  </si>
  <si>
    <t>出让宗地居住建筑规模全部用于建设“共有产权住房”,销售价格23000元/平方米(含全装修费用)</t>
  </si>
  <si>
    <t>北京住总置业有限公司和北京住总房地产开发有限责任公司联合体</t>
  </si>
  <si>
    <t>办公</t>
    <phoneticPr fontId="7" type="noConversion"/>
  </si>
  <si>
    <t>地下仓储</t>
    <phoneticPr fontId="7" type="noConversion"/>
  </si>
  <si>
    <t>地下车库</t>
    <phoneticPr fontId="7" type="noConversion"/>
  </si>
  <si>
    <t>安置房</t>
    <phoneticPr fontId="14" type="noConversion"/>
  </si>
  <si>
    <t>公租房</t>
  </si>
  <si>
    <t>公租房</t>
    <phoneticPr fontId="14" type="noConversion"/>
  </si>
  <si>
    <t>北区</t>
    <phoneticPr fontId="228" type="noConversion"/>
  </si>
  <si>
    <t>用地面积（公顷）</t>
    <phoneticPr fontId="228" type="noConversion"/>
  </si>
  <si>
    <t>南区</t>
    <phoneticPr fontId="228" type="noConversion"/>
  </si>
  <si>
    <t>土地开发补偿费</t>
  </si>
  <si>
    <t>土地面积合计</t>
    <phoneticPr fontId="228" type="noConversion"/>
  </si>
  <si>
    <t>依据规划图</t>
    <phoneticPr fontId="228" type="noConversion"/>
  </si>
  <si>
    <t>住宅</t>
    <phoneticPr fontId="228" type="noConversion"/>
  </si>
  <si>
    <t>商业</t>
    <phoneticPr fontId="228" type="noConversion"/>
  </si>
  <si>
    <t>成本逼近法</t>
    <phoneticPr fontId="228" type="noConversion"/>
  </si>
  <si>
    <t>办公</t>
    <phoneticPr fontId="228" type="noConversion"/>
  </si>
  <si>
    <t>公顷</t>
    <phoneticPr fontId="228" type="noConversion"/>
  </si>
  <si>
    <r>
      <rPr>
        <sz val="10"/>
        <color rgb="FFFF0000"/>
        <rFont val="宋体"/>
        <family val="3"/>
        <charset val="134"/>
      </rPr>
      <t>北京市通州区台湖镇</t>
    </r>
    <r>
      <rPr>
        <sz val="11"/>
        <color rgb="FFFF0000"/>
        <rFont val="宋体"/>
        <family val="3"/>
        <charset val="134"/>
        <scheme val="minor"/>
      </rPr>
      <t>YZ00-0405-0099</t>
    </r>
    <r>
      <rPr>
        <sz val="10"/>
        <color rgb="FFFF0000"/>
        <rFont val="宋体"/>
        <family val="3"/>
        <charset val="134"/>
      </rPr>
      <t>、</t>
    </r>
    <r>
      <rPr>
        <sz val="11"/>
        <color rgb="FFFF0000"/>
        <rFont val="宋体"/>
        <family val="3"/>
        <charset val="134"/>
        <scheme val="minor"/>
      </rPr>
      <t>YZ00-0405-0104</t>
    </r>
    <r>
      <rPr>
        <sz val="10"/>
        <color rgb="FFFF0000"/>
        <rFont val="宋体"/>
        <family val="3"/>
        <charset val="134"/>
      </rPr>
      <t>地块</t>
    </r>
    <r>
      <rPr>
        <sz val="11"/>
        <color rgb="FFFF0000"/>
        <rFont val="宋体"/>
        <family val="3"/>
        <charset val="134"/>
        <scheme val="minor"/>
      </rPr>
      <t>R2</t>
    </r>
    <r>
      <rPr>
        <sz val="10"/>
        <color rgb="FFFF0000"/>
        <rFont val="宋体"/>
        <family val="3"/>
        <charset val="134"/>
      </rPr>
      <t>二类居住用地</t>
    </r>
    <phoneticPr fontId="3" type="noConversion"/>
  </si>
  <si>
    <r>
      <rPr>
        <sz val="10"/>
        <color rgb="FFFF0000"/>
        <rFont val="宋体"/>
        <family val="3"/>
        <charset val="134"/>
      </rPr>
      <t>北京市通州区台湖镇</t>
    </r>
    <r>
      <rPr>
        <sz val="11"/>
        <color rgb="FFFF0000"/>
        <rFont val="宋体"/>
        <family val="3"/>
        <charset val="134"/>
        <scheme val="minor"/>
      </rPr>
      <t>YZ00-0405-0078</t>
    </r>
    <r>
      <rPr>
        <sz val="10"/>
        <color rgb="FFFF0000"/>
        <rFont val="宋体"/>
        <family val="3"/>
        <charset val="134"/>
      </rPr>
      <t>、</t>
    </r>
    <r>
      <rPr>
        <sz val="11"/>
        <color rgb="FFFF0000"/>
        <rFont val="宋体"/>
        <family val="3"/>
        <charset val="134"/>
        <scheme val="minor"/>
      </rPr>
      <t>0079</t>
    </r>
    <r>
      <rPr>
        <sz val="10"/>
        <color rgb="FFFF0000"/>
        <rFont val="宋体"/>
        <family val="3"/>
        <charset val="134"/>
      </rPr>
      <t>、</t>
    </r>
    <r>
      <rPr>
        <sz val="11"/>
        <color rgb="FFFF0000"/>
        <rFont val="宋体"/>
        <family val="3"/>
        <charset val="134"/>
        <scheme val="minor"/>
      </rPr>
      <t>0081</t>
    </r>
    <r>
      <rPr>
        <sz val="10"/>
        <color rgb="FFFF0000"/>
        <rFont val="宋体"/>
        <family val="3"/>
        <charset val="134"/>
      </rPr>
      <t>地块</t>
    </r>
    <r>
      <rPr>
        <sz val="11"/>
        <color rgb="FFFF0000"/>
        <rFont val="宋体"/>
        <family val="3"/>
        <charset val="134"/>
        <scheme val="minor"/>
      </rPr>
      <t>R2</t>
    </r>
    <r>
      <rPr>
        <sz val="10"/>
        <color rgb="FFFF0000"/>
        <rFont val="宋体"/>
        <family val="3"/>
        <charset val="134"/>
      </rPr>
      <t>二类居住用地</t>
    </r>
    <phoneticPr fontId="3" type="noConversion"/>
  </si>
  <si>
    <t>住宅</t>
    <phoneticPr fontId="26" type="noConversion"/>
  </si>
  <si>
    <t>综合</t>
    <phoneticPr fontId="26" type="noConversion"/>
  </si>
  <si>
    <t>70</t>
    <phoneticPr fontId="26" type="noConversion"/>
  </si>
  <si>
    <t>元/平方米</t>
    <phoneticPr fontId="228" type="noConversion"/>
  </si>
  <si>
    <t>熟地单价</t>
    <phoneticPr fontId="228" type="noConversion"/>
  </si>
  <si>
    <t>土地比较法（共有产权）</t>
    <phoneticPr fontId="228" type="noConversion"/>
  </si>
  <si>
    <t>合计</t>
    <phoneticPr fontId="228" type="noConversion"/>
  </si>
  <si>
    <t>均值</t>
    <phoneticPr fontId="228" type="noConversion"/>
  </si>
  <si>
    <t>部分均值</t>
    <phoneticPr fontId="228" type="noConversion"/>
  </si>
  <si>
    <t>面积表</t>
    <phoneticPr fontId="228" type="noConversion"/>
  </si>
  <si>
    <t>地下仓储</t>
    <phoneticPr fontId="228" type="noConversion"/>
  </si>
  <si>
    <t>政府土地出让收益（元/平方米）</t>
    <phoneticPr fontId="228" type="noConversion"/>
  </si>
  <si>
    <t>权重后单价（元/平方米）</t>
    <phoneticPr fontId="228" type="noConversion"/>
  </si>
  <si>
    <t>划拨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</si>
</sst>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sz val="11"/>
      <color indexed="53"/>
      <name val="仿宋_GB2312"/>
      <family val="3"/>
      <charset val="134"/>
    </font>
    <font>
      <sz val="14"/>
      <color theme="1"/>
      <name val="黑体"/>
      <family val="3"/>
      <charset val="134"/>
    </font>
    <font>
      <sz val="12"/>
      <color theme="1"/>
      <name val="黑体"/>
      <family val="3"/>
      <charset val="134"/>
    </font>
    <font>
      <b/>
      <sz val="11"/>
      <name val="黑体"/>
      <family val="3"/>
      <charset val="134"/>
    </font>
    <font>
      <b/>
      <sz val="11"/>
      <name val="宋体"/>
      <family val="3"/>
      <charset val="134"/>
      <scheme val="minor"/>
    </font>
    <font>
      <b/>
      <sz val="12"/>
      <name val="黑体"/>
      <family val="3"/>
      <charset val="134"/>
    </font>
    <font>
      <sz val="11"/>
      <color theme="9" tint="-0.249977111117893"/>
      <name val="宋体"/>
      <family val="3"/>
      <charset val="134"/>
    </font>
    <font>
      <sz val="12"/>
      <name val="黑体"/>
      <family val="3"/>
      <charset val="134"/>
    </font>
    <font>
      <sz val="11"/>
      <name val="宋体"/>
      <family val="3"/>
      <charset val="134"/>
      <scheme val="minor"/>
    </font>
    <font>
      <b/>
      <sz val="10"/>
      <color rgb="FFFF000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9" tint="0.79998168889431442"/>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45" fillId="0" borderId="0">
      <alignment vertical="center"/>
    </xf>
    <xf numFmtId="0" fontId="86" fillId="0" borderId="0"/>
  </cellStyleXfs>
  <cellXfs count="357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13" borderId="2" xfId="14" applyFont="1" applyFill="1" applyBorder="1" applyAlignment="1" applyProtection="1">
      <alignment horizontal="center" vertical="center" wrapText="1"/>
      <protection locked="0"/>
    </xf>
    <xf numFmtId="0" fontId="257" fillId="0" borderId="2" xfId="14" applyFont="1" applyBorder="1" applyAlignment="1" applyProtection="1">
      <alignment horizontal="left" vertical="center" wrapText="1"/>
      <protection locked="0"/>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106" fillId="17" borderId="83" xfId="0" applyFont="1" applyFill="1" applyBorder="1" applyAlignment="1" applyProtection="1">
      <alignment horizontal="center" vertical="center"/>
    </xf>
    <xf numFmtId="10" fontId="156" fillId="5" borderId="2" xfId="0" applyNumberFormat="1" applyFont="1" applyFill="1" applyBorder="1" applyAlignment="1" applyProtection="1">
      <alignment horizontal="right" vertical="center"/>
    </xf>
    <xf numFmtId="0" fontId="257"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7" fillId="5" borderId="2" xfId="14" applyFont="1" applyFill="1" applyBorder="1" applyAlignment="1" applyProtection="1">
      <alignment horizontal="center" vertical="center" wrapText="1"/>
    </xf>
    <xf numFmtId="14" fontId="257" fillId="5" borderId="2" xfId="14" applyNumberFormat="1" applyFont="1" applyFill="1" applyBorder="1" applyAlignment="1" applyProtection="1">
      <alignment horizontal="center" vertical="center" wrapText="1"/>
    </xf>
    <xf numFmtId="0" fontId="256" fillId="5" borderId="2" xfId="14" applyFill="1" applyBorder="1" applyAlignment="1" applyProtection="1">
      <alignment vertical="center"/>
    </xf>
    <xf numFmtId="0" fontId="257" fillId="5" borderId="10" xfId="14" applyFont="1" applyFill="1" applyBorder="1" applyAlignment="1" applyProtection="1">
      <alignment horizontal="center" vertical="center" wrapText="1"/>
    </xf>
    <xf numFmtId="0" fontId="145" fillId="0" borderId="2" xfId="14" applyFont="1" applyFill="1" applyBorder="1" applyAlignment="1" applyProtection="1">
      <alignment vertical="center"/>
      <protection locked="0"/>
    </xf>
    <xf numFmtId="0" fontId="257" fillId="0" borderId="10" xfId="14"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71" fillId="0" borderId="2" xfId="0" applyFont="1" applyBorder="1" applyAlignment="1" applyProtection="1">
      <alignment horizontal="center" vertical="center"/>
      <protection locked="0"/>
    </xf>
    <xf numFmtId="0" fontId="84" fillId="5" borderId="5"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0" fontId="152" fillId="0" borderId="0" xfId="10" applyFont="1" applyFill="1" applyAlignment="1">
      <alignment horizontal="left" vertical="center"/>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177" fontId="71" fillId="16" borderId="12" xfId="2" applyNumberFormat="1" applyFont="1" applyFill="1" applyBorder="1" applyAlignment="1" applyProtection="1">
      <alignment horizontal="center" vertical="center"/>
      <protection locked="0"/>
    </xf>
    <xf numFmtId="178" fontId="76" fillId="16" borderId="2" xfId="2" applyNumberFormat="1" applyFont="1" applyFill="1" applyBorder="1" applyAlignment="1" applyProtection="1">
      <alignment horizontal="center" vertical="center"/>
      <protection locked="0"/>
    </xf>
    <xf numFmtId="9" fontId="76" fillId="16" borderId="5" xfId="0" applyNumberFormat="1" applyFont="1" applyFill="1" applyBorder="1" applyAlignment="1" applyProtection="1">
      <alignment horizontal="center" vertical="center"/>
      <protection locked="0"/>
    </xf>
    <xf numFmtId="0" fontId="145" fillId="0" borderId="0" xfId="1">
      <alignment vertical="center"/>
    </xf>
    <xf numFmtId="0" fontId="145" fillId="9" borderId="0" xfId="1" applyFill="1">
      <alignment vertical="center"/>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06" fillId="16" borderId="22" xfId="0" applyNumberFormat="1" applyFont="1" applyFill="1" applyBorder="1" applyAlignment="1" applyProtection="1">
      <alignment horizontal="center" vertical="center" wrapText="1"/>
      <protection locked="0"/>
    </xf>
    <xf numFmtId="0" fontId="71" fillId="16" borderId="2" xfId="0" applyNumberFormat="1" applyFont="1" applyFill="1" applyBorder="1" applyAlignment="1" applyProtection="1">
      <alignment horizontal="center" vertical="center" wrapText="1"/>
      <protection locked="0"/>
    </xf>
    <xf numFmtId="0" fontId="71" fillId="16" borderId="71" xfId="0" applyNumberFormat="1" applyFont="1" applyFill="1" applyBorder="1" applyAlignment="1" applyProtection="1">
      <alignment horizontal="center" vertical="center" wrapText="1"/>
      <protection locked="0"/>
    </xf>
    <xf numFmtId="0" fontId="84" fillId="16" borderId="71"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06" fillId="16" borderId="9" xfId="0" applyNumberFormat="1" applyFont="1" applyFill="1" applyBorder="1" applyAlignment="1" applyProtection="1">
      <alignment horizontal="center" vertical="center" wrapText="1"/>
      <protection locked="0"/>
    </xf>
    <xf numFmtId="0" fontId="106" fillId="8" borderId="9" xfId="0" applyNumberFormat="1" applyFont="1" applyFill="1" applyBorder="1" applyAlignment="1" applyProtection="1">
      <alignment horizontal="center" vertical="center" wrapText="1"/>
      <protection locked="0"/>
    </xf>
    <xf numFmtId="0" fontId="32" fillId="8" borderId="0" xfId="0" applyFont="1" applyFill="1" applyAlignment="1" applyProtection="1">
      <alignment vertical="center"/>
      <protection locked="0"/>
    </xf>
    <xf numFmtId="180" fontId="71" fillId="5" borderId="11" xfId="0" applyNumberFormat="1" applyFont="1" applyFill="1" applyBorder="1" applyAlignment="1" applyProtection="1">
      <alignment horizontal="center" vertical="center"/>
    </xf>
    <xf numFmtId="0" fontId="277" fillId="0" borderId="2" xfId="16" applyFont="1" applyBorder="1" applyAlignment="1">
      <alignment horizontal="center" vertical="center" wrapText="1"/>
    </xf>
    <xf numFmtId="195" fontId="277" fillId="0" borderId="2" xfId="16" applyNumberFormat="1" applyFont="1" applyBorder="1" applyAlignment="1">
      <alignment horizontal="center" vertical="center" wrapText="1"/>
    </xf>
    <xf numFmtId="0" fontId="180" fillId="0" borderId="0" xfId="16" applyFont="1" applyAlignment="1">
      <alignment vertical="center" wrapText="1"/>
    </xf>
    <xf numFmtId="0" fontId="278" fillId="8" borderId="2" xfId="1" applyFont="1" applyFill="1" applyBorder="1" applyAlignment="1">
      <alignment horizontal="center" vertical="center" wrapText="1"/>
    </xf>
    <xf numFmtId="0" fontId="279" fillId="8" borderId="2" xfId="16" applyFont="1" applyFill="1" applyBorder="1" applyAlignment="1">
      <alignment horizontal="center" vertical="center" wrapText="1"/>
    </xf>
    <xf numFmtId="0" fontId="280" fillId="8" borderId="2" xfId="1" applyFont="1" applyFill="1" applyBorder="1" applyAlignment="1">
      <alignment horizontal="center" vertical="center" wrapText="1"/>
    </xf>
    <xf numFmtId="0" fontId="279" fillId="18" borderId="2" xfId="16" applyFont="1" applyFill="1" applyBorder="1" applyAlignment="1">
      <alignment horizontal="center" vertical="center" wrapText="1"/>
    </xf>
    <xf numFmtId="0" fontId="280" fillId="15" borderId="2" xfId="1" applyFont="1" applyFill="1" applyBorder="1" applyAlignment="1">
      <alignment horizontal="center" vertical="center" wrapText="1"/>
    </xf>
    <xf numFmtId="0" fontId="280" fillId="19" borderId="2" xfId="1" applyFont="1" applyFill="1" applyBorder="1" applyAlignment="1">
      <alignment horizontal="center" vertical="center" wrapText="1"/>
    </xf>
    <xf numFmtId="0" fontId="280" fillId="20" borderId="2" xfId="1" applyFont="1" applyFill="1" applyBorder="1" applyAlignment="1">
      <alignment horizontal="center" vertical="center" wrapText="1"/>
    </xf>
    <xf numFmtId="0" fontId="81" fillId="0" borderId="21" xfId="0" applyNumberFormat="1" applyFont="1" applyFill="1" applyBorder="1" applyAlignment="1" applyProtection="1">
      <alignment horizontal="center" vertical="center" wrapText="1"/>
      <protection locked="0"/>
    </xf>
    <xf numFmtId="0" fontId="145" fillId="0" borderId="0" xfId="0" applyFont="1">
      <alignment vertical="center"/>
    </xf>
    <xf numFmtId="0" fontId="86" fillId="5" borderId="9" xfId="3"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5" fillId="0" borderId="0" xfId="16">
      <alignment vertical="center"/>
    </xf>
    <xf numFmtId="0" fontId="145" fillId="0" borderId="2" xfId="16" applyBorder="1">
      <alignment vertical="center"/>
    </xf>
    <xf numFmtId="178" fontId="81" fillId="0" borderId="2" xfId="2" applyNumberFormat="1" applyFont="1" applyFill="1" applyBorder="1" applyAlignment="1" applyProtection="1">
      <alignment vertical="center"/>
      <protection locked="0"/>
    </xf>
    <xf numFmtId="0" fontId="282" fillId="15" borderId="2" xfId="1" applyFont="1" applyFill="1" applyBorder="1" applyAlignment="1">
      <alignment horizontal="center" vertical="center" wrapText="1"/>
    </xf>
    <xf numFmtId="0" fontId="145" fillId="0" borderId="2" xfId="16" applyBorder="1" applyAlignment="1">
      <alignment horizontal="center" vertical="center"/>
    </xf>
    <xf numFmtId="0" fontId="145" fillId="0" borderId="0" xfId="16" applyAlignment="1">
      <alignment horizontal="center" vertical="center"/>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145" fillId="21" borderId="2" xfId="16" applyFill="1" applyBorder="1" applyAlignment="1">
      <alignment horizontal="center" vertical="center"/>
    </xf>
    <xf numFmtId="0" fontId="145" fillId="6" borderId="2" xfId="16" applyFill="1" applyBorder="1" applyAlignment="1">
      <alignment horizontal="center" vertical="center"/>
    </xf>
    <xf numFmtId="0" fontId="145" fillId="6" borderId="2" xfId="16" applyFont="1" applyFill="1" applyBorder="1" applyAlignment="1">
      <alignment vertical="center" wrapText="1"/>
    </xf>
    <xf numFmtId="0" fontId="145" fillId="6" borderId="0" xfId="16" applyFill="1">
      <alignment vertical="center"/>
    </xf>
    <xf numFmtId="0" fontId="147" fillId="21" borderId="2" xfId="16" applyFont="1" applyFill="1" applyBorder="1" applyAlignment="1">
      <alignment horizontal="center" vertical="center"/>
    </xf>
    <xf numFmtId="0" fontId="145" fillId="0" borderId="2" xfId="16" applyBorder="1" applyAlignment="1">
      <alignment vertical="center" wrapText="1"/>
    </xf>
    <xf numFmtId="9" fontId="145" fillId="0" borderId="2" xfId="16" applyNumberFormat="1" applyBorder="1" applyAlignment="1">
      <alignment vertical="center" wrapText="1"/>
    </xf>
    <xf numFmtId="0" fontId="145" fillId="6" borderId="2" xfId="16" applyFill="1" applyBorder="1">
      <alignment vertical="center"/>
    </xf>
    <xf numFmtId="0" fontId="147" fillId="0" borderId="2" xfId="16" applyFont="1" applyBorder="1" applyAlignment="1">
      <alignment horizontal="center" vertical="center"/>
    </xf>
    <xf numFmtId="0" fontId="145" fillId="21" borderId="0" xfId="16" applyFill="1">
      <alignment vertical="center"/>
    </xf>
    <xf numFmtId="0" fontId="145" fillId="21" borderId="2" xfId="16" applyFill="1" applyBorder="1">
      <alignment vertical="center"/>
    </xf>
    <xf numFmtId="0" fontId="145" fillId="21" borderId="9" xfId="16" applyFill="1" applyBorder="1" applyAlignment="1">
      <alignment horizontal="center" vertical="center"/>
    </xf>
    <xf numFmtId="0" fontId="203" fillId="0" borderId="0" xfId="16" applyFont="1">
      <alignment vertical="center"/>
    </xf>
    <xf numFmtId="0" fontId="86" fillId="0" borderId="2" xfId="17" applyBorder="1" applyAlignment="1">
      <alignment vertical="center" wrapText="1"/>
    </xf>
    <xf numFmtId="0" fontId="127" fillId="6" borderId="2" xfId="17" applyFont="1" applyFill="1" applyBorder="1" applyAlignment="1">
      <alignment vertical="center" wrapText="1"/>
    </xf>
    <xf numFmtId="0" fontId="86" fillId="6" borderId="2" xfId="17" applyFill="1" applyBorder="1" applyAlignment="1">
      <alignment vertical="center" wrapText="1"/>
    </xf>
    <xf numFmtId="0" fontId="86" fillId="0" borderId="2" xfId="17" applyFont="1" applyBorder="1" applyAlignment="1">
      <alignment vertical="center" wrapText="1"/>
    </xf>
    <xf numFmtId="0" fontId="86" fillId="0" borderId="2" xfId="17" applyBorder="1" applyAlignment="1">
      <alignment wrapText="1"/>
    </xf>
    <xf numFmtId="0" fontId="75" fillId="5" borderId="2" xfId="0" applyFont="1" applyFill="1" applyBorder="1" applyAlignment="1" applyProtection="1">
      <alignment horizontal="center" vertical="center"/>
    </xf>
    <xf numFmtId="0" fontId="0" fillId="6" borderId="0" xfId="0" applyFill="1">
      <alignment vertical="center"/>
    </xf>
    <xf numFmtId="0" fontId="86" fillId="18" borderId="2" xfId="17" applyFill="1" applyBorder="1" applyAlignment="1">
      <alignment vertical="center" wrapText="1"/>
    </xf>
    <xf numFmtId="0" fontId="145" fillId="6" borderId="0" xfId="0" applyFont="1" applyFill="1">
      <alignment vertical="center"/>
    </xf>
    <xf numFmtId="0" fontId="158" fillId="0" borderId="2" xfId="17" applyFont="1" applyBorder="1" applyAlignment="1">
      <alignment vertical="center" wrapText="1"/>
    </xf>
    <xf numFmtId="0" fontId="158" fillId="6" borderId="2" xfId="17" applyFont="1" applyFill="1" applyBorder="1" applyAlignment="1">
      <alignment vertical="center" wrapText="1"/>
    </xf>
    <xf numFmtId="0" fontId="144" fillId="0" borderId="6" xfId="0" applyNumberFormat="1" applyFont="1" applyFill="1" applyBorder="1" applyAlignment="1" applyProtection="1">
      <alignment horizontal="center" vertical="center" wrapText="1"/>
      <protection locked="0"/>
    </xf>
    <xf numFmtId="0" fontId="283" fillId="6" borderId="0" xfId="0" applyFont="1" applyFill="1" applyAlignment="1">
      <alignment horizontal="center" vertical="center"/>
    </xf>
    <xf numFmtId="0" fontId="127" fillId="0" borderId="2" xfId="17" applyFont="1" applyBorder="1" applyAlignment="1">
      <alignment wrapText="1"/>
    </xf>
    <xf numFmtId="0" fontId="158" fillId="18" borderId="2" xfId="17" applyFont="1" applyFill="1" applyBorder="1" applyAlignment="1">
      <alignment vertical="center" wrapText="1"/>
    </xf>
    <xf numFmtId="10" fontId="153" fillId="0" borderId="25" xfId="0" applyNumberFormat="1" applyFont="1" applyFill="1" applyBorder="1" applyAlignment="1" applyProtection="1">
      <alignment horizontal="center" vertical="center"/>
      <protection locked="0"/>
    </xf>
    <xf numFmtId="177" fontId="153" fillId="0" borderId="7" xfId="2" applyNumberFormat="1" applyFont="1" applyFill="1" applyBorder="1" applyAlignment="1" applyProtection="1">
      <alignment horizontal="center" vertical="center"/>
      <protection locked="0"/>
    </xf>
    <xf numFmtId="10" fontId="284" fillId="5" borderId="2" xfId="2" applyNumberFormat="1" applyFont="1" applyFill="1" applyBorder="1" applyAlignment="1" applyProtection="1">
      <alignment horizontal="center"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45" fillId="21" borderId="2" xfId="16" applyFill="1" applyBorder="1" applyAlignment="1">
      <alignment horizontal="center" vertical="center"/>
    </xf>
    <xf numFmtId="0" fontId="145" fillId="21" borderId="5" xfId="16" applyFill="1" applyBorder="1" applyAlignment="1">
      <alignment horizontal="center" vertical="center"/>
    </xf>
    <xf numFmtId="0" fontId="145" fillId="21" borderId="9" xfId="16" applyFill="1" applyBorder="1" applyAlignment="1">
      <alignment horizontal="center" vertical="center"/>
    </xf>
    <xf numFmtId="0" fontId="145" fillId="0" borderId="2" xfId="16" applyBorder="1" applyAlignment="1">
      <alignment horizontal="center" vertical="center"/>
    </xf>
    <xf numFmtId="0" fontId="145" fillId="6" borderId="2" xfId="16" applyFill="1" applyBorder="1" applyAlignment="1">
      <alignment horizontal="center" vertical="center"/>
    </xf>
    <xf numFmtId="0" fontId="276" fillId="0" borderId="19" xfId="16" applyFont="1" applyBorder="1" applyAlignment="1">
      <alignment horizontal="center" vertical="center" wrapText="1"/>
    </xf>
    <xf numFmtId="0" fontId="280" fillId="19" borderId="10" xfId="1" applyFont="1" applyFill="1" applyBorder="1" applyAlignment="1">
      <alignment horizontal="center" vertical="center" wrapText="1"/>
    </xf>
    <xf numFmtId="0" fontId="280" fillId="19" borderId="3" xfId="1" applyFont="1" applyFill="1" applyBorder="1" applyAlignment="1">
      <alignment horizontal="center" vertical="center" wrapText="1"/>
    </xf>
    <xf numFmtId="0" fontId="280" fillId="19" borderId="21" xfId="1" applyFont="1" applyFill="1" applyBorder="1" applyAlignment="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71" fillId="5" borderId="8" xfId="0" applyFont="1" applyFill="1" applyBorder="1" applyAlignment="1" applyProtection="1">
      <alignment horizontal="center" vertical="center"/>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75" fillId="0" borderId="22" xfId="0" applyFont="1" applyFill="1" applyBorder="1" applyAlignment="1" applyProtection="1">
      <alignment horizontal="center" vertical="center" wrapText="1"/>
      <protection locked="0"/>
    </xf>
    <xf numFmtId="0" fontId="275" fillId="0" borderId="32"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81" fillId="0" borderId="11"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cellXfs>
  <cellStyles count="18">
    <cellStyle name="百分比 2" xfId="11"/>
    <cellStyle name="常规" xfId="0" builtinId="0"/>
    <cellStyle name="常规 10" xfId="16"/>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40.png"/><Relationship Id="rId1" Type="http://schemas.openxmlformats.org/officeDocument/2006/relationships/image" Target="../media/image39.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s>
</file>

<file path=xl/drawings/_rels/drawing6.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s>
</file>

<file path=xl/drawings/_rels/drawing7.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 Id="rId4" Type="http://schemas.openxmlformats.org/officeDocument/2006/relationships/image" Target="../media/image31.png"/></Relationships>
</file>

<file path=xl/drawings/_rels/drawing8.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_rels/drawing9.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 Id="rId5" Type="http://schemas.openxmlformats.org/officeDocument/2006/relationships/image" Target="../media/image38.png"/><Relationship Id="rId4" Type="http://schemas.openxmlformats.org/officeDocument/2006/relationships/image" Target="../media/image3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123825</xdr:colOff>
      <xdr:row>0</xdr:row>
      <xdr:rowOff>19050</xdr:rowOff>
    </xdr:from>
    <xdr:to>
      <xdr:col>18</xdr:col>
      <xdr:colOff>65654</xdr:colOff>
      <xdr:row>35</xdr:row>
      <xdr:rowOff>46872</xdr:rowOff>
    </xdr:to>
    <xdr:pic>
      <xdr:nvPicPr>
        <xdr:cNvPr id="3" name="图片 2">
          <a:extLst>
            <a:ext uri="{FF2B5EF4-FFF2-40B4-BE49-F238E27FC236}">
              <a16:creationId xmlns="" xmlns:a16="http://schemas.microsoft.com/office/drawing/2014/main" id="{00000000-0008-0000-1000-000003000000}"/>
            </a:ext>
          </a:extLst>
        </xdr:cNvPr>
        <xdr:cNvPicPr>
          <a:picLocks noChangeAspect="1"/>
        </xdr:cNvPicPr>
      </xdr:nvPicPr>
      <xdr:blipFill>
        <a:blip xmlns:r="http://schemas.openxmlformats.org/officeDocument/2006/relationships" r:embed="rId1" cstate="print"/>
        <a:stretch>
          <a:fillRect/>
        </a:stretch>
      </xdr:blipFill>
      <xdr:spPr>
        <a:xfrm>
          <a:off x="6191250" y="19050"/>
          <a:ext cx="8171429" cy="6028572"/>
        </a:xfrm>
        <a:prstGeom prst="rect">
          <a:avLst/>
        </a:prstGeom>
      </xdr:spPr>
    </xdr:pic>
    <xdr:clientData/>
  </xdr:twoCellAnchor>
  <xdr:twoCellAnchor editAs="oneCell">
    <xdr:from>
      <xdr:col>6</xdr:col>
      <xdr:colOff>123825</xdr:colOff>
      <xdr:row>36</xdr:row>
      <xdr:rowOff>28575</xdr:rowOff>
    </xdr:from>
    <xdr:to>
      <xdr:col>17</xdr:col>
      <xdr:colOff>256216</xdr:colOff>
      <xdr:row>69</xdr:row>
      <xdr:rowOff>65963</xdr:rowOff>
    </xdr:to>
    <xdr:pic>
      <xdr:nvPicPr>
        <xdr:cNvPr id="4" name="图片 3">
          <a:extLst>
            <a:ext uri="{FF2B5EF4-FFF2-40B4-BE49-F238E27FC236}">
              <a16:creationId xmlns="" xmlns:a16="http://schemas.microsoft.com/office/drawing/2014/main" id="{00000000-0008-0000-1000-000004000000}"/>
            </a:ext>
          </a:extLst>
        </xdr:cNvPr>
        <xdr:cNvPicPr>
          <a:picLocks noChangeAspect="1"/>
        </xdr:cNvPicPr>
      </xdr:nvPicPr>
      <xdr:blipFill>
        <a:blip xmlns:r="http://schemas.openxmlformats.org/officeDocument/2006/relationships" r:embed="rId2" cstate="print"/>
        <a:stretch>
          <a:fillRect/>
        </a:stretch>
      </xdr:blipFill>
      <xdr:spPr>
        <a:xfrm>
          <a:off x="6191250" y="6200775"/>
          <a:ext cx="7676191" cy="569523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47625</xdr:colOff>
      <xdr:row>0</xdr:row>
      <xdr:rowOff>47625</xdr:rowOff>
    </xdr:from>
    <xdr:to>
      <xdr:col>7</xdr:col>
      <xdr:colOff>637502</xdr:colOff>
      <xdr:row>30</xdr:row>
      <xdr:rowOff>66030</xdr:rowOff>
    </xdr:to>
    <xdr:pic>
      <xdr:nvPicPr>
        <xdr:cNvPr id="2" name="图片 1">
          <a:extLst>
            <a:ext uri="{FF2B5EF4-FFF2-40B4-BE49-F238E27FC236}">
              <a16:creationId xmlns="" xmlns:a16="http://schemas.microsoft.com/office/drawing/2014/main" id="{00000000-0008-0000-3B00-000002000000}"/>
            </a:ext>
          </a:extLst>
        </xdr:cNvPr>
        <xdr:cNvPicPr>
          <a:picLocks noChangeAspect="1"/>
        </xdr:cNvPicPr>
      </xdr:nvPicPr>
      <xdr:blipFill>
        <a:blip xmlns:r="http://schemas.openxmlformats.org/officeDocument/2006/relationships" r:embed="rId1" cstate="print"/>
        <a:stretch>
          <a:fillRect/>
        </a:stretch>
      </xdr:blipFill>
      <xdr:spPr>
        <a:xfrm>
          <a:off x="47625" y="47625"/>
          <a:ext cx="5390477" cy="5161905"/>
        </a:xfrm>
        <a:prstGeom prst="rect">
          <a:avLst/>
        </a:prstGeom>
      </xdr:spPr>
    </xdr:pic>
    <xdr:clientData/>
  </xdr:twoCellAnchor>
  <xdr:twoCellAnchor editAs="oneCell">
    <xdr:from>
      <xdr:col>8</xdr:col>
      <xdr:colOff>38100</xdr:colOff>
      <xdr:row>0</xdr:row>
      <xdr:rowOff>47625</xdr:rowOff>
    </xdr:from>
    <xdr:to>
      <xdr:col>20</xdr:col>
      <xdr:colOff>446596</xdr:colOff>
      <xdr:row>24</xdr:row>
      <xdr:rowOff>151873</xdr:rowOff>
    </xdr:to>
    <xdr:pic>
      <xdr:nvPicPr>
        <xdr:cNvPr id="3" name="图片 2">
          <a:extLst>
            <a:ext uri="{FF2B5EF4-FFF2-40B4-BE49-F238E27FC236}">
              <a16:creationId xmlns="" xmlns:a16="http://schemas.microsoft.com/office/drawing/2014/main" id="{00000000-0008-0000-3B00-000003000000}"/>
            </a:ext>
          </a:extLst>
        </xdr:cNvPr>
        <xdr:cNvPicPr>
          <a:picLocks noChangeAspect="1"/>
        </xdr:cNvPicPr>
      </xdr:nvPicPr>
      <xdr:blipFill>
        <a:blip xmlns:r="http://schemas.openxmlformats.org/officeDocument/2006/relationships" r:embed="rId2" cstate="print"/>
        <a:stretch>
          <a:fillRect/>
        </a:stretch>
      </xdr:blipFill>
      <xdr:spPr>
        <a:xfrm>
          <a:off x="5524500" y="47625"/>
          <a:ext cx="8638096" cy="42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20</xdr:row>
      <xdr:rowOff>0</xdr:rowOff>
    </xdr:from>
    <xdr:to>
      <xdr:col>6</xdr:col>
      <xdr:colOff>180768</xdr:colOff>
      <xdr:row>27</xdr:row>
      <xdr:rowOff>1747</xdr:rowOff>
    </xdr:to>
    <xdr:pic>
      <xdr:nvPicPr>
        <xdr:cNvPr id="2" name="图片 1">
          <a:extLst>
            <a:ext uri="{FF2B5EF4-FFF2-40B4-BE49-F238E27FC236}">
              <a16:creationId xmlns=""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6029325" y="3971925"/>
          <a:ext cx="1657143" cy="1266667"/>
        </a:xfrm>
        <a:prstGeom prst="rect">
          <a:avLst/>
        </a:prstGeom>
      </xdr:spPr>
    </xdr:pic>
    <xdr:clientData/>
  </xdr:twoCellAnchor>
  <xdr:twoCellAnchor editAs="oneCell">
    <xdr:from>
      <xdr:col>6</xdr:col>
      <xdr:colOff>76200</xdr:colOff>
      <xdr:row>20</xdr:row>
      <xdr:rowOff>9525</xdr:rowOff>
    </xdr:from>
    <xdr:to>
      <xdr:col>8</xdr:col>
      <xdr:colOff>304448</xdr:colOff>
      <xdr:row>27</xdr:row>
      <xdr:rowOff>18891</xdr:rowOff>
    </xdr:to>
    <xdr:pic>
      <xdr:nvPicPr>
        <xdr:cNvPr id="3" name="图片 2">
          <a:extLst>
            <a:ext uri="{FF2B5EF4-FFF2-40B4-BE49-F238E27FC236}">
              <a16:creationId xmlns="" xmlns:a16="http://schemas.microsoft.com/office/drawing/2014/main" id="{00000000-0008-0000-1200-000003000000}"/>
            </a:ext>
          </a:extLst>
        </xdr:cNvPr>
        <xdr:cNvPicPr>
          <a:picLocks noChangeAspect="1"/>
        </xdr:cNvPicPr>
      </xdr:nvPicPr>
      <xdr:blipFill>
        <a:blip xmlns:r="http://schemas.openxmlformats.org/officeDocument/2006/relationships" r:embed="rId2"/>
        <a:stretch>
          <a:fillRect/>
        </a:stretch>
      </xdr:blipFill>
      <xdr:spPr>
        <a:xfrm>
          <a:off x="7581900" y="3819525"/>
          <a:ext cx="2819048" cy="1276191"/>
        </a:xfrm>
        <a:prstGeom prst="rect">
          <a:avLst/>
        </a:prstGeom>
      </xdr:spPr>
    </xdr:pic>
    <xdr:clientData/>
  </xdr:twoCellAnchor>
  <xdr:twoCellAnchor editAs="oneCell">
    <xdr:from>
      <xdr:col>8</xdr:col>
      <xdr:colOff>304800</xdr:colOff>
      <xdr:row>20</xdr:row>
      <xdr:rowOff>28575</xdr:rowOff>
    </xdr:from>
    <xdr:to>
      <xdr:col>10</xdr:col>
      <xdr:colOff>199867</xdr:colOff>
      <xdr:row>27</xdr:row>
      <xdr:rowOff>1750</xdr:rowOff>
    </xdr:to>
    <xdr:pic>
      <xdr:nvPicPr>
        <xdr:cNvPr id="4" name="图片 3">
          <a:extLst>
            <a:ext uri="{FF2B5EF4-FFF2-40B4-BE49-F238E27FC236}">
              <a16:creationId xmlns="" xmlns:a16="http://schemas.microsoft.com/office/drawing/2014/main" id="{00000000-0008-0000-1200-000004000000}"/>
            </a:ext>
          </a:extLst>
        </xdr:cNvPr>
        <xdr:cNvPicPr>
          <a:picLocks noChangeAspect="1"/>
        </xdr:cNvPicPr>
      </xdr:nvPicPr>
      <xdr:blipFill>
        <a:blip xmlns:r="http://schemas.openxmlformats.org/officeDocument/2006/relationships" r:embed="rId3"/>
        <a:stretch>
          <a:fillRect/>
        </a:stretch>
      </xdr:blipFill>
      <xdr:spPr>
        <a:xfrm>
          <a:off x="10401300" y="4000500"/>
          <a:ext cx="1266667" cy="12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489857</xdr:colOff>
      <xdr:row>24</xdr:row>
      <xdr:rowOff>-1</xdr:rowOff>
    </xdr:from>
    <xdr:to>
      <xdr:col>13</xdr:col>
      <xdr:colOff>537482</xdr:colOff>
      <xdr:row>34</xdr:row>
      <xdr:rowOff>176892</xdr:rowOff>
    </xdr:to>
    <xdr:pic>
      <xdr:nvPicPr>
        <xdr:cNvPr id="2" name="Picture 1">
          <a:extLst>
            <a:ext uri="{FF2B5EF4-FFF2-40B4-BE49-F238E27FC236}">
              <a16:creationId xmlns=""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9857" y="4245428"/>
          <a:ext cx="8892268" cy="1945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0</xdr:colOff>
      <xdr:row>40</xdr:row>
      <xdr:rowOff>0</xdr:rowOff>
    </xdr:from>
    <xdr:to>
      <xdr:col>13</xdr:col>
      <xdr:colOff>495300</xdr:colOff>
      <xdr:row>57</xdr:row>
      <xdr:rowOff>47625</xdr:rowOff>
    </xdr:to>
    <xdr:pic>
      <xdr:nvPicPr>
        <xdr:cNvPr id="3" name="Picture 2">
          <a:extLst>
            <a:ext uri="{FF2B5EF4-FFF2-40B4-BE49-F238E27FC236}">
              <a16:creationId xmlns="" xmlns:a16="http://schemas.microsoft.com/office/drawing/2014/main" id="{00000000-0008-0000-2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6275" y="6858000"/>
          <a:ext cx="8610600" cy="296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60</xdr:row>
      <xdr:rowOff>0</xdr:rowOff>
    </xdr:from>
    <xdr:to>
      <xdr:col>13</xdr:col>
      <xdr:colOff>180975</xdr:colOff>
      <xdr:row>70</xdr:row>
      <xdr:rowOff>28575</xdr:rowOff>
    </xdr:to>
    <xdr:pic>
      <xdr:nvPicPr>
        <xdr:cNvPr id="4" name="Picture 5">
          <a:extLst>
            <a:ext uri="{FF2B5EF4-FFF2-40B4-BE49-F238E27FC236}">
              <a16:creationId xmlns="" xmlns:a16="http://schemas.microsoft.com/office/drawing/2014/main" id="{00000000-0008-0000-21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0287000"/>
          <a:ext cx="897255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0</xdr:colOff>
      <xdr:row>70</xdr:row>
      <xdr:rowOff>0</xdr:rowOff>
    </xdr:from>
    <xdr:to>
      <xdr:col>13</xdr:col>
      <xdr:colOff>447675</xdr:colOff>
      <xdr:row>87</xdr:row>
      <xdr:rowOff>76200</xdr:rowOff>
    </xdr:to>
    <xdr:pic>
      <xdr:nvPicPr>
        <xdr:cNvPr id="5" name="Picture 6">
          <a:extLst>
            <a:ext uri="{FF2B5EF4-FFF2-40B4-BE49-F238E27FC236}">
              <a16:creationId xmlns="" xmlns:a16="http://schemas.microsoft.com/office/drawing/2014/main" id="{00000000-0008-0000-21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6275" y="12001500"/>
          <a:ext cx="8562975" cy="299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0</xdr:colOff>
      <xdr:row>91</xdr:row>
      <xdr:rowOff>0</xdr:rowOff>
    </xdr:from>
    <xdr:to>
      <xdr:col>14</xdr:col>
      <xdr:colOff>219075</xdr:colOff>
      <xdr:row>100</xdr:row>
      <xdr:rowOff>133350</xdr:rowOff>
    </xdr:to>
    <xdr:pic>
      <xdr:nvPicPr>
        <xdr:cNvPr id="6" name="Picture 15">
          <a:extLst>
            <a:ext uri="{FF2B5EF4-FFF2-40B4-BE49-F238E27FC236}">
              <a16:creationId xmlns="" xmlns:a16="http://schemas.microsoft.com/office/drawing/2014/main" id="{00000000-0008-0000-21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76275" y="15601950"/>
          <a:ext cx="9010650"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0</xdr:colOff>
      <xdr:row>101</xdr:row>
      <xdr:rowOff>0</xdr:rowOff>
    </xdr:from>
    <xdr:to>
      <xdr:col>13</xdr:col>
      <xdr:colOff>514350</xdr:colOff>
      <xdr:row>115</xdr:row>
      <xdr:rowOff>95250</xdr:rowOff>
    </xdr:to>
    <xdr:pic>
      <xdr:nvPicPr>
        <xdr:cNvPr id="7" name="Picture 16">
          <a:extLst>
            <a:ext uri="{FF2B5EF4-FFF2-40B4-BE49-F238E27FC236}">
              <a16:creationId xmlns="" xmlns:a16="http://schemas.microsoft.com/office/drawing/2014/main" id="{00000000-0008-0000-21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76275" y="17316450"/>
          <a:ext cx="8629650" cy="2495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14</xdr:col>
      <xdr:colOff>537481</xdr:colOff>
      <xdr:row>1</xdr:row>
      <xdr:rowOff>28575</xdr:rowOff>
    </xdr:from>
    <xdr:to>
      <xdr:col>21</xdr:col>
      <xdr:colOff>244928</xdr:colOff>
      <xdr:row>35</xdr:row>
      <xdr:rowOff>64454</xdr:rowOff>
    </xdr:to>
    <xdr:pic>
      <xdr:nvPicPr>
        <xdr:cNvPr id="8" name="图片 1">
          <a:extLst>
            <a:ext uri="{FF2B5EF4-FFF2-40B4-BE49-F238E27FC236}">
              <a16:creationId xmlns="" xmlns:a16="http://schemas.microsoft.com/office/drawing/2014/main" id="{00000000-0008-0000-21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062481" y="205468"/>
          <a:ext cx="4469947" cy="60502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10</xdr:row>
      <xdr:rowOff>161925</xdr:rowOff>
    </xdr:from>
    <xdr:to>
      <xdr:col>14</xdr:col>
      <xdr:colOff>332134</xdr:colOff>
      <xdr:row>34</xdr:row>
      <xdr:rowOff>28078</xdr:rowOff>
    </xdr:to>
    <xdr:pic>
      <xdr:nvPicPr>
        <xdr:cNvPr id="2" name="图片 1">
          <a:extLst>
            <a:ext uri="{FF2B5EF4-FFF2-40B4-BE49-F238E27FC236}">
              <a16:creationId xmlns="" xmlns:a16="http://schemas.microsoft.com/office/drawing/2014/main" id="{00000000-0008-0000-2400-000002000000}"/>
            </a:ext>
          </a:extLst>
        </xdr:cNvPr>
        <xdr:cNvPicPr>
          <a:picLocks noChangeAspect="1"/>
        </xdr:cNvPicPr>
      </xdr:nvPicPr>
      <xdr:blipFill>
        <a:blip xmlns:r="http://schemas.openxmlformats.org/officeDocument/2006/relationships" r:embed="rId1" cstate="print"/>
        <a:stretch>
          <a:fillRect/>
        </a:stretch>
      </xdr:blipFill>
      <xdr:spPr>
        <a:xfrm>
          <a:off x="0" y="1876425"/>
          <a:ext cx="9933334" cy="3980953"/>
        </a:xfrm>
        <a:prstGeom prst="rect">
          <a:avLst/>
        </a:prstGeom>
      </xdr:spPr>
    </xdr:pic>
    <xdr:clientData/>
  </xdr:twoCellAnchor>
  <xdr:twoCellAnchor editAs="oneCell">
    <xdr:from>
      <xdr:col>0</xdr:col>
      <xdr:colOff>0</xdr:colOff>
      <xdr:row>0</xdr:row>
      <xdr:rowOff>0</xdr:rowOff>
    </xdr:from>
    <xdr:to>
      <xdr:col>14</xdr:col>
      <xdr:colOff>46420</xdr:colOff>
      <xdr:row>10</xdr:row>
      <xdr:rowOff>95024</xdr:rowOff>
    </xdr:to>
    <xdr:pic>
      <xdr:nvPicPr>
        <xdr:cNvPr id="3" name="图片 2">
          <a:extLst>
            <a:ext uri="{FF2B5EF4-FFF2-40B4-BE49-F238E27FC236}">
              <a16:creationId xmlns="" xmlns:a16="http://schemas.microsoft.com/office/drawing/2014/main" id="{00000000-0008-0000-2400-000003000000}"/>
            </a:ext>
          </a:extLst>
        </xdr:cNvPr>
        <xdr:cNvPicPr>
          <a:picLocks noChangeAspect="1"/>
        </xdr:cNvPicPr>
      </xdr:nvPicPr>
      <xdr:blipFill>
        <a:blip xmlns:r="http://schemas.openxmlformats.org/officeDocument/2006/relationships" r:embed="rId2" cstate="print"/>
        <a:stretch>
          <a:fillRect/>
        </a:stretch>
      </xdr:blipFill>
      <xdr:spPr>
        <a:xfrm>
          <a:off x="0" y="0"/>
          <a:ext cx="9647620" cy="1809524"/>
        </a:xfrm>
        <a:prstGeom prst="rect">
          <a:avLst/>
        </a:prstGeom>
      </xdr:spPr>
    </xdr:pic>
    <xdr:clientData/>
  </xdr:twoCellAnchor>
  <xdr:twoCellAnchor editAs="oneCell">
    <xdr:from>
      <xdr:col>0</xdr:col>
      <xdr:colOff>0</xdr:colOff>
      <xdr:row>35</xdr:row>
      <xdr:rowOff>0</xdr:rowOff>
    </xdr:from>
    <xdr:to>
      <xdr:col>14</xdr:col>
      <xdr:colOff>160705</xdr:colOff>
      <xdr:row>56</xdr:row>
      <xdr:rowOff>132884</xdr:rowOff>
    </xdr:to>
    <xdr:pic>
      <xdr:nvPicPr>
        <xdr:cNvPr id="4" name="图片 3">
          <a:extLst>
            <a:ext uri="{FF2B5EF4-FFF2-40B4-BE49-F238E27FC236}">
              <a16:creationId xmlns="" xmlns:a16="http://schemas.microsoft.com/office/drawing/2014/main" id="{00000000-0008-0000-2400-000004000000}"/>
            </a:ext>
          </a:extLst>
        </xdr:cNvPr>
        <xdr:cNvPicPr>
          <a:picLocks noChangeAspect="1"/>
        </xdr:cNvPicPr>
      </xdr:nvPicPr>
      <xdr:blipFill>
        <a:blip xmlns:r="http://schemas.openxmlformats.org/officeDocument/2006/relationships" r:embed="rId3" cstate="print"/>
        <a:stretch>
          <a:fillRect/>
        </a:stretch>
      </xdr:blipFill>
      <xdr:spPr>
        <a:xfrm>
          <a:off x="0" y="6000750"/>
          <a:ext cx="9761905" cy="373333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10</xdr:col>
      <xdr:colOff>151524</xdr:colOff>
      <xdr:row>11</xdr:row>
      <xdr:rowOff>133162</xdr:rowOff>
    </xdr:to>
    <xdr:pic>
      <xdr:nvPicPr>
        <xdr:cNvPr id="6" name="图片 5">
          <a:extLst>
            <a:ext uri="{FF2B5EF4-FFF2-40B4-BE49-F238E27FC236}">
              <a16:creationId xmlns="" xmlns:a16="http://schemas.microsoft.com/office/drawing/2014/main" id="{00000000-0008-0000-2D00-000006000000}"/>
            </a:ext>
          </a:extLst>
        </xdr:cNvPr>
        <xdr:cNvPicPr>
          <a:picLocks noChangeAspect="1"/>
        </xdr:cNvPicPr>
      </xdr:nvPicPr>
      <xdr:blipFill>
        <a:blip xmlns:r="http://schemas.openxmlformats.org/officeDocument/2006/relationships" r:embed="rId1" cstate="print"/>
        <a:stretch>
          <a:fillRect/>
        </a:stretch>
      </xdr:blipFill>
      <xdr:spPr>
        <a:xfrm>
          <a:off x="0" y="514350"/>
          <a:ext cx="7009524" cy="1504762"/>
        </a:xfrm>
        <a:prstGeom prst="rect">
          <a:avLst/>
        </a:prstGeom>
      </xdr:spPr>
    </xdr:pic>
    <xdr:clientData/>
  </xdr:twoCellAnchor>
  <xdr:twoCellAnchor editAs="oneCell">
    <xdr:from>
      <xdr:col>0</xdr:col>
      <xdr:colOff>0</xdr:colOff>
      <xdr:row>12</xdr:row>
      <xdr:rowOff>0</xdr:rowOff>
    </xdr:from>
    <xdr:to>
      <xdr:col>12</xdr:col>
      <xdr:colOff>332305</xdr:colOff>
      <xdr:row>37</xdr:row>
      <xdr:rowOff>47084</xdr:rowOff>
    </xdr:to>
    <xdr:pic>
      <xdr:nvPicPr>
        <xdr:cNvPr id="7" name="图片 6">
          <a:extLst>
            <a:ext uri="{FF2B5EF4-FFF2-40B4-BE49-F238E27FC236}">
              <a16:creationId xmlns="" xmlns:a16="http://schemas.microsoft.com/office/drawing/2014/main" id="{00000000-0008-0000-2D00-000007000000}"/>
            </a:ext>
          </a:extLst>
        </xdr:cNvPr>
        <xdr:cNvPicPr>
          <a:picLocks noChangeAspect="1"/>
        </xdr:cNvPicPr>
      </xdr:nvPicPr>
      <xdr:blipFill>
        <a:blip xmlns:r="http://schemas.openxmlformats.org/officeDocument/2006/relationships" r:embed="rId2" cstate="print"/>
        <a:stretch>
          <a:fillRect/>
        </a:stretch>
      </xdr:blipFill>
      <xdr:spPr>
        <a:xfrm>
          <a:off x="0" y="2057400"/>
          <a:ext cx="8561905" cy="4333334"/>
        </a:xfrm>
        <a:prstGeom prst="rect">
          <a:avLst/>
        </a:prstGeom>
      </xdr:spPr>
    </xdr:pic>
    <xdr:clientData/>
  </xdr:twoCellAnchor>
  <xdr:twoCellAnchor editAs="oneCell">
    <xdr:from>
      <xdr:col>0</xdr:col>
      <xdr:colOff>0</xdr:colOff>
      <xdr:row>38</xdr:row>
      <xdr:rowOff>0</xdr:rowOff>
    </xdr:from>
    <xdr:to>
      <xdr:col>8</xdr:col>
      <xdr:colOff>437410</xdr:colOff>
      <xdr:row>43</xdr:row>
      <xdr:rowOff>37988</xdr:rowOff>
    </xdr:to>
    <xdr:pic>
      <xdr:nvPicPr>
        <xdr:cNvPr id="8" name="图片 7">
          <a:extLst>
            <a:ext uri="{FF2B5EF4-FFF2-40B4-BE49-F238E27FC236}">
              <a16:creationId xmlns="" xmlns:a16="http://schemas.microsoft.com/office/drawing/2014/main" id="{00000000-0008-0000-2D00-000008000000}"/>
            </a:ext>
          </a:extLst>
        </xdr:cNvPr>
        <xdr:cNvPicPr>
          <a:picLocks noChangeAspect="1"/>
        </xdr:cNvPicPr>
      </xdr:nvPicPr>
      <xdr:blipFill>
        <a:blip xmlns:r="http://schemas.openxmlformats.org/officeDocument/2006/relationships" r:embed="rId3" cstate="print"/>
        <a:stretch>
          <a:fillRect/>
        </a:stretch>
      </xdr:blipFill>
      <xdr:spPr>
        <a:xfrm>
          <a:off x="0" y="6515100"/>
          <a:ext cx="5923810" cy="895238"/>
        </a:xfrm>
        <a:prstGeom prst="rect">
          <a:avLst/>
        </a:prstGeom>
      </xdr:spPr>
    </xdr:pic>
    <xdr:clientData/>
  </xdr:twoCellAnchor>
  <xdr:twoCellAnchor editAs="oneCell">
    <xdr:from>
      <xdr:col>12</xdr:col>
      <xdr:colOff>133350</xdr:colOff>
      <xdr:row>0</xdr:row>
      <xdr:rowOff>19050</xdr:rowOff>
    </xdr:from>
    <xdr:to>
      <xdr:col>23</xdr:col>
      <xdr:colOff>180027</xdr:colOff>
      <xdr:row>26</xdr:row>
      <xdr:rowOff>132779</xdr:rowOff>
    </xdr:to>
    <xdr:pic>
      <xdr:nvPicPr>
        <xdr:cNvPr id="9" name="图片 8">
          <a:extLst>
            <a:ext uri="{FF2B5EF4-FFF2-40B4-BE49-F238E27FC236}">
              <a16:creationId xmlns="" xmlns:a16="http://schemas.microsoft.com/office/drawing/2014/main" id="{00000000-0008-0000-2D00-000009000000}"/>
            </a:ext>
          </a:extLst>
        </xdr:cNvPr>
        <xdr:cNvPicPr>
          <a:picLocks noChangeAspect="1"/>
        </xdr:cNvPicPr>
      </xdr:nvPicPr>
      <xdr:blipFill>
        <a:blip xmlns:r="http://schemas.openxmlformats.org/officeDocument/2006/relationships" r:embed="rId4" cstate="print"/>
        <a:stretch>
          <a:fillRect/>
        </a:stretch>
      </xdr:blipFill>
      <xdr:spPr>
        <a:xfrm>
          <a:off x="8362950" y="19050"/>
          <a:ext cx="7590477" cy="4571429"/>
        </a:xfrm>
        <a:prstGeom prst="rect">
          <a:avLst/>
        </a:prstGeom>
      </xdr:spPr>
    </xdr:pic>
    <xdr:clientData/>
  </xdr:twoCellAnchor>
  <xdr:twoCellAnchor editAs="oneCell">
    <xdr:from>
      <xdr:col>0</xdr:col>
      <xdr:colOff>0</xdr:colOff>
      <xdr:row>44</xdr:row>
      <xdr:rowOff>0</xdr:rowOff>
    </xdr:from>
    <xdr:to>
      <xdr:col>10</xdr:col>
      <xdr:colOff>437239</xdr:colOff>
      <xdr:row>51</xdr:row>
      <xdr:rowOff>171279</xdr:rowOff>
    </xdr:to>
    <xdr:pic>
      <xdr:nvPicPr>
        <xdr:cNvPr id="10" name="图片 9">
          <a:extLst>
            <a:ext uri="{FF2B5EF4-FFF2-40B4-BE49-F238E27FC236}">
              <a16:creationId xmlns="" xmlns:a16="http://schemas.microsoft.com/office/drawing/2014/main" id="{00000000-0008-0000-2D00-00000A000000}"/>
            </a:ext>
          </a:extLst>
        </xdr:cNvPr>
        <xdr:cNvPicPr>
          <a:picLocks noChangeAspect="1"/>
        </xdr:cNvPicPr>
      </xdr:nvPicPr>
      <xdr:blipFill>
        <a:blip xmlns:r="http://schemas.openxmlformats.org/officeDocument/2006/relationships" r:embed="rId5" cstate="print"/>
        <a:stretch>
          <a:fillRect/>
        </a:stretch>
      </xdr:blipFill>
      <xdr:spPr>
        <a:xfrm>
          <a:off x="0" y="7543800"/>
          <a:ext cx="7295239" cy="1371429"/>
        </a:xfrm>
        <a:prstGeom prst="rect">
          <a:avLst/>
        </a:prstGeom>
      </xdr:spPr>
    </xdr:pic>
    <xdr:clientData/>
  </xdr:twoCellAnchor>
  <xdr:twoCellAnchor editAs="oneCell">
    <xdr:from>
      <xdr:col>0</xdr:col>
      <xdr:colOff>0</xdr:colOff>
      <xdr:row>52</xdr:row>
      <xdr:rowOff>0</xdr:rowOff>
    </xdr:from>
    <xdr:to>
      <xdr:col>13</xdr:col>
      <xdr:colOff>284601</xdr:colOff>
      <xdr:row>77</xdr:row>
      <xdr:rowOff>37560</xdr:rowOff>
    </xdr:to>
    <xdr:pic>
      <xdr:nvPicPr>
        <xdr:cNvPr id="11" name="图片 10">
          <a:extLst>
            <a:ext uri="{FF2B5EF4-FFF2-40B4-BE49-F238E27FC236}">
              <a16:creationId xmlns="" xmlns:a16="http://schemas.microsoft.com/office/drawing/2014/main" id="{00000000-0008-0000-2D00-00000B000000}"/>
            </a:ext>
          </a:extLst>
        </xdr:cNvPr>
        <xdr:cNvPicPr>
          <a:picLocks noChangeAspect="1"/>
        </xdr:cNvPicPr>
      </xdr:nvPicPr>
      <xdr:blipFill>
        <a:blip xmlns:r="http://schemas.openxmlformats.org/officeDocument/2006/relationships" r:embed="rId6" cstate="print"/>
        <a:stretch>
          <a:fillRect/>
        </a:stretch>
      </xdr:blipFill>
      <xdr:spPr>
        <a:xfrm>
          <a:off x="0" y="8915400"/>
          <a:ext cx="9200001" cy="4323810"/>
        </a:xfrm>
        <a:prstGeom prst="rect">
          <a:avLst/>
        </a:prstGeom>
      </xdr:spPr>
    </xdr:pic>
    <xdr:clientData/>
  </xdr:twoCellAnchor>
  <xdr:twoCellAnchor editAs="oneCell">
    <xdr:from>
      <xdr:col>0</xdr:col>
      <xdr:colOff>0</xdr:colOff>
      <xdr:row>77</xdr:row>
      <xdr:rowOff>0</xdr:rowOff>
    </xdr:from>
    <xdr:to>
      <xdr:col>9</xdr:col>
      <xdr:colOff>27800</xdr:colOff>
      <xdr:row>83</xdr:row>
      <xdr:rowOff>9395</xdr:rowOff>
    </xdr:to>
    <xdr:pic>
      <xdr:nvPicPr>
        <xdr:cNvPr id="12" name="图片 11">
          <a:extLst>
            <a:ext uri="{FF2B5EF4-FFF2-40B4-BE49-F238E27FC236}">
              <a16:creationId xmlns="" xmlns:a16="http://schemas.microsoft.com/office/drawing/2014/main" id="{00000000-0008-0000-2D00-00000C000000}"/>
            </a:ext>
          </a:extLst>
        </xdr:cNvPr>
        <xdr:cNvPicPr>
          <a:picLocks noChangeAspect="1"/>
        </xdr:cNvPicPr>
      </xdr:nvPicPr>
      <xdr:blipFill>
        <a:blip xmlns:r="http://schemas.openxmlformats.org/officeDocument/2006/relationships" r:embed="rId7" cstate="print"/>
        <a:stretch>
          <a:fillRect/>
        </a:stretch>
      </xdr:blipFill>
      <xdr:spPr>
        <a:xfrm>
          <a:off x="0" y="13201650"/>
          <a:ext cx="6200000" cy="1038095"/>
        </a:xfrm>
        <a:prstGeom prst="rect">
          <a:avLst/>
        </a:prstGeom>
      </xdr:spPr>
    </xdr:pic>
    <xdr:clientData/>
  </xdr:twoCellAnchor>
  <xdr:twoCellAnchor editAs="oneCell">
    <xdr:from>
      <xdr:col>0</xdr:col>
      <xdr:colOff>0</xdr:colOff>
      <xdr:row>83</xdr:row>
      <xdr:rowOff>0</xdr:rowOff>
    </xdr:from>
    <xdr:to>
      <xdr:col>10</xdr:col>
      <xdr:colOff>361048</xdr:colOff>
      <xdr:row>90</xdr:row>
      <xdr:rowOff>161755</xdr:rowOff>
    </xdr:to>
    <xdr:pic>
      <xdr:nvPicPr>
        <xdr:cNvPr id="13" name="图片 12">
          <a:extLst>
            <a:ext uri="{FF2B5EF4-FFF2-40B4-BE49-F238E27FC236}">
              <a16:creationId xmlns="" xmlns:a16="http://schemas.microsoft.com/office/drawing/2014/main" id="{00000000-0008-0000-2D00-00000D000000}"/>
            </a:ext>
          </a:extLst>
        </xdr:cNvPr>
        <xdr:cNvPicPr>
          <a:picLocks noChangeAspect="1"/>
        </xdr:cNvPicPr>
      </xdr:nvPicPr>
      <xdr:blipFill>
        <a:blip xmlns:r="http://schemas.openxmlformats.org/officeDocument/2006/relationships" r:embed="rId8" cstate="print"/>
        <a:stretch>
          <a:fillRect/>
        </a:stretch>
      </xdr:blipFill>
      <xdr:spPr>
        <a:xfrm>
          <a:off x="0" y="14230350"/>
          <a:ext cx="7219048" cy="1361905"/>
        </a:xfrm>
        <a:prstGeom prst="rect">
          <a:avLst/>
        </a:prstGeom>
      </xdr:spPr>
    </xdr:pic>
    <xdr:clientData/>
  </xdr:twoCellAnchor>
  <xdr:twoCellAnchor editAs="oneCell">
    <xdr:from>
      <xdr:col>0</xdr:col>
      <xdr:colOff>0</xdr:colOff>
      <xdr:row>91</xdr:row>
      <xdr:rowOff>0</xdr:rowOff>
    </xdr:from>
    <xdr:to>
      <xdr:col>13</xdr:col>
      <xdr:colOff>294124</xdr:colOff>
      <xdr:row>116</xdr:row>
      <xdr:rowOff>142322</xdr:rowOff>
    </xdr:to>
    <xdr:pic>
      <xdr:nvPicPr>
        <xdr:cNvPr id="14" name="图片 13">
          <a:extLst>
            <a:ext uri="{FF2B5EF4-FFF2-40B4-BE49-F238E27FC236}">
              <a16:creationId xmlns="" xmlns:a16="http://schemas.microsoft.com/office/drawing/2014/main" id="{00000000-0008-0000-2D00-00000E000000}"/>
            </a:ext>
          </a:extLst>
        </xdr:cNvPr>
        <xdr:cNvPicPr>
          <a:picLocks noChangeAspect="1"/>
        </xdr:cNvPicPr>
      </xdr:nvPicPr>
      <xdr:blipFill>
        <a:blip xmlns:r="http://schemas.openxmlformats.org/officeDocument/2006/relationships" r:embed="rId9" cstate="print"/>
        <a:stretch>
          <a:fillRect/>
        </a:stretch>
      </xdr:blipFill>
      <xdr:spPr>
        <a:xfrm>
          <a:off x="0" y="15601950"/>
          <a:ext cx="9209524" cy="4428572"/>
        </a:xfrm>
        <a:prstGeom prst="rect">
          <a:avLst/>
        </a:prstGeom>
      </xdr:spPr>
    </xdr:pic>
    <xdr:clientData/>
  </xdr:twoCellAnchor>
  <xdr:twoCellAnchor editAs="oneCell">
    <xdr:from>
      <xdr:col>0</xdr:col>
      <xdr:colOff>0</xdr:colOff>
      <xdr:row>117</xdr:row>
      <xdr:rowOff>0</xdr:rowOff>
    </xdr:from>
    <xdr:to>
      <xdr:col>8</xdr:col>
      <xdr:colOff>275505</xdr:colOff>
      <xdr:row>124</xdr:row>
      <xdr:rowOff>47469</xdr:rowOff>
    </xdr:to>
    <xdr:pic>
      <xdr:nvPicPr>
        <xdr:cNvPr id="15" name="图片 14">
          <a:extLst>
            <a:ext uri="{FF2B5EF4-FFF2-40B4-BE49-F238E27FC236}">
              <a16:creationId xmlns="" xmlns:a16="http://schemas.microsoft.com/office/drawing/2014/main" id="{00000000-0008-0000-2D00-00000F000000}"/>
            </a:ext>
          </a:extLst>
        </xdr:cNvPr>
        <xdr:cNvPicPr>
          <a:picLocks noChangeAspect="1"/>
        </xdr:cNvPicPr>
      </xdr:nvPicPr>
      <xdr:blipFill>
        <a:blip xmlns:r="http://schemas.openxmlformats.org/officeDocument/2006/relationships" r:embed="rId10" cstate="print"/>
        <a:stretch>
          <a:fillRect/>
        </a:stretch>
      </xdr:blipFill>
      <xdr:spPr>
        <a:xfrm>
          <a:off x="0" y="20059650"/>
          <a:ext cx="5761905" cy="12476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10</xdr:col>
      <xdr:colOff>151524</xdr:colOff>
      <xdr:row>11</xdr:row>
      <xdr:rowOff>133162</xdr:rowOff>
    </xdr:to>
    <xdr:pic>
      <xdr:nvPicPr>
        <xdr:cNvPr id="2" name="图片 1">
          <a:extLst>
            <a:ext uri="{FF2B5EF4-FFF2-40B4-BE49-F238E27FC236}">
              <a16:creationId xmlns=""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stretch>
          <a:fillRect/>
        </a:stretch>
      </xdr:blipFill>
      <xdr:spPr>
        <a:xfrm>
          <a:off x="0" y="514350"/>
          <a:ext cx="7009524" cy="1504762"/>
        </a:xfrm>
        <a:prstGeom prst="rect">
          <a:avLst/>
        </a:prstGeom>
      </xdr:spPr>
    </xdr:pic>
    <xdr:clientData/>
  </xdr:twoCellAnchor>
  <xdr:twoCellAnchor editAs="oneCell">
    <xdr:from>
      <xdr:col>0</xdr:col>
      <xdr:colOff>0</xdr:colOff>
      <xdr:row>12</xdr:row>
      <xdr:rowOff>0</xdr:rowOff>
    </xdr:from>
    <xdr:to>
      <xdr:col>12</xdr:col>
      <xdr:colOff>332305</xdr:colOff>
      <xdr:row>37</xdr:row>
      <xdr:rowOff>47084</xdr:rowOff>
    </xdr:to>
    <xdr:pic>
      <xdr:nvPicPr>
        <xdr:cNvPr id="3" name="图片 2">
          <a:extLst>
            <a:ext uri="{FF2B5EF4-FFF2-40B4-BE49-F238E27FC236}">
              <a16:creationId xmlns="" xmlns:a16="http://schemas.microsoft.com/office/drawing/2014/main" id="{00000000-0008-0000-2F00-000003000000}"/>
            </a:ext>
          </a:extLst>
        </xdr:cNvPr>
        <xdr:cNvPicPr>
          <a:picLocks noChangeAspect="1"/>
        </xdr:cNvPicPr>
      </xdr:nvPicPr>
      <xdr:blipFill>
        <a:blip xmlns:r="http://schemas.openxmlformats.org/officeDocument/2006/relationships" r:embed="rId2" cstate="print"/>
        <a:stretch>
          <a:fillRect/>
        </a:stretch>
      </xdr:blipFill>
      <xdr:spPr>
        <a:xfrm>
          <a:off x="0" y="2057400"/>
          <a:ext cx="8561905" cy="4333334"/>
        </a:xfrm>
        <a:prstGeom prst="rect">
          <a:avLst/>
        </a:prstGeom>
      </xdr:spPr>
    </xdr:pic>
    <xdr:clientData/>
  </xdr:twoCellAnchor>
  <xdr:twoCellAnchor editAs="oneCell">
    <xdr:from>
      <xdr:col>0</xdr:col>
      <xdr:colOff>0</xdr:colOff>
      <xdr:row>38</xdr:row>
      <xdr:rowOff>0</xdr:rowOff>
    </xdr:from>
    <xdr:to>
      <xdr:col>8</xdr:col>
      <xdr:colOff>437410</xdr:colOff>
      <xdr:row>43</xdr:row>
      <xdr:rowOff>37988</xdr:rowOff>
    </xdr:to>
    <xdr:pic>
      <xdr:nvPicPr>
        <xdr:cNvPr id="4" name="图片 3">
          <a:extLst>
            <a:ext uri="{FF2B5EF4-FFF2-40B4-BE49-F238E27FC236}">
              <a16:creationId xmlns="" xmlns:a16="http://schemas.microsoft.com/office/drawing/2014/main" id="{00000000-0008-0000-2F00-000004000000}"/>
            </a:ext>
          </a:extLst>
        </xdr:cNvPr>
        <xdr:cNvPicPr>
          <a:picLocks noChangeAspect="1"/>
        </xdr:cNvPicPr>
      </xdr:nvPicPr>
      <xdr:blipFill>
        <a:blip xmlns:r="http://schemas.openxmlformats.org/officeDocument/2006/relationships" r:embed="rId3" cstate="print"/>
        <a:stretch>
          <a:fillRect/>
        </a:stretch>
      </xdr:blipFill>
      <xdr:spPr>
        <a:xfrm>
          <a:off x="0" y="6515100"/>
          <a:ext cx="5923810" cy="895238"/>
        </a:xfrm>
        <a:prstGeom prst="rect">
          <a:avLst/>
        </a:prstGeom>
      </xdr:spPr>
    </xdr:pic>
    <xdr:clientData/>
  </xdr:twoCellAnchor>
  <xdr:twoCellAnchor editAs="oneCell">
    <xdr:from>
      <xdr:col>12</xdr:col>
      <xdr:colOff>133350</xdr:colOff>
      <xdr:row>0</xdr:row>
      <xdr:rowOff>19050</xdr:rowOff>
    </xdr:from>
    <xdr:to>
      <xdr:col>23</xdr:col>
      <xdr:colOff>180027</xdr:colOff>
      <xdr:row>26</xdr:row>
      <xdr:rowOff>132779</xdr:rowOff>
    </xdr:to>
    <xdr:pic>
      <xdr:nvPicPr>
        <xdr:cNvPr id="5" name="图片 4">
          <a:extLst>
            <a:ext uri="{FF2B5EF4-FFF2-40B4-BE49-F238E27FC236}">
              <a16:creationId xmlns="" xmlns:a16="http://schemas.microsoft.com/office/drawing/2014/main" id="{00000000-0008-0000-2F00-000005000000}"/>
            </a:ext>
          </a:extLst>
        </xdr:cNvPr>
        <xdr:cNvPicPr>
          <a:picLocks noChangeAspect="1"/>
        </xdr:cNvPicPr>
      </xdr:nvPicPr>
      <xdr:blipFill>
        <a:blip xmlns:r="http://schemas.openxmlformats.org/officeDocument/2006/relationships" r:embed="rId4" cstate="print"/>
        <a:stretch>
          <a:fillRect/>
        </a:stretch>
      </xdr:blipFill>
      <xdr:spPr>
        <a:xfrm>
          <a:off x="8362950" y="19050"/>
          <a:ext cx="7590477" cy="4571429"/>
        </a:xfrm>
        <a:prstGeom prst="rect">
          <a:avLst/>
        </a:prstGeom>
      </xdr:spPr>
    </xdr:pic>
    <xdr:clientData/>
  </xdr:twoCellAnchor>
  <xdr:twoCellAnchor editAs="oneCell">
    <xdr:from>
      <xdr:col>0</xdr:col>
      <xdr:colOff>0</xdr:colOff>
      <xdr:row>44</xdr:row>
      <xdr:rowOff>0</xdr:rowOff>
    </xdr:from>
    <xdr:to>
      <xdr:col>10</xdr:col>
      <xdr:colOff>437239</xdr:colOff>
      <xdr:row>51</xdr:row>
      <xdr:rowOff>171279</xdr:rowOff>
    </xdr:to>
    <xdr:pic>
      <xdr:nvPicPr>
        <xdr:cNvPr id="6" name="图片 5">
          <a:extLst>
            <a:ext uri="{FF2B5EF4-FFF2-40B4-BE49-F238E27FC236}">
              <a16:creationId xmlns="" xmlns:a16="http://schemas.microsoft.com/office/drawing/2014/main" id="{00000000-0008-0000-2F00-000006000000}"/>
            </a:ext>
          </a:extLst>
        </xdr:cNvPr>
        <xdr:cNvPicPr>
          <a:picLocks noChangeAspect="1"/>
        </xdr:cNvPicPr>
      </xdr:nvPicPr>
      <xdr:blipFill>
        <a:blip xmlns:r="http://schemas.openxmlformats.org/officeDocument/2006/relationships" r:embed="rId5" cstate="print"/>
        <a:stretch>
          <a:fillRect/>
        </a:stretch>
      </xdr:blipFill>
      <xdr:spPr>
        <a:xfrm>
          <a:off x="0" y="7543800"/>
          <a:ext cx="7295239" cy="1371429"/>
        </a:xfrm>
        <a:prstGeom prst="rect">
          <a:avLst/>
        </a:prstGeom>
      </xdr:spPr>
    </xdr:pic>
    <xdr:clientData/>
  </xdr:twoCellAnchor>
  <xdr:twoCellAnchor editAs="oneCell">
    <xdr:from>
      <xdr:col>0</xdr:col>
      <xdr:colOff>0</xdr:colOff>
      <xdr:row>52</xdr:row>
      <xdr:rowOff>0</xdr:rowOff>
    </xdr:from>
    <xdr:to>
      <xdr:col>13</xdr:col>
      <xdr:colOff>284601</xdr:colOff>
      <xdr:row>77</xdr:row>
      <xdr:rowOff>37560</xdr:rowOff>
    </xdr:to>
    <xdr:pic>
      <xdr:nvPicPr>
        <xdr:cNvPr id="7" name="图片 6">
          <a:extLst>
            <a:ext uri="{FF2B5EF4-FFF2-40B4-BE49-F238E27FC236}">
              <a16:creationId xmlns="" xmlns:a16="http://schemas.microsoft.com/office/drawing/2014/main" id="{00000000-0008-0000-2F00-000007000000}"/>
            </a:ext>
          </a:extLst>
        </xdr:cNvPr>
        <xdr:cNvPicPr>
          <a:picLocks noChangeAspect="1"/>
        </xdr:cNvPicPr>
      </xdr:nvPicPr>
      <xdr:blipFill>
        <a:blip xmlns:r="http://schemas.openxmlformats.org/officeDocument/2006/relationships" r:embed="rId6" cstate="print"/>
        <a:stretch>
          <a:fillRect/>
        </a:stretch>
      </xdr:blipFill>
      <xdr:spPr>
        <a:xfrm>
          <a:off x="0" y="8915400"/>
          <a:ext cx="9200001" cy="4323810"/>
        </a:xfrm>
        <a:prstGeom prst="rect">
          <a:avLst/>
        </a:prstGeom>
      </xdr:spPr>
    </xdr:pic>
    <xdr:clientData/>
  </xdr:twoCellAnchor>
  <xdr:twoCellAnchor editAs="oneCell">
    <xdr:from>
      <xdr:col>0</xdr:col>
      <xdr:colOff>0</xdr:colOff>
      <xdr:row>77</xdr:row>
      <xdr:rowOff>0</xdr:rowOff>
    </xdr:from>
    <xdr:to>
      <xdr:col>9</xdr:col>
      <xdr:colOff>27800</xdr:colOff>
      <xdr:row>83</xdr:row>
      <xdr:rowOff>9395</xdr:rowOff>
    </xdr:to>
    <xdr:pic>
      <xdr:nvPicPr>
        <xdr:cNvPr id="8" name="图片 7">
          <a:extLst>
            <a:ext uri="{FF2B5EF4-FFF2-40B4-BE49-F238E27FC236}">
              <a16:creationId xmlns="" xmlns:a16="http://schemas.microsoft.com/office/drawing/2014/main" id="{00000000-0008-0000-2F00-000008000000}"/>
            </a:ext>
          </a:extLst>
        </xdr:cNvPr>
        <xdr:cNvPicPr>
          <a:picLocks noChangeAspect="1"/>
        </xdr:cNvPicPr>
      </xdr:nvPicPr>
      <xdr:blipFill>
        <a:blip xmlns:r="http://schemas.openxmlformats.org/officeDocument/2006/relationships" r:embed="rId7" cstate="print"/>
        <a:stretch>
          <a:fillRect/>
        </a:stretch>
      </xdr:blipFill>
      <xdr:spPr>
        <a:xfrm>
          <a:off x="0" y="13201650"/>
          <a:ext cx="6200000" cy="1038095"/>
        </a:xfrm>
        <a:prstGeom prst="rect">
          <a:avLst/>
        </a:prstGeom>
      </xdr:spPr>
    </xdr:pic>
    <xdr:clientData/>
  </xdr:twoCellAnchor>
  <xdr:twoCellAnchor editAs="oneCell">
    <xdr:from>
      <xdr:col>0</xdr:col>
      <xdr:colOff>0</xdr:colOff>
      <xdr:row>83</xdr:row>
      <xdr:rowOff>0</xdr:rowOff>
    </xdr:from>
    <xdr:to>
      <xdr:col>10</xdr:col>
      <xdr:colOff>361048</xdr:colOff>
      <xdr:row>90</xdr:row>
      <xdr:rowOff>161755</xdr:rowOff>
    </xdr:to>
    <xdr:pic>
      <xdr:nvPicPr>
        <xdr:cNvPr id="9" name="图片 8">
          <a:extLst>
            <a:ext uri="{FF2B5EF4-FFF2-40B4-BE49-F238E27FC236}">
              <a16:creationId xmlns="" xmlns:a16="http://schemas.microsoft.com/office/drawing/2014/main" id="{00000000-0008-0000-2F00-000009000000}"/>
            </a:ext>
          </a:extLst>
        </xdr:cNvPr>
        <xdr:cNvPicPr>
          <a:picLocks noChangeAspect="1"/>
        </xdr:cNvPicPr>
      </xdr:nvPicPr>
      <xdr:blipFill>
        <a:blip xmlns:r="http://schemas.openxmlformats.org/officeDocument/2006/relationships" r:embed="rId8" cstate="print"/>
        <a:stretch>
          <a:fillRect/>
        </a:stretch>
      </xdr:blipFill>
      <xdr:spPr>
        <a:xfrm>
          <a:off x="0" y="14230350"/>
          <a:ext cx="7219048" cy="1361905"/>
        </a:xfrm>
        <a:prstGeom prst="rect">
          <a:avLst/>
        </a:prstGeom>
      </xdr:spPr>
    </xdr:pic>
    <xdr:clientData/>
  </xdr:twoCellAnchor>
  <xdr:twoCellAnchor editAs="oneCell">
    <xdr:from>
      <xdr:col>0</xdr:col>
      <xdr:colOff>0</xdr:colOff>
      <xdr:row>91</xdr:row>
      <xdr:rowOff>0</xdr:rowOff>
    </xdr:from>
    <xdr:to>
      <xdr:col>13</xdr:col>
      <xdr:colOff>294124</xdr:colOff>
      <xdr:row>116</xdr:row>
      <xdr:rowOff>142322</xdr:rowOff>
    </xdr:to>
    <xdr:pic>
      <xdr:nvPicPr>
        <xdr:cNvPr id="10" name="图片 9">
          <a:extLst>
            <a:ext uri="{FF2B5EF4-FFF2-40B4-BE49-F238E27FC236}">
              <a16:creationId xmlns="" xmlns:a16="http://schemas.microsoft.com/office/drawing/2014/main" id="{00000000-0008-0000-2F00-00000A000000}"/>
            </a:ext>
          </a:extLst>
        </xdr:cNvPr>
        <xdr:cNvPicPr>
          <a:picLocks noChangeAspect="1"/>
        </xdr:cNvPicPr>
      </xdr:nvPicPr>
      <xdr:blipFill>
        <a:blip xmlns:r="http://schemas.openxmlformats.org/officeDocument/2006/relationships" r:embed="rId9" cstate="print"/>
        <a:stretch>
          <a:fillRect/>
        </a:stretch>
      </xdr:blipFill>
      <xdr:spPr>
        <a:xfrm>
          <a:off x="0" y="15601950"/>
          <a:ext cx="9209524" cy="4428572"/>
        </a:xfrm>
        <a:prstGeom prst="rect">
          <a:avLst/>
        </a:prstGeom>
      </xdr:spPr>
    </xdr:pic>
    <xdr:clientData/>
  </xdr:twoCellAnchor>
  <xdr:twoCellAnchor editAs="oneCell">
    <xdr:from>
      <xdr:col>0</xdr:col>
      <xdr:colOff>0</xdr:colOff>
      <xdr:row>117</xdr:row>
      <xdr:rowOff>0</xdr:rowOff>
    </xdr:from>
    <xdr:to>
      <xdr:col>8</xdr:col>
      <xdr:colOff>275505</xdr:colOff>
      <xdr:row>124</xdr:row>
      <xdr:rowOff>47469</xdr:rowOff>
    </xdr:to>
    <xdr:pic>
      <xdr:nvPicPr>
        <xdr:cNvPr id="11" name="图片 10">
          <a:extLst>
            <a:ext uri="{FF2B5EF4-FFF2-40B4-BE49-F238E27FC236}">
              <a16:creationId xmlns="" xmlns:a16="http://schemas.microsoft.com/office/drawing/2014/main" id="{00000000-0008-0000-2F00-00000B000000}"/>
            </a:ext>
          </a:extLst>
        </xdr:cNvPr>
        <xdr:cNvPicPr>
          <a:picLocks noChangeAspect="1"/>
        </xdr:cNvPicPr>
      </xdr:nvPicPr>
      <xdr:blipFill>
        <a:blip xmlns:r="http://schemas.openxmlformats.org/officeDocument/2006/relationships" r:embed="rId10" cstate="print"/>
        <a:stretch>
          <a:fillRect/>
        </a:stretch>
      </xdr:blipFill>
      <xdr:spPr>
        <a:xfrm>
          <a:off x="0" y="20059650"/>
          <a:ext cx="5761905" cy="124761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8324</xdr:colOff>
      <xdr:row>28</xdr:row>
      <xdr:rowOff>75591</xdr:rowOff>
    </xdr:to>
    <xdr:pic>
      <xdr:nvPicPr>
        <xdr:cNvPr id="2" name="图片 1">
          <a:extLst>
            <a:ext uri="{FF2B5EF4-FFF2-40B4-BE49-F238E27FC236}">
              <a16:creationId xmlns="" xmlns:a16="http://schemas.microsoft.com/office/drawing/2014/main" id="{00000000-0008-0000-3100-000002000000}"/>
            </a:ext>
          </a:extLst>
        </xdr:cNvPr>
        <xdr:cNvPicPr>
          <a:picLocks noChangeAspect="1"/>
        </xdr:cNvPicPr>
      </xdr:nvPicPr>
      <xdr:blipFill>
        <a:blip xmlns:r="http://schemas.openxmlformats.org/officeDocument/2006/relationships" r:embed="rId1" cstate="print"/>
        <a:stretch>
          <a:fillRect/>
        </a:stretch>
      </xdr:blipFill>
      <xdr:spPr>
        <a:xfrm>
          <a:off x="0" y="0"/>
          <a:ext cx="9609524" cy="4876191"/>
        </a:xfrm>
        <a:prstGeom prst="rect">
          <a:avLst/>
        </a:prstGeom>
      </xdr:spPr>
    </xdr:pic>
    <xdr:clientData/>
  </xdr:twoCellAnchor>
  <xdr:twoCellAnchor editAs="oneCell">
    <xdr:from>
      <xdr:col>0</xdr:col>
      <xdr:colOff>0</xdr:colOff>
      <xdr:row>29</xdr:row>
      <xdr:rowOff>0</xdr:rowOff>
    </xdr:from>
    <xdr:to>
      <xdr:col>13</xdr:col>
      <xdr:colOff>627458</xdr:colOff>
      <xdr:row>47</xdr:row>
      <xdr:rowOff>47234</xdr:rowOff>
    </xdr:to>
    <xdr:pic>
      <xdr:nvPicPr>
        <xdr:cNvPr id="3" name="图片 2">
          <a:extLst>
            <a:ext uri="{FF2B5EF4-FFF2-40B4-BE49-F238E27FC236}">
              <a16:creationId xmlns="" xmlns:a16="http://schemas.microsoft.com/office/drawing/2014/main" id="{00000000-0008-0000-3100-000003000000}"/>
            </a:ext>
          </a:extLst>
        </xdr:cNvPr>
        <xdr:cNvPicPr>
          <a:picLocks noChangeAspect="1"/>
        </xdr:cNvPicPr>
      </xdr:nvPicPr>
      <xdr:blipFill>
        <a:blip xmlns:r="http://schemas.openxmlformats.org/officeDocument/2006/relationships" r:embed="rId2" cstate="print"/>
        <a:stretch>
          <a:fillRect/>
        </a:stretch>
      </xdr:blipFill>
      <xdr:spPr>
        <a:xfrm>
          <a:off x="0" y="4972050"/>
          <a:ext cx="9542858" cy="3133334"/>
        </a:xfrm>
        <a:prstGeom prst="rect">
          <a:avLst/>
        </a:prstGeom>
      </xdr:spPr>
    </xdr:pic>
    <xdr:clientData/>
  </xdr:twoCellAnchor>
  <xdr:twoCellAnchor editAs="oneCell">
    <xdr:from>
      <xdr:col>0</xdr:col>
      <xdr:colOff>0</xdr:colOff>
      <xdr:row>48</xdr:row>
      <xdr:rowOff>0</xdr:rowOff>
    </xdr:from>
    <xdr:to>
      <xdr:col>14</xdr:col>
      <xdr:colOff>217848</xdr:colOff>
      <xdr:row>78</xdr:row>
      <xdr:rowOff>75548</xdr:rowOff>
    </xdr:to>
    <xdr:pic>
      <xdr:nvPicPr>
        <xdr:cNvPr id="4" name="图片 3">
          <a:extLst>
            <a:ext uri="{FF2B5EF4-FFF2-40B4-BE49-F238E27FC236}">
              <a16:creationId xmlns="" xmlns:a16="http://schemas.microsoft.com/office/drawing/2014/main" id="{00000000-0008-0000-3100-000004000000}"/>
            </a:ext>
          </a:extLst>
        </xdr:cNvPr>
        <xdr:cNvPicPr>
          <a:picLocks noChangeAspect="1"/>
        </xdr:cNvPicPr>
      </xdr:nvPicPr>
      <xdr:blipFill>
        <a:blip xmlns:r="http://schemas.openxmlformats.org/officeDocument/2006/relationships" r:embed="rId3" cstate="print"/>
        <a:stretch>
          <a:fillRect/>
        </a:stretch>
      </xdr:blipFill>
      <xdr:spPr>
        <a:xfrm>
          <a:off x="0" y="8229600"/>
          <a:ext cx="9819048" cy="5219048"/>
        </a:xfrm>
        <a:prstGeom prst="rect">
          <a:avLst/>
        </a:prstGeom>
      </xdr:spPr>
    </xdr:pic>
    <xdr:clientData/>
  </xdr:twoCellAnchor>
  <xdr:twoCellAnchor editAs="oneCell">
    <xdr:from>
      <xdr:col>0</xdr:col>
      <xdr:colOff>0</xdr:colOff>
      <xdr:row>79</xdr:row>
      <xdr:rowOff>0</xdr:rowOff>
    </xdr:from>
    <xdr:to>
      <xdr:col>14</xdr:col>
      <xdr:colOff>503563</xdr:colOff>
      <xdr:row>106</xdr:row>
      <xdr:rowOff>66088</xdr:rowOff>
    </xdr:to>
    <xdr:pic>
      <xdr:nvPicPr>
        <xdr:cNvPr id="5" name="图片 4">
          <a:extLst>
            <a:ext uri="{FF2B5EF4-FFF2-40B4-BE49-F238E27FC236}">
              <a16:creationId xmlns="" xmlns:a16="http://schemas.microsoft.com/office/drawing/2014/main" id="{00000000-0008-0000-3100-000005000000}"/>
            </a:ext>
          </a:extLst>
        </xdr:cNvPr>
        <xdr:cNvPicPr>
          <a:picLocks noChangeAspect="1"/>
        </xdr:cNvPicPr>
      </xdr:nvPicPr>
      <xdr:blipFill>
        <a:blip xmlns:r="http://schemas.openxmlformats.org/officeDocument/2006/relationships" r:embed="rId4" cstate="print"/>
        <a:stretch>
          <a:fillRect/>
        </a:stretch>
      </xdr:blipFill>
      <xdr:spPr>
        <a:xfrm>
          <a:off x="0" y="13544550"/>
          <a:ext cx="10104763" cy="469523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65467</xdr:colOff>
      <xdr:row>22</xdr:row>
      <xdr:rowOff>132862</xdr:rowOff>
    </xdr:to>
    <xdr:pic>
      <xdr:nvPicPr>
        <xdr:cNvPr id="2" name="图片 1">
          <a:extLst>
            <a:ext uri="{FF2B5EF4-FFF2-40B4-BE49-F238E27FC236}">
              <a16:creationId xmlns="" xmlns:a16="http://schemas.microsoft.com/office/drawing/2014/main" id="{00000000-0008-0000-3400-000002000000}"/>
            </a:ext>
          </a:extLst>
        </xdr:cNvPr>
        <xdr:cNvPicPr>
          <a:picLocks noChangeAspect="1"/>
        </xdr:cNvPicPr>
      </xdr:nvPicPr>
      <xdr:blipFill>
        <a:blip xmlns:r="http://schemas.openxmlformats.org/officeDocument/2006/relationships" r:embed="rId1" cstate="print"/>
        <a:stretch>
          <a:fillRect/>
        </a:stretch>
      </xdr:blipFill>
      <xdr:spPr>
        <a:xfrm>
          <a:off x="0" y="0"/>
          <a:ext cx="9666667" cy="3904762"/>
        </a:xfrm>
        <a:prstGeom prst="rect">
          <a:avLst/>
        </a:prstGeom>
      </xdr:spPr>
    </xdr:pic>
    <xdr:clientData/>
  </xdr:twoCellAnchor>
  <xdr:twoCellAnchor editAs="oneCell">
    <xdr:from>
      <xdr:col>0</xdr:col>
      <xdr:colOff>0</xdr:colOff>
      <xdr:row>23</xdr:row>
      <xdr:rowOff>0</xdr:rowOff>
    </xdr:from>
    <xdr:to>
      <xdr:col>14</xdr:col>
      <xdr:colOff>170229</xdr:colOff>
      <xdr:row>43</xdr:row>
      <xdr:rowOff>18619</xdr:rowOff>
    </xdr:to>
    <xdr:pic>
      <xdr:nvPicPr>
        <xdr:cNvPr id="3" name="图片 2">
          <a:extLst>
            <a:ext uri="{FF2B5EF4-FFF2-40B4-BE49-F238E27FC236}">
              <a16:creationId xmlns="" xmlns:a16="http://schemas.microsoft.com/office/drawing/2014/main" id="{00000000-0008-0000-3400-000003000000}"/>
            </a:ext>
          </a:extLst>
        </xdr:cNvPr>
        <xdr:cNvPicPr>
          <a:picLocks noChangeAspect="1"/>
        </xdr:cNvPicPr>
      </xdr:nvPicPr>
      <xdr:blipFill>
        <a:blip xmlns:r="http://schemas.openxmlformats.org/officeDocument/2006/relationships" r:embed="rId2" cstate="print"/>
        <a:stretch>
          <a:fillRect/>
        </a:stretch>
      </xdr:blipFill>
      <xdr:spPr>
        <a:xfrm>
          <a:off x="0" y="3943350"/>
          <a:ext cx="9771429" cy="344761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646505</xdr:colOff>
      <xdr:row>21</xdr:row>
      <xdr:rowOff>66217</xdr:rowOff>
    </xdr:to>
    <xdr:pic>
      <xdr:nvPicPr>
        <xdr:cNvPr id="2" name="图片 1">
          <a:extLst>
            <a:ext uri="{FF2B5EF4-FFF2-40B4-BE49-F238E27FC236}">
              <a16:creationId xmlns="" xmlns:a16="http://schemas.microsoft.com/office/drawing/2014/main" id="{00000000-0008-0000-3600-000002000000}"/>
            </a:ext>
          </a:extLst>
        </xdr:cNvPr>
        <xdr:cNvPicPr>
          <a:picLocks noChangeAspect="1"/>
        </xdr:cNvPicPr>
      </xdr:nvPicPr>
      <xdr:blipFill>
        <a:blip xmlns:r="http://schemas.openxmlformats.org/officeDocument/2006/relationships" r:embed="rId1" cstate="print"/>
        <a:stretch>
          <a:fillRect/>
        </a:stretch>
      </xdr:blipFill>
      <xdr:spPr>
        <a:xfrm>
          <a:off x="0" y="0"/>
          <a:ext cx="9561905" cy="3666667"/>
        </a:xfrm>
        <a:prstGeom prst="rect">
          <a:avLst/>
        </a:prstGeom>
      </xdr:spPr>
    </xdr:pic>
    <xdr:clientData/>
  </xdr:twoCellAnchor>
  <xdr:twoCellAnchor editAs="oneCell">
    <xdr:from>
      <xdr:col>0</xdr:col>
      <xdr:colOff>0</xdr:colOff>
      <xdr:row>22</xdr:row>
      <xdr:rowOff>0</xdr:rowOff>
    </xdr:from>
    <xdr:to>
      <xdr:col>13</xdr:col>
      <xdr:colOff>532220</xdr:colOff>
      <xdr:row>44</xdr:row>
      <xdr:rowOff>18576</xdr:rowOff>
    </xdr:to>
    <xdr:pic>
      <xdr:nvPicPr>
        <xdr:cNvPr id="3" name="图片 2">
          <a:extLst>
            <a:ext uri="{FF2B5EF4-FFF2-40B4-BE49-F238E27FC236}">
              <a16:creationId xmlns="" xmlns:a16="http://schemas.microsoft.com/office/drawing/2014/main" id="{00000000-0008-0000-3600-000003000000}"/>
            </a:ext>
          </a:extLst>
        </xdr:cNvPr>
        <xdr:cNvPicPr>
          <a:picLocks noChangeAspect="1"/>
        </xdr:cNvPicPr>
      </xdr:nvPicPr>
      <xdr:blipFill>
        <a:blip xmlns:r="http://schemas.openxmlformats.org/officeDocument/2006/relationships" r:embed="rId2" cstate="print"/>
        <a:stretch>
          <a:fillRect/>
        </a:stretch>
      </xdr:blipFill>
      <xdr:spPr>
        <a:xfrm>
          <a:off x="0" y="3771900"/>
          <a:ext cx="9447620" cy="3790476"/>
        </a:xfrm>
        <a:prstGeom prst="rect">
          <a:avLst/>
        </a:prstGeom>
      </xdr:spPr>
    </xdr:pic>
    <xdr:clientData/>
  </xdr:twoCellAnchor>
  <xdr:twoCellAnchor editAs="oneCell">
    <xdr:from>
      <xdr:col>0</xdr:col>
      <xdr:colOff>0</xdr:colOff>
      <xdr:row>45</xdr:row>
      <xdr:rowOff>0</xdr:rowOff>
    </xdr:from>
    <xdr:to>
      <xdr:col>14</xdr:col>
      <xdr:colOff>36896</xdr:colOff>
      <xdr:row>55</xdr:row>
      <xdr:rowOff>123595</xdr:rowOff>
    </xdr:to>
    <xdr:pic>
      <xdr:nvPicPr>
        <xdr:cNvPr id="4" name="图片 3">
          <a:extLst>
            <a:ext uri="{FF2B5EF4-FFF2-40B4-BE49-F238E27FC236}">
              <a16:creationId xmlns="" xmlns:a16="http://schemas.microsoft.com/office/drawing/2014/main" id="{00000000-0008-0000-3600-000004000000}"/>
            </a:ext>
          </a:extLst>
        </xdr:cNvPr>
        <xdr:cNvPicPr>
          <a:picLocks noChangeAspect="1"/>
        </xdr:cNvPicPr>
      </xdr:nvPicPr>
      <xdr:blipFill>
        <a:blip xmlns:r="http://schemas.openxmlformats.org/officeDocument/2006/relationships" r:embed="rId3" cstate="print"/>
        <a:stretch>
          <a:fillRect/>
        </a:stretch>
      </xdr:blipFill>
      <xdr:spPr>
        <a:xfrm>
          <a:off x="0" y="7715250"/>
          <a:ext cx="9638096" cy="1838095"/>
        </a:xfrm>
        <a:prstGeom prst="rect">
          <a:avLst/>
        </a:prstGeom>
      </xdr:spPr>
    </xdr:pic>
    <xdr:clientData/>
  </xdr:twoCellAnchor>
  <xdr:twoCellAnchor editAs="oneCell">
    <xdr:from>
      <xdr:col>0</xdr:col>
      <xdr:colOff>0</xdr:colOff>
      <xdr:row>56</xdr:row>
      <xdr:rowOff>0</xdr:rowOff>
    </xdr:from>
    <xdr:to>
      <xdr:col>13</xdr:col>
      <xdr:colOff>684601</xdr:colOff>
      <xdr:row>78</xdr:row>
      <xdr:rowOff>18576</xdr:rowOff>
    </xdr:to>
    <xdr:pic>
      <xdr:nvPicPr>
        <xdr:cNvPr id="5" name="图片 4">
          <a:extLst>
            <a:ext uri="{FF2B5EF4-FFF2-40B4-BE49-F238E27FC236}">
              <a16:creationId xmlns="" xmlns:a16="http://schemas.microsoft.com/office/drawing/2014/main" id="{00000000-0008-0000-3600-000005000000}"/>
            </a:ext>
          </a:extLst>
        </xdr:cNvPr>
        <xdr:cNvPicPr>
          <a:picLocks noChangeAspect="1"/>
        </xdr:cNvPicPr>
      </xdr:nvPicPr>
      <xdr:blipFill>
        <a:blip xmlns:r="http://schemas.openxmlformats.org/officeDocument/2006/relationships" r:embed="rId4" cstate="print"/>
        <a:stretch>
          <a:fillRect/>
        </a:stretch>
      </xdr:blipFill>
      <xdr:spPr>
        <a:xfrm>
          <a:off x="0" y="9601200"/>
          <a:ext cx="9600001" cy="3790476"/>
        </a:xfrm>
        <a:prstGeom prst="rect">
          <a:avLst/>
        </a:prstGeom>
      </xdr:spPr>
    </xdr:pic>
    <xdr:clientData/>
  </xdr:twoCellAnchor>
  <xdr:twoCellAnchor editAs="oneCell">
    <xdr:from>
      <xdr:col>0</xdr:col>
      <xdr:colOff>0</xdr:colOff>
      <xdr:row>79</xdr:row>
      <xdr:rowOff>0</xdr:rowOff>
    </xdr:from>
    <xdr:to>
      <xdr:col>14</xdr:col>
      <xdr:colOff>189277</xdr:colOff>
      <xdr:row>100</xdr:row>
      <xdr:rowOff>151931</xdr:rowOff>
    </xdr:to>
    <xdr:pic>
      <xdr:nvPicPr>
        <xdr:cNvPr id="6" name="图片 5">
          <a:extLst>
            <a:ext uri="{FF2B5EF4-FFF2-40B4-BE49-F238E27FC236}">
              <a16:creationId xmlns="" xmlns:a16="http://schemas.microsoft.com/office/drawing/2014/main" id="{00000000-0008-0000-3600-000006000000}"/>
            </a:ext>
          </a:extLst>
        </xdr:cNvPr>
        <xdr:cNvPicPr>
          <a:picLocks noChangeAspect="1"/>
        </xdr:cNvPicPr>
      </xdr:nvPicPr>
      <xdr:blipFill>
        <a:blip xmlns:r="http://schemas.openxmlformats.org/officeDocument/2006/relationships" r:embed="rId5" cstate="print"/>
        <a:stretch>
          <a:fillRect/>
        </a:stretch>
      </xdr:blipFill>
      <xdr:spPr>
        <a:xfrm>
          <a:off x="0" y="13544550"/>
          <a:ext cx="9790477" cy="37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G/Documents/WeChat%20Files/wxid_ss5hjordqjde22/FileStorage/File/2020-09/2020-7-29&#65288;&#19977;&#31181;&#26041;&#27861;&#65289;&#27979;&#31639;-&#36890;&#24030;&#28510;&#22478;&#21103;&#20013;&#24515;&#21150;&#20844;&#27004;&#25307;&#25293;&#25346;&#20986;&#35753;&#24213;&#20215;&#35810;&#202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1"/>
      <sheetName val="预评函-1 (储备)"/>
      <sheetName val="预评函-2"/>
      <sheetName val="预评函-3"/>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商住比"/>
      <sheetName val="建安汇总"/>
      <sheetName val="土储要求地价汇总表"/>
      <sheetName val="土储要求测算表"/>
      <sheetName val="汇总表"/>
      <sheetName val="基准地价居住"/>
      <sheetName val="修正"/>
      <sheetName val="区片价"/>
      <sheetName val="容积率修正"/>
      <sheetName val="因素修正幅度"/>
      <sheetName val="基准地价办公-商务用地"/>
      <sheetName val="基准地价办公-科研用地"/>
      <sheetName val="地价"/>
      <sheetName val="基准地价（汇总）"/>
      <sheetName val="不动产收益法-商业"/>
      <sheetName val="剩余法居住"/>
      <sheetName val="不动产比较法-住宅"/>
      <sheetName val="住宅案例"/>
      <sheetName val="剩余法办公-商务用地"/>
      <sheetName val="不动产比较法-商业"/>
      <sheetName val="商业案例"/>
      <sheetName val="不动产比较法-办公"/>
      <sheetName val="办公案例"/>
      <sheetName val="剩余法办公-科研"/>
      <sheetName val="剩余法安置房"/>
      <sheetName val="不动产收益法-科研"/>
      <sheetName val="不动产比较法-科研"/>
      <sheetName val="案例"/>
      <sheetName val="典型户型修正"/>
      <sheetName val="存贷款利率"/>
      <sheetName val="Sheet1"/>
    </sheetNames>
    <sheetDataSet>
      <sheetData sheetId="0" refreshError="1"/>
      <sheetData sheetId="1" refreshError="1"/>
      <sheetData sheetId="2" refreshError="1"/>
      <sheetData sheetId="3" refreshError="1"/>
      <sheetData sheetId="4">
        <row r="3">
          <cell r="D3" t="str">
            <v>土地估价师</v>
          </cell>
        </row>
        <row r="4">
          <cell r="D4" t="str">
            <v>梁津</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21">
          <cell r="D21" t="str">
            <v>赵雯</v>
          </cell>
        </row>
        <row r="22">
          <cell r="D22" t="str">
            <v>刘敬东</v>
          </cell>
        </row>
        <row r="24">
          <cell r="D24" t="str">
            <v>——</v>
          </cell>
        </row>
      </sheetData>
      <sheetData sheetId="5">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O1" t="str">
            <v>交通便捷度</v>
          </cell>
          <cell r="Q1" t="str">
            <v>公共配套设施</v>
          </cell>
          <cell r="R1" t="str">
            <v>基础设施水平</v>
          </cell>
          <cell r="S1" t="str">
            <v>环境质量</v>
          </cell>
          <cell r="T1" t="str">
            <v>临街状况</v>
          </cell>
          <cell r="U1" t="str">
            <v>内部装修维护情况</v>
          </cell>
          <cell r="W1" t="str">
            <v>五等判定</v>
          </cell>
        </row>
        <row r="2">
          <cell r="A2" t="str">
            <v>平层住宅</v>
          </cell>
          <cell r="B2" t="str">
            <v>剩余法办公</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O2" t="str">
            <v>好</v>
          </cell>
          <cell r="Q2" t="str">
            <v>好</v>
          </cell>
          <cell r="R2" t="str">
            <v>七通</v>
          </cell>
          <cell r="S2" t="str">
            <v>好</v>
          </cell>
          <cell r="T2" t="str">
            <v>多面临街</v>
          </cell>
          <cell r="U2" t="str">
            <v>好</v>
          </cell>
          <cell r="W2" t="str">
            <v>好</v>
          </cell>
        </row>
        <row r="3">
          <cell r="A3" t="str">
            <v>LOFT住宅</v>
          </cell>
          <cell r="B3" t="str">
            <v>剩余法居住</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O3" t="str">
            <v>较好</v>
          </cell>
          <cell r="Q3" t="str">
            <v>较好</v>
          </cell>
          <cell r="R3" t="str">
            <v>六通</v>
          </cell>
          <cell r="S3" t="str">
            <v>较好</v>
          </cell>
          <cell r="T3" t="str">
            <v>双面临街</v>
          </cell>
          <cell r="U3" t="str">
            <v>较好</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O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O5" t="str">
            <v>较差</v>
          </cell>
          <cell r="Q5" t="str">
            <v>较差</v>
          </cell>
          <cell r="R5" t="str">
            <v>四通</v>
          </cell>
          <cell r="S5" t="str">
            <v>较差</v>
          </cell>
          <cell r="T5" t="str">
            <v>不临街</v>
          </cell>
          <cell r="U5" t="str">
            <v>较差</v>
          </cell>
          <cell r="W5" t="str">
            <v>较差</v>
          </cell>
        </row>
        <row r="6">
          <cell r="A6" t="str">
            <v>洋房</v>
          </cell>
          <cell r="B6" t="str">
            <v>基准地价居住</v>
          </cell>
          <cell r="C6" t="str">
            <v>五级</v>
          </cell>
          <cell r="F6" t="str">
            <v>车库</v>
          </cell>
          <cell r="H6" t="str">
            <v>仓储</v>
          </cell>
          <cell r="I6" t="str">
            <v>20-30（含）</v>
          </cell>
          <cell r="K6" t="str">
            <v>差</v>
          </cell>
          <cell r="L6" t="str">
            <v>差</v>
          </cell>
          <cell r="M6" t="str">
            <v>差</v>
          </cell>
          <cell r="O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剩余法安置房</v>
          </cell>
        </row>
        <row r="20">
          <cell r="A20" t="str">
            <v>车库</v>
          </cell>
          <cell r="B20" t="str">
            <v>基准地价商业</v>
          </cell>
        </row>
        <row r="21">
          <cell r="A21" t="str">
            <v>戊类库房</v>
          </cell>
          <cell r="B21" t="str">
            <v>基准地价办公</v>
          </cell>
        </row>
        <row r="22">
          <cell r="A22" t="str">
            <v>燃品库房</v>
          </cell>
          <cell r="B22" t="str">
            <v>剩余法商业</v>
          </cell>
        </row>
        <row r="23">
          <cell r="A23" t="str">
            <v>非燃品库房</v>
          </cell>
          <cell r="B23" t="str">
            <v>收益还原法</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6" refreshError="1"/>
      <sheetData sheetId="7">
        <row r="13">
          <cell r="I13">
            <v>17100</v>
          </cell>
        </row>
      </sheetData>
      <sheetData sheetId="8" refreshError="1"/>
      <sheetData sheetId="9">
        <row r="17">
          <cell r="C17" t="str">
            <v>项目类型</v>
          </cell>
        </row>
        <row r="19">
          <cell r="C19" t="str">
            <v>办公</v>
          </cell>
        </row>
      </sheetData>
      <sheetData sheetId="10">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cell r="C105" t="str">
            <v>钢混</v>
          </cell>
        </row>
        <row r="107">
          <cell r="B107" t="str">
            <v>建筑品质</v>
          </cell>
        </row>
        <row r="109">
          <cell r="B109" t="str">
            <v>公共部分装修</v>
          </cell>
          <cell r="C109" t="str">
            <v>精装修</v>
          </cell>
        </row>
        <row r="114">
          <cell r="B114" t="str">
            <v>物业管理</v>
          </cell>
          <cell r="C114" t="str">
            <v>物业公司管理</v>
          </cell>
        </row>
        <row r="116">
          <cell r="B116" t="str">
            <v>市政基础设施</v>
          </cell>
        </row>
        <row r="118">
          <cell r="B118" t="str">
            <v>房型</v>
          </cell>
        </row>
        <row r="122">
          <cell r="B122" t="str">
            <v>内部装修</v>
          </cell>
          <cell r="C122" t="str">
            <v>精装修</v>
          </cell>
          <cell r="D122" t="str">
            <v>普通装修</v>
          </cell>
          <cell r="E122" t="str">
            <v>简单装修</v>
          </cell>
        </row>
      </sheetData>
      <sheetData sheetId="31" refreshError="1"/>
      <sheetData sheetId="32"/>
      <sheetData sheetId="33">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row>
        <row r="90">
          <cell r="B90" t="str">
            <v>人流量</v>
          </cell>
          <cell r="C90" t="str">
            <v>好</v>
          </cell>
          <cell r="D90" t="str">
            <v>较好</v>
          </cell>
          <cell r="E90" t="str">
            <v>一般</v>
          </cell>
          <cell r="F90" t="str">
            <v>较差</v>
          </cell>
          <cell r="G90" t="str">
            <v>差</v>
          </cell>
        </row>
        <row r="92">
          <cell r="B92" t="str">
            <v>楼层</v>
          </cell>
        </row>
        <row r="100">
          <cell r="B100" t="str">
            <v>商业类型</v>
          </cell>
          <cell r="C100" t="str">
            <v>商业街</v>
          </cell>
          <cell r="D100" t="str">
            <v>住宅配套商业</v>
          </cell>
        </row>
        <row r="105">
          <cell r="B105" t="str">
            <v>建筑结构</v>
          </cell>
          <cell r="C105" t="str">
            <v>钢混</v>
          </cell>
        </row>
        <row r="107">
          <cell r="B107" t="str">
            <v>公共部分装修</v>
          </cell>
        </row>
        <row r="112">
          <cell r="B112" t="str">
            <v>市政基础设施</v>
          </cell>
        </row>
        <row r="114">
          <cell r="B114" t="str">
            <v>业态</v>
          </cell>
        </row>
        <row r="116">
          <cell r="B116" t="str">
            <v>层高</v>
          </cell>
          <cell r="C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34" refreshError="1"/>
      <sheetData sheetId="35">
        <row r="62">
          <cell r="A62" t="str">
            <v>交易情况</v>
          </cell>
          <cell r="C62" t="str">
            <v>正常</v>
          </cell>
        </row>
        <row r="64">
          <cell r="B64" t="str">
            <v>用途</v>
          </cell>
          <cell r="C64" t="str">
            <v>办公</v>
          </cell>
        </row>
        <row r="87">
          <cell r="B87" t="str">
            <v>毗邻道路的类型与等级</v>
          </cell>
          <cell r="C87" t="str">
            <v>高速路</v>
          </cell>
          <cell r="D87" t="str">
            <v>城市主干道</v>
          </cell>
          <cell r="E87" t="str">
            <v>城市次干道</v>
          </cell>
          <cell r="F87" t="str">
            <v>城市支路</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cell r="C113" t="str">
            <v>标准写字楼</v>
          </cell>
          <cell r="D113" t="str">
            <v>非标准写字楼</v>
          </cell>
        </row>
        <row r="115">
          <cell r="B115" t="str">
            <v>物业管理</v>
          </cell>
          <cell r="C115" t="str">
            <v>物业公司管理</v>
          </cell>
        </row>
        <row r="117">
          <cell r="B117" t="str">
            <v>市政基础设施</v>
          </cell>
        </row>
        <row r="119">
          <cell r="B119" t="str">
            <v>层高</v>
          </cell>
        </row>
        <row r="123">
          <cell r="B123" t="str">
            <v>内部装修</v>
          </cell>
          <cell r="C123" t="str">
            <v>精装修</v>
          </cell>
          <cell r="D123" t="str">
            <v>普通装修</v>
          </cell>
          <cell r="E123" t="str">
            <v>简单装修</v>
          </cell>
          <cell r="F123" t="str">
            <v>毛坯</v>
          </cell>
        </row>
      </sheetData>
      <sheetData sheetId="36">
        <row r="29">
          <cell r="B29" t="str">
            <v>金融街园中园</v>
          </cell>
        </row>
        <row r="60">
          <cell r="B60" t="str">
            <v>金融街园中园</v>
          </cell>
        </row>
        <row r="90">
          <cell r="B90" t="str">
            <v>通州万达广场</v>
          </cell>
        </row>
      </sheetData>
      <sheetData sheetId="37" refreshError="1"/>
      <sheetData sheetId="38" refreshError="1"/>
      <sheetData sheetId="39" refreshError="1"/>
      <sheetData sheetId="40" refreshError="1"/>
      <sheetData sheetId="41" refreshError="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724" customWidth="1"/>
    <col min="2" max="2" width="78.25" style="2725" customWidth="1"/>
    <col min="3" max="18" width="9" style="2719"/>
    <col min="19" max="19" width="17.875" style="2719" customWidth="1"/>
    <col min="20" max="51" width="9" style="2719"/>
    <col min="52" max="52" width="13.25" style="2719" customWidth="1"/>
    <col min="53" max="53" width="13.5" style="2719" bestFit="1" customWidth="1"/>
    <col min="54" max="54" width="11.625" style="2719" bestFit="1" customWidth="1"/>
    <col min="55" max="55" width="13.5" style="2719" bestFit="1" customWidth="1"/>
    <col min="56" max="16384" width="9" style="2719"/>
  </cols>
  <sheetData>
    <row r="1" spans="1:55" s="2730" customFormat="1" ht="16.5" thickBot="1">
      <c r="A1" s="2728" t="s">
        <v>2652</v>
      </c>
      <c r="B1" s="2729" t="s">
        <v>2749</v>
      </c>
    </row>
    <row r="2" spans="1:55" s="2733" customFormat="1" ht="15" thickTop="1">
      <c r="A2" s="2731" t="s">
        <v>2656</v>
      </c>
      <c r="B2" s="2732" t="str">
        <f>'预评函-封皮'!B37</f>
        <v>北京市划拨国有建设用地使用权市场价格预评估</v>
      </c>
      <c r="AX2" s="2734"/>
      <c r="AZ2" s="2734"/>
      <c r="BA2" s="2735"/>
      <c r="BC2" s="2735"/>
    </row>
    <row r="3" spans="1:55" s="2736" customFormat="1">
      <c r="A3" s="2715" t="s">
        <v>2657</v>
      </c>
      <c r="B3" s="2718">
        <f>'预评函-封皮'!B40</f>
        <v>0</v>
      </c>
    </row>
    <row r="4" spans="1:55" s="2717" customFormat="1">
      <c r="A4" s="2715" t="s">
        <v>2658</v>
      </c>
      <c r="B4" s="2716" t="str">
        <f>'预评函-封皮'!B46</f>
        <v>土地估价师、土地估价师</v>
      </c>
      <c r="N4" s="2717" t="str">
        <f>'预评函-1'!A28</f>
        <v>——</v>
      </c>
    </row>
    <row r="5" spans="1:55" s="2730" customFormat="1" ht="15" thickBot="1">
      <c r="A5" s="2737" t="s">
        <v>2659</v>
      </c>
      <c r="B5" s="2738" t="str">
        <f>'预评函-封皮'!B49</f>
        <v>康正预评字号</v>
      </c>
    </row>
    <row r="6" spans="1:55" s="2739" customFormat="1" ht="15" thickTop="1">
      <c r="A6" s="2731" t="s">
        <v>2701</v>
      </c>
      <c r="B6" s="2732" t="str">
        <f>'预评函-1'!A4</f>
        <v>受贵公司委托，我公司对北京市划拨国有建设用地使用权市场价格进行了预评估。</v>
      </c>
      <c r="AM6" s="2740"/>
    </row>
    <row r="7" spans="1:55" s="2714" customFormat="1">
      <c r="A7" s="2715" t="s">
        <v>2653</v>
      </c>
      <c r="B7" s="2716" t="str">
        <f>'预评函-1'!A6</f>
        <v>估价对象为使用的、位于北京市划拨国有建设用地使用权。根据《国有土地使用证》[]，估价对象（分摊）划拨国有建设用地使用权面积为798900平方米。根据《建设工程规划许可证》[]、《出让合同》[]，估价对象规划建筑面积为2347917.99平方米。</v>
      </c>
    </row>
    <row r="8" spans="1:55" s="2714" customFormat="1">
      <c r="A8" s="2715" t="s">
        <v>2654</v>
      </c>
      <c r="B8" s="2716" t="str">
        <f>'预评函-1'!A7</f>
        <v xml:space="preserve">简述项目推广名，项目类型（用途），估价对象分布，各用途面积明细情况：XX用途建筑面积XX平方米，XX用途建筑面积XX平方米，……。复杂面积清单需设‘附表’列示：抵押物清单详见附表。        </v>
      </c>
    </row>
    <row r="9" spans="1:55" s="2714" customFormat="1">
      <c r="A9" s="2715" t="s">
        <v>2704</v>
      </c>
      <c r="B9" s="2716" t="str">
        <f>'预评函-1'!A9</f>
        <v>本次评估为委托估价方了解标的物之市场价格提供参考依据而评估划拨国有建设用地使用权市场价格。</v>
      </c>
    </row>
    <row r="10" spans="1:55" s="2714" customFormat="1">
      <c r="A10" s="2715" t="s">
        <v>2655</v>
      </c>
      <c r="B10" s="2716" t="str">
        <f>'预评函-1'!A11</f>
        <v>2020年9月4日</v>
      </c>
    </row>
    <row r="11" spans="1:55" s="2714" customFormat="1">
      <c r="A11" s="2715" t="s">
        <v>2661</v>
      </c>
      <c r="B11" s="2716" t="str">
        <f>'预评函-1'!A14</f>
        <v>根据《国有土地使用证》[]，本次评估估价对象证载（地类）用途为。</v>
      </c>
    </row>
    <row r="12" spans="1:55" s="2714" customFormat="1">
      <c r="A12" s="2715" t="s">
        <v>2662</v>
      </c>
      <c r="B12" s="2716" t="str">
        <f>'预评函-1'!A15</f>
        <v>本次评估设定用途即为证载用途。</v>
      </c>
    </row>
    <row r="13" spans="1:55" s="2714" customFormat="1">
      <c r="A13" s="2715" t="s">
        <v>2663</v>
      </c>
      <c r="B13" s="2716" t="str">
        <f>'预评函-1'!A17</f>
        <v>根据委托估价方介绍及评估专业人员现场勘查，本次评估估价对象实际土地开发程度为红线外市政基础设施达“七通”（即、、、、、、）、宗地红线内场地平整。</v>
      </c>
    </row>
    <row r="14" spans="1:55" s="2714" customFormat="1">
      <c r="A14" s="2715" t="s">
        <v>2664</v>
      </c>
      <c r="B14" s="2716" t="str">
        <f>'预评函-1'!A18</f>
        <v>。本次评估设定土地开发程度为红线外市政基础设施达“七通”、宗地红线内场地平整。</v>
      </c>
    </row>
    <row r="15" spans="1:55" s="2714" customFormat="1">
      <c r="A15" s="2715" t="s">
        <v>2660</v>
      </c>
      <c r="B15" s="2716" t="str">
        <f>'预评函-1'!A20</f>
        <v>根据《国有土地使用证》[]，估价对象（分摊）出让国有建设用地使用权面积为798900平方米。根据《建设工程规划许可证》[]、《出让合同》[]，估价对象规划建筑面积为2347917.99平方米。</v>
      </c>
    </row>
    <row r="16" spans="1:55" s="2714" customFormat="1">
      <c r="A16" s="2715" t="s">
        <v>2665</v>
      </c>
      <c r="B16" s="2716" t="str">
        <f>'预评函-1'!A22</f>
        <v>本次估价对象国有建设用地使用权类型为划拨，无土地使用年限限制。</v>
      </c>
    </row>
    <row r="17" spans="1:48" s="2714" customFormat="1">
      <c r="A17" s="2715" t="s">
        <v>2666</v>
      </c>
      <c r="B17" s="2716" t="str">
        <f>'预评函-1'!A23</f>
        <v/>
      </c>
    </row>
    <row r="18" spans="1:48" s="2714" customFormat="1">
      <c r="A18" s="2715" t="s">
        <v>2667</v>
      </c>
      <c r="B18" s="2716" t="str">
        <f>'预评函-1'!A25</f>
        <v>本次估价的“划拨国有建设用地使用权价格”是指在估价对象土地所有权为国家所有，使用权性质为划拨，在公开市场条件下，于估价期日2020年9月4日在规划利用条件下、设定土地开发程度为红线外“七通”、宗地内场地，设定用途为的划拨国有建设用地使用权价格。</v>
      </c>
    </row>
    <row r="19" spans="1:48" s="2714" customFormat="1">
      <c r="A19" s="2715" t="s">
        <v>2668</v>
      </c>
      <c r="B19" s="2716" t="str">
        <f>'预评函-1'!A26</f>
        <v>——</v>
      </c>
    </row>
    <row r="20" spans="1:48" s="2714" customFormat="1">
      <c r="A20" s="2715" t="s">
        <v>2669</v>
      </c>
      <c r="B20" s="2716" t="str">
        <f>'预评函-1'!A27</f>
        <v>——</v>
      </c>
    </row>
    <row r="21" spans="1:48" s="2730" customFormat="1" ht="15" thickBot="1">
      <c r="A21" s="2737" t="s">
        <v>2670</v>
      </c>
      <c r="B21" s="2738" t="str">
        <f>'预评函-1'!A28</f>
        <v>——</v>
      </c>
    </row>
    <row r="22" spans="1:48" ht="15" thickTop="1">
      <c r="A22" s="2726" t="s">
        <v>2671</v>
      </c>
      <c r="B22" s="2727"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715" t="s">
        <v>2672</v>
      </c>
      <c r="B23" s="2716" t="str">
        <f>'预评函-2'!K2</f>
        <v>估价期日：2020年9月4日</v>
      </c>
    </row>
    <row r="24" spans="1:48">
      <c r="A24" s="2715" t="s">
        <v>2673</v>
      </c>
      <c r="B24" s="2716" t="str">
        <f>'预评函-2'!R2</f>
        <v>估价期日的国有建设用地使用权性质：划拨</v>
      </c>
    </row>
    <row r="25" spans="1:48">
      <c r="A25" s="2715" t="s">
        <v>2729</v>
      </c>
      <c r="B25" s="2716" t="str">
        <f>'预评函-2'!A3</f>
        <v>估价期日土地使用者</v>
      </c>
    </row>
    <row r="26" spans="1:48">
      <c r="A26" s="2715" t="s">
        <v>2705</v>
      </c>
      <c r="B26" s="2716" t="str">
        <f>'预评函-2'!A5</f>
        <v>中信开发</v>
      </c>
    </row>
    <row r="27" spans="1:48">
      <c r="A27" s="2715" t="s">
        <v>2730</v>
      </c>
      <c r="B27" s="2716" t="str">
        <f>'预评函-2'!B3</f>
        <v>宗地编号/不动产单元号</v>
      </c>
    </row>
    <row r="28" spans="1:48">
      <c r="A28" s="2715" t="s">
        <v>2706</v>
      </c>
      <c r="B28" s="2716" t="str">
        <f>'预评函-2'!B5</f>
        <v>11111111111</v>
      </c>
    </row>
    <row r="29" spans="1:48">
      <c r="A29" s="2715" t="s">
        <v>2732</v>
      </c>
      <c r="B29" s="2716">
        <f>'预评函-2'!C5</f>
        <v>22</v>
      </c>
    </row>
    <row r="30" spans="1:48">
      <c r="A30" s="2715" t="s">
        <v>2733</v>
      </c>
      <c r="B30" s="2716" t="str">
        <f>'预评函-2'!D3</f>
        <v>土地使用证编号/不动产权证书编号</v>
      </c>
    </row>
    <row r="31" spans="1:48">
      <c r="A31" s="2715" t="s">
        <v>2707</v>
      </c>
      <c r="B31" s="2716" t="str">
        <f>'预评函-2'!D5</f>
        <v>京国土字第111号</v>
      </c>
    </row>
    <row r="32" spans="1:48">
      <c r="A32" s="2715" t="s">
        <v>2708</v>
      </c>
      <c r="B32" s="2716">
        <f>'预评函-2'!E5</f>
        <v>0</v>
      </c>
      <c r="AV32" s="2720"/>
    </row>
    <row r="33" spans="1:2">
      <c r="A33" s="2715" t="s">
        <v>2709</v>
      </c>
      <c r="B33" s="2716">
        <f>'预评函-2'!F5</f>
        <v>258</v>
      </c>
    </row>
    <row r="34" spans="1:2">
      <c r="A34" s="2715" t="s">
        <v>2710</v>
      </c>
      <c r="B34" s="2716">
        <f>'预评函-2'!G5</f>
        <v>0</v>
      </c>
    </row>
    <row r="35" spans="1:2">
      <c r="A35" s="2715" t="s">
        <v>2711</v>
      </c>
      <c r="B35" s="2716">
        <f>'预评函-2'!H5</f>
        <v>1.5</v>
      </c>
    </row>
    <row r="36" spans="1:2">
      <c r="A36" s="2715" t="s">
        <v>2712</v>
      </c>
      <c r="B36" s="2716">
        <f>'预评函-2'!I5</f>
        <v>1.5</v>
      </c>
    </row>
    <row r="37" spans="1:2">
      <c r="A37" s="2715" t="s">
        <v>2713</v>
      </c>
      <c r="B37" s="2716">
        <f>'预评函-2'!J5</f>
        <v>1.5</v>
      </c>
    </row>
    <row r="38" spans="1:2">
      <c r="A38" s="2715" t="s">
        <v>2714</v>
      </c>
      <c r="B38" s="2716" t="str">
        <f>'预评函-2'!K5</f>
        <v>红线外七通、宗地红线内</v>
      </c>
    </row>
    <row r="39" spans="1:2">
      <c r="A39" s="2715" t="s">
        <v>2715</v>
      </c>
      <c r="B39" s="2716" t="str">
        <f>'预评函-2'!L5</f>
        <v>红线外七通、宗地红线内场地</v>
      </c>
    </row>
    <row r="40" spans="1:2">
      <c r="A40" s="2715" t="s">
        <v>2734</v>
      </c>
      <c r="B40" s="2716" t="str">
        <f>'预评函-2'!M3</f>
        <v>（剩余）土地使用年限/年</v>
      </c>
    </row>
    <row r="41" spans="1:2">
      <c r="A41" s="2715" t="s">
        <v>2716</v>
      </c>
      <c r="B41" s="2716" t="str">
        <f>'预评函-2'!M5</f>
        <v>——</v>
      </c>
    </row>
    <row r="42" spans="1:2">
      <c r="A42" s="2715" t="s">
        <v>2735</v>
      </c>
      <c r="B42" s="2716" t="str">
        <f>'预评函-2'!N3</f>
        <v>（分摊）划拨国有建设用地使用权面积/㎡</v>
      </c>
    </row>
    <row r="43" spans="1:2">
      <c r="A43" s="2715" t="s">
        <v>2717</v>
      </c>
      <c r="B43" s="2716">
        <f>'预评函-2'!N5</f>
        <v>798900</v>
      </c>
    </row>
    <row r="44" spans="1:2">
      <c r="A44" s="2715" t="s">
        <v>2736</v>
      </c>
      <c r="B44" s="2716" t="str">
        <f>'预评函-2'!O3</f>
        <v>规划建筑面积/㎡</v>
      </c>
    </row>
    <row r="45" spans="1:2">
      <c r="A45" s="2715" t="s">
        <v>2718</v>
      </c>
      <c r="B45" s="2716">
        <f>'预评函-2'!O5</f>
        <v>2347917.9900000002</v>
      </c>
    </row>
    <row r="46" spans="1:2">
      <c r="A46" s="2715" t="s">
        <v>2719</v>
      </c>
      <c r="B46" s="2716" t="e">
        <f ca="1">'预评函-2'!P5</f>
        <v>#REF!</v>
      </c>
    </row>
    <row r="47" spans="1:2">
      <c r="A47" s="2715" t="s">
        <v>2720</v>
      </c>
      <c r="B47" s="2716" t="e">
        <f ca="1">'预评函-2'!Q5</f>
        <v>#REF!</v>
      </c>
    </row>
    <row r="48" spans="1:2">
      <c r="A48" s="2715" t="s">
        <v>2721</v>
      </c>
      <c r="B48" s="2716" t="e">
        <f ca="1">'预评函-2'!R5</f>
        <v>#REF!</v>
      </c>
    </row>
    <row r="49" spans="1:2">
      <c r="A49" s="2715" t="s">
        <v>2737</v>
      </c>
      <c r="B49" s="2716" t="str">
        <f>'预评函-2'!A6</f>
        <v>——</v>
      </c>
    </row>
    <row r="50" spans="1:2">
      <c r="A50" s="2715" t="s">
        <v>2722</v>
      </c>
      <c r="B50" s="2716" t="str">
        <f>'预评函-2'!R6</f>
        <v>——</v>
      </c>
    </row>
    <row r="51" spans="1:2">
      <c r="A51" s="2715" t="s">
        <v>2738</v>
      </c>
      <c r="B51" s="2716" t="str">
        <f>'预评函-2'!A7</f>
        <v>——</v>
      </c>
    </row>
    <row r="52" spans="1:2">
      <c r="A52" s="2715" t="s">
        <v>2723</v>
      </c>
      <c r="B52" s="2716" t="str">
        <f>'预评函-2'!R7</f>
        <v>——</v>
      </c>
    </row>
    <row r="53" spans="1:2">
      <c r="A53" s="2715" t="s">
        <v>2739</v>
      </c>
      <c r="B53" s="2716" t="str">
        <f>'预评函-2'!A8</f>
        <v>——</v>
      </c>
    </row>
    <row r="54" spans="1:2" s="2730" customFormat="1" ht="15" thickBot="1">
      <c r="A54" s="2737" t="s">
        <v>2724</v>
      </c>
      <c r="B54" s="2738" t="str">
        <f>'预评函-2'!R8</f>
        <v>——</v>
      </c>
    </row>
    <row r="55" spans="1:2" ht="15" thickTop="1">
      <c r="A55" s="2726" t="s">
        <v>2674</v>
      </c>
      <c r="B55" s="2727" t="str">
        <f>'预评函-3'!A2</f>
        <v>1.权利限制：根据估价对象《不动产权证书》原件、《国有土地使用权》复印件，截至估价期日，估价对象抵押权未见登记。未设定租赁等其他他项权利。</v>
      </c>
    </row>
    <row r="56" spans="1:2">
      <c r="A56" s="2715" t="s">
        <v>2675</v>
      </c>
      <c r="B56" s="2716" t="str">
        <f>'预评函-3'!A3</f>
        <v>2.基础设施条件：估价对象实际开发程度为红线外七通、宗地红线内；本次评估设定开发程度为红线外七通、宗地红线内场地。</v>
      </c>
    </row>
    <row r="57" spans="1:2">
      <c r="A57" s="2715" t="s">
        <v>2676</v>
      </c>
      <c r="B57" s="2716" t="str">
        <f>'预评函-3'!A4</f>
        <v>3.估价规划限制条件：详见《建设工程规划许可证》[]、《出让合同》[]。</v>
      </c>
    </row>
    <row r="58" spans="1:2" s="2730" customFormat="1" ht="15" thickBot="1">
      <c r="A58" s="2737" t="s">
        <v>2725</v>
      </c>
      <c r="B58" s="2738" t="str">
        <f>'预评函-3'!A5</f>
        <v>4.影响价格的其他限定条件：无。</v>
      </c>
    </row>
    <row r="59" spans="1:2" ht="15" thickTop="1">
      <c r="A59" s="2726" t="s">
        <v>2677</v>
      </c>
      <c r="B59" s="2727" t="str">
        <f>'预评函-3'!A8</f>
        <v>2.本次评估设定估价对象宗地权属无争议，未被查封或者以其他形式限制其房地产权利，未设定抵押权等他项权利，不涉及第三方权利义务。</v>
      </c>
    </row>
    <row r="60" spans="1:2">
      <c r="A60" s="2715" t="s">
        <v>2678</v>
      </c>
      <c r="B60" s="2716" t="str">
        <f>'预评函-3'!A9</f>
        <v>——</v>
      </c>
    </row>
    <row r="61" spans="1:2">
      <c r="A61" s="2715" t="s">
        <v>2680</v>
      </c>
      <c r="B61" s="2716" t="str">
        <f>'预评函-3'!A10</f>
        <v>——</v>
      </c>
    </row>
    <row r="62" spans="1:2">
      <c r="A62" s="2715" t="s">
        <v>2679</v>
      </c>
      <c r="B62" s="2716" t="str">
        <f>'预评函-3'!A11</f>
        <v>——</v>
      </c>
    </row>
    <row r="63" spans="1:2">
      <c r="A63" s="2715" t="s">
        <v>2681</v>
      </c>
      <c r="B63" s="271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15" t="s">
        <v>2682</v>
      </c>
      <c r="B64" s="2721" t="str">
        <f>'预评函-3'!A13</f>
        <v>（3）。</v>
      </c>
    </row>
    <row r="65" spans="1:2">
      <c r="A65" s="2715" t="s">
        <v>2683</v>
      </c>
      <c r="B65" s="2722" t="str">
        <f>'预评函-3'!A14</f>
        <v>——</v>
      </c>
    </row>
    <row r="66" spans="1:2">
      <c r="A66" s="2715" t="s">
        <v>2684</v>
      </c>
      <c r="B66" s="272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15" t="s">
        <v>2685</v>
      </c>
      <c r="B67" s="272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30" customFormat="1" ht="15" thickBot="1">
      <c r="A68" s="2737" t="s">
        <v>2688</v>
      </c>
      <c r="B68" s="2741">
        <f>'预评函-3'!D30</f>
        <v>42558</v>
      </c>
    </row>
    <row r="69" spans="1:2" ht="15" thickTop="1">
      <c r="A69" s="2726" t="s">
        <v>2686</v>
      </c>
      <c r="B69" s="2727" t="str">
        <f>'预评函-3'!A20</f>
        <v>土地估价师</v>
      </c>
    </row>
    <row r="70" spans="1:2">
      <c r="A70" s="2715" t="s">
        <v>2686</v>
      </c>
      <c r="B70" s="2722">
        <f>'预评函-3'!B20</f>
        <v>0</v>
      </c>
    </row>
    <row r="71" spans="1:2">
      <c r="A71" s="2715" t="s">
        <v>2687</v>
      </c>
      <c r="B71" s="2716" t="str">
        <f>'预评函-3'!A21</f>
        <v>土地估价师</v>
      </c>
    </row>
    <row r="72" spans="1:2" s="2730" customFormat="1" ht="15" thickBot="1">
      <c r="A72" s="2737" t="s">
        <v>2687</v>
      </c>
      <c r="B72" s="2743">
        <f>'预评函-3'!B21</f>
        <v>0</v>
      </c>
    </row>
    <row r="73" spans="1:2" ht="15" thickTop="1">
      <c r="A73" s="2726" t="s">
        <v>2746</v>
      </c>
      <c r="B73" s="274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15" t="s">
        <v>2747</v>
      </c>
      <c r="B74" s="2723" t="str">
        <f>'预评函-1 (储备)'!A18</f>
        <v>由于本次评估估价目的是评估储备国有建设用地使用权的“抵押价格”，因此本次评估设定土地开发程度为红线外市政基础设施达“七通”、宗地红线内场地平整。</v>
      </c>
    </row>
    <row r="75" spans="1:2" s="2730" customFormat="1" ht="15" thickBot="1">
      <c r="A75" s="2737" t="s">
        <v>2748</v>
      </c>
      <c r="B75" s="274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24" t="s">
        <v>2782</v>
      </c>
      <c r="B76" s="272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tabSelected="1" view="pageBreakPreview" zoomScale="90" zoomScaleNormal="100" zoomScaleSheetLayoutView="90" workbookViewId="0">
      <selection activeCell="B16" sqref="B16"/>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1935</v>
      </c>
      <c r="B1" s="3296" t="str">
        <f>IF(B10="北京市","北京市",C10)&amp;F10&amp;B16&amp;"国有建设用地使用权"&amp;B9&amp;"预评估"</f>
        <v>北京市划拨国有建设用地使用权市场价格预评估</v>
      </c>
      <c r="C1" s="3297"/>
      <c r="D1" s="3297"/>
      <c r="E1" s="3297"/>
      <c r="F1" s="3297"/>
      <c r="G1" s="3297"/>
      <c r="H1" s="3297"/>
      <c r="I1" s="3298"/>
      <c r="J1" s="1676"/>
      <c r="K1" s="2417" t="str">
        <f>IF(B10="北京市","北京市",C10)&amp;F10&amp;B16&amp;"国有建设用地使用权"&amp;B9</f>
        <v>北京市划拨国有建设用地使用权市场价格</v>
      </c>
      <c r="L1" s="1705"/>
      <c r="M1" s="1705"/>
      <c r="N1" s="1676"/>
      <c r="O1" s="1677"/>
      <c r="P1" s="1676"/>
      <c r="Q1" s="1676"/>
      <c r="R1" s="1676"/>
      <c r="S1" s="1676"/>
      <c r="T1" s="1676"/>
      <c r="U1" s="1676"/>
    </row>
    <row r="2" spans="1:21">
      <c r="A2" s="1642" t="s">
        <v>1936</v>
      </c>
      <c r="B2" s="1824"/>
      <c r="D2" s="1676"/>
      <c r="E2" s="1676"/>
      <c r="F2" s="1676"/>
      <c r="G2" s="1676"/>
      <c r="H2" s="1642"/>
      <c r="I2" s="1677"/>
      <c r="J2" s="1676"/>
      <c r="K2" s="2417" t="str">
        <f>IF(B10="北京市","北京市",C10)&amp;F10&amp;B16&amp;"国有建设用地使用权"</f>
        <v>北京市划拨国有建设用地使用权</v>
      </c>
      <c r="L2" s="1705"/>
      <c r="M2" s="1705"/>
      <c r="N2" s="1676"/>
      <c r="O2" s="1677"/>
      <c r="P2" s="1676"/>
      <c r="Q2" s="1676"/>
      <c r="R2" s="1676"/>
      <c r="S2" s="1676"/>
      <c r="T2" s="1676"/>
      <c r="U2" s="1676"/>
    </row>
    <row r="3" spans="1:21">
      <c r="A3" s="1643" t="s">
        <v>1937</v>
      </c>
      <c r="B3" s="1644"/>
      <c r="C3" s="1645" t="s">
        <v>1993</v>
      </c>
      <c r="D3" s="1644">
        <v>44078</v>
      </c>
      <c r="E3" s="1676"/>
      <c r="F3" s="1676"/>
      <c r="G3" s="1676"/>
      <c r="H3" s="1642"/>
      <c r="I3" s="1677"/>
      <c r="J3" s="1676"/>
      <c r="K3" s="1756"/>
      <c r="L3" s="1705"/>
      <c r="M3" s="1705"/>
      <c r="N3" s="1676"/>
      <c r="O3" s="1677"/>
      <c r="P3" s="1676"/>
      <c r="Q3" s="1676"/>
      <c r="R3" s="1676"/>
      <c r="S3" s="1676"/>
      <c r="T3" s="1676"/>
      <c r="U3" s="1676"/>
    </row>
    <row r="4" spans="1:21" ht="29.25" thickBot="1">
      <c r="A4" s="1646" t="s">
        <v>1938</v>
      </c>
      <c r="B4" s="1825" t="s">
        <v>2884</v>
      </c>
      <c r="C4" s="1828">
        <f>SUMIF(土地估价师,B4,估价师及机构信息!E3:E24)</f>
        <v>0</v>
      </c>
      <c r="D4" s="1825" t="s">
        <v>2884</v>
      </c>
      <c r="E4" s="1828">
        <f>SUMIF(土地估价师,D4,估价师及机构信息!E3:E24)</f>
        <v>0</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1939</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2702</v>
      </c>
      <c r="B6" s="1771"/>
      <c r="C6" s="1743"/>
      <c r="D6" s="1650"/>
      <c r="E6" s="1676"/>
      <c r="F6" s="1676"/>
      <c r="G6" s="1676"/>
      <c r="H6" s="1642"/>
      <c r="I6" s="1677"/>
      <c r="J6" s="1676"/>
      <c r="K6" s="2882" t="str">
        <f>IF(COUNTIF(B6,"*上海银行*"),"上海银行","")</f>
        <v/>
      </c>
      <c r="L6" s="1705"/>
      <c r="M6" s="1705"/>
      <c r="N6" s="1676"/>
      <c r="O6" s="1677"/>
      <c r="P6" s="1676"/>
      <c r="Q6" s="1676"/>
      <c r="R6" s="1676"/>
      <c r="S6" s="1676"/>
      <c r="T6" s="1676"/>
      <c r="U6" s="1676"/>
    </row>
    <row r="7" spans="1:21">
      <c r="A7" s="1651" t="s">
        <v>2703</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1940</v>
      </c>
      <c r="B8" s="1652" t="s">
        <v>2983</v>
      </c>
      <c r="C8" s="1653"/>
      <c r="D8" s="3302" t="s">
        <v>1942</v>
      </c>
      <c r="E8" s="1826"/>
      <c r="F8" s="1654"/>
      <c r="G8" s="1642"/>
      <c r="H8" s="1642"/>
      <c r="I8" s="1689"/>
      <c r="J8" s="1676"/>
      <c r="K8" s="1756"/>
      <c r="L8" s="1705"/>
      <c r="M8" s="1705"/>
      <c r="N8" s="1676"/>
      <c r="O8" s="1677"/>
      <c r="P8" s="1676"/>
      <c r="Q8" s="1676"/>
      <c r="R8" s="1676"/>
      <c r="S8" s="1676"/>
      <c r="T8" s="1676"/>
      <c r="U8" s="1676"/>
    </row>
    <row r="9" spans="1:21" ht="15" thickBot="1">
      <c r="A9" s="1655" t="s">
        <v>1941</v>
      </c>
      <c r="B9" s="1656" t="s">
        <v>2997</v>
      </c>
      <c r="C9" s="1657"/>
      <c r="D9" s="3303"/>
      <c r="E9" s="1656"/>
      <c r="F9" s="1729"/>
      <c r="G9" s="1724"/>
      <c r="H9" s="1724"/>
      <c r="I9" s="1725"/>
      <c r="J9" s="1676"/>
      <c r="K9" s="1756"/>
      <c r="L9" s="1705"/>
      <c r="M9" s="1705"/>
      <c r="N9" s="1676"/>
      <c r="O9" s="1677"/>
      <c r="P9" s="1676"/>
      <c r="Q9" s="1676"/>
      <c r="R9" s="1676"/>
      <c r="S9" s="1676"/>
      <c r="T9" s="1676"/>
      <c r="U9" s="1676"/>
    </row>
    <row r="10" spans="1:21" ht="15" thickTop="1">
      <c r="A10" s="1726" t="s">
        <v>1997</v>
      </c>
      <c r="B10" s="1701" t="s">
        <v>1943</v>
      </c>
      <c r="C10" s="1658"/>
      <c r="D10" s="1649"/>
      <c r="E10" s="1659" t="s">
        <v>1944</v>
      </c>
      <c r="F10" s="1660"/>
      <c r="G10" s="1727"/>
      <c r="H10" s="1728"/>
      <c r="I10" s="1649"/>
      <c r="J10" s="1676"/>
      <c r="K10" s="1756"/>
      <c r="L10" s="1705"/>
      <c r="M10" s="1705"/>
      <c r="N10" s="1676"/>
      <c r="O10" s="1677"/>
      <c r="P10" s="1676"/>
      <c r="Q10" s="1676"/>
      <c r="R10" s="1676"/>
      <c r="S10" s="1676"/>
      <c r="T10" s="1676"/>
      <c r="U10" s="1676"/>
    </row>
    <row r="11" spans="1:21">
      <c r="A11" s="1679" t="s">
        <v>1998</v>
      </c>
      <c r="B11" s="1680" t="s">
        <v>2998</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2056</v>
      </c>
      <c r="B12" s="3299"/>
      <c r="C12" s="3300"/>
      <c r="D12" s="3301"/>
      <c r="E12" s="1681" t="s">
        <v>2059</v>
      </c>
      <c r="F12" s="3317" t="s">
        <v>2885</v>
      </c>
      <c r="G12" s="3318"/>
      <c r="H12" s="3318"/>
      <c r="I12" s="3319"/>
      <c r="J12" s="1676"/>
      <c r="K12" s="1756"/>
      <c r="L12" s="1705"/>
      <c r="M12" s="1705"/>
      <c r="N12" s="1676"/>
      <c r="O12" s="1677"/>
      <c r="P12" s="1676"/>
      <c r="Q12" s="1676"/>
      <c r="R12" s="1676"/>
      <c r="S12" s="1676"/>
      <c r="T12" s="1676"/>
      <c r="U12" s="1676"/>
    </row>
    <row r="13" spans="1:21">
      <c r="A13" s="1669" t="s">
        <v>2057</v>
      </c>
      <c r="B13" s="3299"/>
      <c r="C13" s="3300"/>
      <c r="D13" s="3301"/>
      <c r="E13" s="1681" t="s">
        <v>2059</v>
      </c>
      <c r="F13" s="3317" t="s">
        <v>2886</v>
      </c>
      <c r="G13" s="3318"/>
      <c r="H13" s="3318"/>
      <c r="I13" s="3319"/>
      <c r="J13" s="1676"/>
      <c r="K13" s="1756"/>
      <c r="L13" s="1705"/>
      <c r="M13" s="1705"/>
      <c r="N13" s="1676"/>
      <c r="O13" s="1677"/>
      <c r="P13" s="1676"/>
      <c r="Q13" s="1676"/>
      <c r="R13" s="1676"/>
      <c r="S13" s="1676"/>
      <c r="T13" s="1676"/>
      <c r="U13" s="1676"/>
    </row>
    <row r="14" spans="1:21">
      <c r="A14" s="1643" t="s">
        <v>2060</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1947</v>
      </c>
      <c r="E15" s="1748" t="s">
        <v>1948</v>
      </c>
      <c r="F15" s="1748" t="s">
        <v>1949</v>
      </c>
      <c r="G15" s="1668" t="s">
        <v>1950</v>
      </c>
      <c r="H15" s="1668" t="s">
        <v>1951</v>
      </c>
      <c r="I15" s="1668" t="s">
        <v>1952</v>
      </c>
      <c r="J15" s="1676"/>
      <c r="K15" s="1756"/>
      <c r="L15" s="1705"/>
      <c r="M15" s="1705"/>
      <c r="N15" s="1676"/>
      <c r="O15" s="1677"/>
      <c r="P15" s="1676"/>
      <c r="Q15" s="1676"/>
      <c r="R15" s="1676"/>
      <c r="S15" s="1676"/>
      <c r="T15" s="1676"/>
      <c r="U15" s="1676"/>
    </row>
    <row r="16" spans="1:21" ht="42.75">
      <c r="A16" s="1662" t="s">
        <v>1945</v>
      </c>
      <c r="B16" s="1663" t="s">
        <v>3242</v>
      </c>
      <c r="C16" s="1681" t="s">
        <v>1946</v>
      </c>
      <c r="D16" s="2608" t="s">
        <v>1947</v>
      </c>
      <c r="E16" s="1704" t="s">
        <v>3061</v>
      </c>
      <c r="F16" s="1704" t="s">
        <v>1677</v>
      </c>
      <c r="G16" s="1704" t="s">
        <v>35</v>
      </c>
      <c r="H16" s="1704" t="s">
        <v>3080</v>
      </c>
      <c r="I16" s="1668" t="s">
        <v>1952</v>
      </c>
      <c r="J16" s="1676"/>
      <c r="K16" s="2418" t="str">
        <f>IF(D17="","",D16&amp;TEXT(D17,"yyyy年m月d日;;"))</f>
        <v>住宅2100年1月1日</v>
      </c>
      <c r="L16" s="1681" t="str">
        <f>IF(OR(K16="",M16=""),"","、")</f>
        <v>、</v>
      </c>
      <c r="M16" s="2418" t="str">
        <f>IF(E17="","",E16&amp;TEXT(E17,"yyyy年m月d日;;"))</f>
        <v>商业2080年1月1日</v>
      </c>
      <c r="N16" s="1681" t="str">
        <f>IF(OR(M16="",O16=""),"","、")</f>
        <v>、</v>
      </c>
      <c r="O16" s="2418" t="str">
        <f>IF(F17="","",F16&amp;TEXT(F17,"yyyy年m月d日;;"))</f>
        <v>办公2090年1月1日</v>
      </c>
      <c r="P16" s="1681" t="str">
        <f>IF(OR(O16="",Q16=""),"","、")</f>
        <v>、</v>
      </c>
      <c r="Q16" s="2418" t="str">
        <f>IF(G17="","",G16&amp;TEXT(G17,"yyyy年m月d日;;"))</f>
        <v>地下车库2090年1月1日</v>
      </c>
      <c r="R16" s="1681" t="str">
        <f>IF(OR(Q16="",S16=""),"","、")</f>
        <v>、</v>
      </c>
      <c r="S16" s="2418" t="str">
        <f>IF(H17="","",H16&amp;TEXT(H17,"yyyy年m月d日;;"))</f>
        <v>地下仓储2090年1月1日</v>
      </c>
      <c r="T16" s="1681" t="str">
        <f>IF(OR(S16="",U16=""),"","、")</f>
        <v/>
      </c>
      <c r="U16" s="2418" t="str">
        <f>IF(I17="","",I16&amp;TEXT(I17,"yyyy年m月d日;;"))</f>
        <v/>
      </c>
    </row>
    <row r="17" spans="1:21">
      <c r="A17" s="1745"/>
      <c r="B17" s="1664"/>
      <c r="C17" s="1665" t="s">
        <v>1953</v>
      </c>
      <c r="D17" s="1682">
        <v>73051</v>
      </c>
      <c r="E17" s="1682">
        <v>65746</v>
      </c>
      <c r="F17" s="1682">
        <v>69399</v>
      </c>
      <c r="G17" s="1682">
        <v>69399</v>
      </c>
      <c r="H17" s="1682">
        <f>G17</f>
        <v>69399</v>
      </c>
      <c r="I17" s="1682"/>
      <c r="J17" s="1676"/>
      <c r="K17" s="2417" t="str">
        <f>CONCATENATE(K16,L16,M16,N16,O16,P16,Q16,R16,S16,T16,,U16)</f>
        <v>住宅2100年1月1日、商业2080年1月1日、办公2090年1月1日、地下车库2090年1月1日、地下仓储2090年1月1日</v>
      </c>
      <c r="L17" s="1705"/>
      <c r="M17" s="1705"/>
      <c r="N17" s="1676"/>
      <c r="O17" s="1677"/>
      <c r="P17" s="1676"/>
      <c r="Q17" s="1676"/>
      <c r="R17" s="1676"/>
      <c r="S17" s="1676"/>
      <c r="T17" s="1676"/>
      <c r="U17" s="1676"/>
    </row>
    <row r="18" spans="1:21">
      <c r="A18" s="1745"/>
      <c r="B18" s="1664"/>
      <c r="C18" s="1665" t="s">
        <v>1954</v>
      </c>
      <c r="D18" s="1666">
        <v>70</v>
      </c>
      <c r="E18" s="1666">
        <v>40</v>
      </c>
      <c r="F18" s="1666">
        <v>50</v>
      </c>
      <c r="G18" s="1666">
        <v>50</v>
      </c>
      <c r="H18" s="1666">
        <v>50</v>
      </c>
      <c r="I18" s="1666"/>
      <c r="J18" s="1676"/>
      <c r="K18" s="1756"/>
      <c r="L18" s="1705"/>
      <c r="M18" s="1705"/>
      <c r="N18" s="1676"/>
      <c r="O18" s="1677"/>
      <c r="P18" s="1676"/>
      <c r="Q18" s="1676"/>
      <c r="R18" s="1676"/>
      <c r="S18" s="1676"/>
      <c r="T18" s="1676"/>
      <c r="U18" s="1676"/>
    </row>
    <row r="19" spans="1:21">
      <c r="A19" s="1745"/>
      <c r="B19" s="1664"/>
      <c r="C19" s="1642" t="s">
        <v>1955</v>
      </c>
      <c r="D19" s="1740">
        <f>IF(B16="出让",IF(D17="","",ROUNDDOWN(MIN((D17-$D$3)/365,D18),2)),D18)</f>
        <v>70</v>
      </c>
      <c r="E19" s="1667">
        <f>IF(B16="出让",IF(E17="","",ROUNDDOWN(MIN((E17-$D$3)/365,E18),2)),E18)</f>
        <v>40</v>
      </c>
      <c r="F19" s="1667">
        <f>IF(B16="出让",IF(F17="","",ROUNDDOWN(MIN((F17-$D$3)/365,F18),2)),F18)</f>
        <v>50</v>
      </c>
      <c r="G19" s="1667">
        <f>IF(B16="出让",IF(G17="","",ROUNDDOWN(MIN((G17-$D$3)/365,G18),2)),G18)</f>
        <v>50</v>
      </c>
      <c r="H19" s="1667">
        <f>IF(B16="出让",IF(H17="","",ROUNDDOWN(MIN((H17-$D$3)/365,H18),2)),H18)</f>
        <v>50</v>
      </c>
      <c r="I19" s="1667">
        <f>IF(B16="出让",IF(I17="","",ROUNDDOWN(MIN((I17-$D$3)/365,I18),2)),I18)</f>
        <v>0</v>
      </c>
      <c r="J19" s="1676"/>
      <c r="K19" s="1756"/>
      <c r="L19" s="1705"/>
      <c r="M19" s="1705"/>
      <c r="N19" s="1676"/>
      <c r="O19" s="1677"/>
      <c r="P19" s="1676"/>
      <c r="Q19" s="1676"/>
      <c r="R19" s="1676"/>
      <c r="S19" s="1676"/>
      <c r="T19" s="1676"/>
      <c r="U19" s="1676"/>
    </row>
    <row r="20" spans="1:21">
      <c r="A20" s="1768"/>
      <c r="B20" s="1769"/>
      <c r="C20" s="1770" t="s">
        <v>2058</v>
      </c>
      <c r="D20" s="3314"/>
      <c r="E20" s="3315"/>
      <c r="F20" s="3315"/>
      <c r="G20" s="3315"/>
      <c r="H20" s="3315"/>
      <c r="I20" s="3316"/>
      <c r="J20" s="1676"/>
      <c r="K20" s="1756"/>
      <c r="L20" s="1705"/>
      <c r="M20" s="1705"/>
      <c r="N20" s="1676"/>
      <c r="O20" s="1677"/>
      <c r="P20" s="1676"/>
      <c r="Q20" s="1676"/>
      <c r="R20" s="1676"/>
      <c r="S20" s="1676"/>
      <c r="T20" s="1676"/>
      <c r="U20" s="1676"/>
    </row>
    <row r="21" spans="1:21">
      <c r="A21" s="1745" t="s">
        <v>1956</v>
      </c>
      <c r="B21" s="1746" t="s">
        <v>1957</v>
      </c>
      <c r="C21" s="1741">
        <f>'数据-汇总表'!E3</f>
        <v>2347917.9900000002</v>
      </c>
      <c r="D21" s="1742" t="s">
        <v>1958</v>
      </c>
      <c r="E21" s="3304" t="s">
        <v>1996</v>
      </c>
      <c r="F21" s="3305"/>
      <c r="G21" s="3305"/>
      <c r="H21" s="3305"/>
      <c r="I21" s="3306"/>
      <c r="J21" s="1676"/>
      <c r="K21" s="1756"/>
      <c r="L21" s="1705"/>
      <c r="M21" s="1705"/>
      <c r="N21" s="1676"/>
      <c r="O21" s="1677"/>
      <c r="P21" s="1676"/>
      <c r="Q21" s="1676"/>
      <c r="R21" s="1676"/>
      <c r="S21" s="1676"/>
      <c r="T21" s="1676"/>
      <c r="U21" s="1676"/>
    </row>
    <row r="22" spans="1:21">
      <c r="A22" s="2950" t="s">
        <v>952</v>
      </c>
      <c r="B22" s="1643" t="s">
        <v>1959</v>
      </c>
      <c r="C22" s="1668">
        <f>'数据-汇总表'!D3</f>
        <v>798900</v>
      </c>
      <c r="D22" s="1669" t="s">
        <v>1958</v>
      </c>
      <c r="E22" s="3304" t="s">
        <v>2887</v>
      </c>
      <c r="F22" s="3305"/>
      <c r="G22" s="3305"/>
      <c r="H22" s="3305"/>
      <c r="I22" s="3306"/>
      <c r="J22" s="1676"/>
      <c r="K22" s="1756"/>
      <c r="L22" s="1705"/>
      <c r="M22" s="1705"/>
      <c r="N22" s="1676"/>
      <c r="O22" s="1677"/>
      <c r="P22" s="1676"/>
      <c r="Q22" s="1676"/>
      <c r="R22" s="1676"/>
      <c r="S22" s="1676"/>
      <c r="T22" s="1676"/>
      <c r="U22" s="1676"/>
    </row>
    <row r="23" spans="1:21" ht="43.5" thickBot="1">
      <c r="A23" s="1747" t="s">
        <v>1960</v>
      </c>
      <c r="B23" s="1683" t="s">
        <v>1961</v>
      </c>
      <c r="C23" s="1684"/>
      <c r="D23" s="1685" t="s">
        <v>1962</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1963</v>
      </c>
      <c r="B24" s="3307" t="s">
        <v>1964</v>
      </c>
      <c r="C24" s="3308"/>
      <c r="D24" s="3309" t="s">
        <v>1965</v>
      </c>
      <c r="E24" s="3310"/>
      <c r="F24" s="1690" t="s">
        <v>1966</v>
      </c>
      <c r="G24" s="1676"/>
      <c r="H24" s="1676"/>
      <c r="I24" s="1689"/>
      <c r="J24" s="1676"/>
      <c r="K24" s="3295" t="s">
        <v>1967</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2322</v>
      </c>
      <c r="C25" s="1691" t="s">
        <v>1968</v>
      </c>
      <c r="D25" s="1692"/>
      <c r="E25" s="1693" t="s">
        <v>952</v>
      </c>
      <c r="F25" s="1694"/>
      <c r="G25" s="1676"/>
      <c r="H25" s="1676"/>
      <c r="I25" s="1689"/>
      <c r="J25" s="1676"/>
      <c r="K25" s="3295"/>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1969</v>
      </c>
      <c r="C26" s="1691" t="s">
        <v>2323</v>
      </c>
      <c r="D26" s="1642"/>
      <c r="E26" s="1642"/>
      <c r="F26" s="1670"/>
      <c r="G26" s="1676"/>
      <c r="H26" s="1676"/>
      <c r="I26" s="1689"/>
      <c r="J26" s="1676"/>
      <c r="K26" s="3295"/>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1970</v>
      </c>
      <c r="B27" s="1735" t="s">
        <v>1971</v>
      </c>
      <c r="C27" s="1695"/>
      <c r="D27" s="2613" t="s">
        <v>1971</v>
      </c>
      <c r="E27" s="1696"/>
      <c r="F27" s="1670"/>
      <c r="G27" s="1676"/>
      <c r="H27" s="1676"/>
      <c r="I27" s="1689"/>
      <c r="J27" s="1676"/>
      <c r="K27" s="1756"/>
      <c r="L27" s="1705"/>
      <c r="M27" s="1705"/>
      <c r="N27" s="1676"/>
      <c r="O27" s="1677"/>
      <c r="P27" s="1676"/>
      <c r="Q27" s="1676"/>
      <c r="R27" s="1676"/>
      <c r="S27" s="1676"/>
      <c r="T27" s="1676"/>
      <c r="U27" s="1676"/>
    </row>
    <row r="28" spans="1:21">
      <c r="A28" s="1738"/>
      <c r="B28" s="1735" t="s">
        <v>1972</v>
      </c>
      <c r="C28" s="1697"/>
      <c r="D28" s="2614" t="s">
        <v>1972</v>
      </c>
      <c r="E28" s="1698"/>
      <c r="F28" s="1670"/>
      <c r="G28" s="1676"/>
      <c r="H28" s="1676"/>
      <c r="I28" s="1689"/>
      <c r="J28" s="1676"/>
      <c r="K28" s="1756"/>
      <c r="L28" s="1705"/>
      <c r="M28" s="1705"/>
      <c r="N28" s="1676"/>
      <c r="O28" s="1677"/>
      <c r="P28" s="1676"/>
      <c r="Q28" s="1676"/>
      <c r="R28" s="1676"/>
      <c r="S28" s="1676"/>
      <c r="T28" s="1676"/>
      <c r="U28" s="1676"/>
    </row>
    <row r="29" spans="1:21">
      <c r="A29" s="1738"/>
      <c r="B29" s="1735" t="s">
        <v>1973</v>
      </c>
      <c r="C29" s="1697"/>
      <c r="D29" s="2614" t="s">
        <v>1973</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1974</v>
      </c>
      <c r="C30" s="1699"/>
      <c r="D30" s="2615" t="s">
        <v>1974</v>
      </c>
      <c r="E30" s="1700"/>
      <c r="F30" s="1671"/>
      <c r="G30" s="1724"/>
      <c r="H30" s="1724"/>
      <c r="I30" s="1725"/>
      <c r="J30" s="1676"/>
      <c r="K30" s="1756"/>
      <c r="L30" s="1705"/>
      <c r="M30" s="1705"/>
      <c r="N30" s="1676"/>
      <c r="O30" s="1677"/>
      <c r="P30" s="1676"/>
      <c r="Q30" s="1676"/>
      <c r="R30" s="1676"/>
      <c r="S30" s="1676"/>
      <c r="T30" s="1676"/>
      <c r="U30" s="1676"/>
    </row>
    <row r="31" spans="1:21" ht="15" thickTop="1">
      <c r="A31" s="3322" t="s">
        <v>1999</v>
      </c>
      <c r="B31" s="1746" t="s">
        <v>2000</v>
      </c>
      <c r="C31" s="3320"/>
      <c r="D31" s="3321"/>
      <c r="E31" s="1676"/>
      <c r="F31" s="1676"/>
      <c r="G31" s="1676"/>
      <c r="H31" s="1676"/>
      <c r="I31" s="1689"/>
      <c r="J31" s="1676"/>
      <c r="K31" s="2420"/>
      <c r="L31" s="1676"/>
      <c r="M31" s="1676"/>
      <c r="N31" s="1676"/>
      <c r="O31" s="1676"/>
      <c r="P31" s="1676"/>
      <c r="Q31" s="1676"/>
      <c r="R31" s="1676"/>
      <c r="S31" s="1676"/>
      <c r="T31" s="1676"/>
      <c r="U31" s="1676"/>
    </row>
    <row r="32" spans="1:21">
      <c r="A32" s="3322"/>
      <c r="B32" s="1643" t="s">
        <v>2001</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322"/>
      <c r="B33" s="1643" t="s">
        <v>2002</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323"/>
      <c r="B34" s="1643" t="s">
        <v>2003</v>
      </c>
      <c r="C34" s="3324"/>
      <c r="D34" s="3325"/>
      <c r="E34" s="1676"/>
      <c r="F34" s="1676"/>
      <c r="G34" s="1676"/>
      <c r="H34" s="1676"/>
      <c r="I34" s="1689"/>
      <c r="J34" s="1676"/>
      <c r="K34" s="2420"/>
      <c r="L34" s="1676"/>
      <c r="M34" s="1676"/>
      <c r="N34" s="1676"/>
      <c r="O34" s="1676"/>
      <c r="P34" s="1676"/>
      <c r="Q34" s="1676"/>
      <c r="R34" s="1676"/>
      <c r="S34" s="1676"/>
      <c r="T34" s="1676"/>
      <c r="U34" s="1676"/>
    </row>
    <row r="35" spans="1:21">
      <c r="A35" s="3326" t="s">
        <v>847</v>
      </c>
      <c r="B35" s="1704"/>
      <c r="C35" s="1758" t="str">
        <f>IF(B35="场地平整","——","具体情况：")</f>
        <v>具体情况：</v>
      </c>
      <c r="D35" s="3328"/>
      <c r="E35" s="3329"/>
      <c r="F35" s="3329"/>
      <c r="G35" s="3329"/>
      <c r="H35" s="3329"/>
      <c r="I35" s="3330"/>
      <c r="J35" s="1676"/>
      <c r="K35" s="1757"/>
      <c r="L35" s="1705"/>
      <c r="M35" s="1705"/>
      <c r="N35" s="1676"/>
      <c r="O35" s="1677"/>
      <c r="P35" s="1676"/>
      <c r="Q35" s="1676"/>
      <c r="R35" s="1676"/>
      <c r="S35" s="1676"/>
      <c r="T35" s="1676"/>
      <c r="U35" s="1676"/>
    </row>
    <row r="36" spans="1:21">
      <c r="A36" s="3322"/>
      <c r="B36" s="3331" t="s">
        <v>2052</v>
      </c>
      <c r="C36" s="3332"/>
      <c r="D36" s="1774"/>
      <c r="E36" s="3333"/>
      <c r="F36" s="3333"/>
      <c r="G36" s="1669" t="str">
        <f>IF(B35="场地未平整","估价结果处理","")</f>
        <v/>
      </c>
      <c r="H36" s="3334"/>
      <c r="I36" s="3334"/>
      <c r="J36" s="1676"/>
      <c r="K36" s="1757"/>
      <c r="L36" s="1705"/>
      <c r="M36" s="1705"/>
      <c r="N36" s="1676"/>
      <c r="O36" s="1677"/>
      <c r="P36" s="1676"/>
      <c r="Q36" s="1676"/>
      <c r="R36" s="1676"/>
      <c r="S36" s="1676"/>
      <c r="T36" s="1676"/>
      <c r="U36" s="1676"/>
    </row>
    <row r="37" spans="1:21" ht="28.5">
      <c r="A37" s="3322"/>
      <c r="B37" s="3311"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322"/>
      <c r="B38" s="3312"/>
      <c r="C38" s="1651" t="s">
        <v>850</v>
      </c>
      <c r="D38" s="1773">
        <f>ROUNDDOWN(MIN(('数据-取费表'!$B$2-D37)/365,D34),1)</f>
        <v>120.7</v>
      </c>
      <c r="E38" s="1709" t="s">
        <v>851</v>
      </c>
      <c r="F38" s="1676"/>
      <c r="G38" s="1676"/>
      <c r="H38" s="1676"/>
      <c r="I38" s="1689"/>
      <c r="J38" s="1676"/>
      <c r="K38" s="1757"/>
      <c r="L38" s="1676"/>
      <c r="M38" s="1676"/>
      <c r="N38" s="1676"/>
      <c r="O38" s="1676"/>
      <c r="P38" s="1676"/>
      <c r="Q38" s="1676"/>
      <c r="R38" s="1676"/>
      <c r="S38" s="1676"/>
      <c r="T38" s="1676"/>
      <c r="U38" s="1676"/>
    </row>
    <row r="39" spans="1:21">
      <c r="A39" s="3323"/>
      <c r="B39" s="3313"/>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1975</v>
      </c>
      <c r="B40" s="1672"/>
      <c r="C40" s="1672"/>
      <c r="D40" s="1672"/>
      <c r="E40" s="1672"/>
      <c r="F40" s="1672"/>
      <c r="G40" s="1672"/>
      <c r="H40" s="1672"/>
      <c r="I40" s="1689"/>
      <c r="J40" s="1676"/>
      <c r="K40" s="1712">
        <f>COUNTIF(B40:H40,"——")</f>
        <v>0</v>
      </c>
      <c r="L40" s="1681" t="s">
        <v>1976</v>
      </c>
      <c r="M40" s="1678" t="s">
        <v>1977</v>
      </c>
      <c r="N40" s="1678" t="s">
        <v>1978</v>
      </c>
      <c r="O40" s="1678" t="s">
        <v>1979</v>
      </c>
      <c r="P40" s="1678" t="s">
        <v>1980</v>
      </c>
      <c r="Q40" s="1678" t="s">
        <v>1981</v>
      </c>
      <c r="R40" s="1678" t="s">
        <v>1982</v>
      </c>
      <c r="S40" s="3294" t="s">
        <v>1983</v>
      </c>
      <c r="T40" s="1713" t="str">
        <f>NUMBERSTRING(7-K40,1)&amp;"通"</f>
        <v>七通</v>
      </c>
      <c r="U40" s="1676"/>
    </row>
    <row r="41" spans="1:21">
      <c r="A41" s="1645"/>
      <c r="B41" s="3327" t="s">
        <v>1721</v>
      </c>
      <c r="C41" s="3327"/>
      <c r="D41" s="3327"/>
      <c r="E41" s="3327"/>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94"/>
      <c r="T41" s="1715" t="str">
        <f>IF(T40="一通",L41,IF(T40="二通",M41,IF(T40="三通",N41,IF(T40="四通",O41,IF(T40="五通",P41,IF(T40="六通",Q41,R41))))))</f>
        <v>、、、、、、</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t="s">
        <v>1411</v>
      </c>
      <c r="C43" s="1720" t="s">
        <v>1411</v>
      </c>
      <c r="D43" s="1720" t="s">
        <v>1411</v>
      </c>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t="s">
        <v>3060</v>
      </c>
      <c r="C44" s="1720" t="s">
        <v>3060</v>
      </c>
      <c r="D44" s="1720" t="s">
        <v>3060</v>
      </c>
      <c r="E44" s="1774"/>
      <c r="F44" s="1721"/>
      <c r="G44" s="1676"/>
      <c r="H44" s="1676"/>
      <c r="I44" s="1689"/>
      <c r="J44" s="1676"/>
      <c r="K44" s="1756"/>
      <c r="L44" s="1705"/>
      <c r="M44" s="1705"/>
      <c r="N44" s="1676"/>
      <c r="O44" s="1677"/>
      <c r="P44" s="1676"/>
      <c r="Q44" s="1676"/>
      <c r="R44" s="1676"/>
      <c r="S44" s="1676"/>
      <c r="T44" s="1676"/>
      <c r="U44" s="1676"/>
    </row>
    <row r="45" spans="1:21" s="2899" customFormat="1" ht="21" thickBot="1">
      <c r="A45" s="2900" t="s">
        <v>2888</v>
      </c>
      <c r="B45" s="2895"/>
      <c r="C45" s="2895"/>
      <c r="D45" s="2895"/>
      <c r="E45" s="2895"/>
      <c r="F45" s="2895"/>
      <c r="G45" s="2895"/>
      <c r="H45" s="2895"/>
      <c r="I45" s="2896"/>
      <c r="J45" s="2895"/>
      <c r="K45" s="2897"/>
      <c r="L45" s="2898"/>
      <c r="M45" s="2898"/>
      <c r="N45" s="2895"/>
      <c r="O45" s="2896"/>
      <c r="P45" s="2895"/>
      <c r="Q45" s="2895"/>
      <c r="R45" s="2895"/>
      <c r="S45" s="2895"/>
      <c r="T45" s="2895"/>
      <c r="U45" s="2895"/>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2004</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2005</v>
      </c>
      <c r="B48" s="1668" t="s">
        <v>2006</v>
      </c>
      <c r="C48" s="1668" t="s">
        <v>2007</v>
      </c>
      <c r="D48" s="1668" t="s">
        <v>2008</v>
      </c>
      <c r="E48" s="1668" t="s">
        <v>2009</v>
      </c>
      <c r="F48" s="1668" t="s">
        <v>2010</v>
      </c>
      <c r="G48" s="1668" t="s">
        <v>2011</v>
      </c>
      <c r="H48" s="1668" t="s">
        <v>2012</v>
      </c>
      <c r="I48" s="1668" t="s">
        <v>2013</v>
      </c>
      <c r="J48" s="1754" t="s">
        <v>2014</v>
      </c>
      <c r="K48" s="1748" t="s">
        <v>2015</v>
      </c>
      <c r="L48" s="1748" t="s">
        <v>2016</v>
      </c>
      <c r="M48" s="1748" t="s">
        <v>2017</v>
      </c>
      <c r="N48" s="1668" t="s">
        <v>2018</v>
      </c>
      <c r="O48" s="1668" t="s">
        <v>2019</v>
      </c>
      <c r="P48" s="1668" t="s">
        <v>2020</v>
      </c>
      <c r="Q48" s="1681" t="s">
        <v>2021</v>
      </c>
      <c r="R48" s="1681" t="s">
        <v>2022</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D13" activePane="bottomRight" state="frozen"/>
      <selection pane="topRight" activeCell="E1" sqref="E1"/>
      <selection pane="bottomLeft" activeCell="A12" sqref="A12"/>
      <selection pane="bottomRight" activeCell="B16" sqref="B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25"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2330</v>
      </c>
      <c r="BA2" s="2323"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798900</v>
      </c>
      <c r="B3" s="22">
        <f>IF(C3="否",G5-AT5,G5)</f>
        <v>2347917.9900000002</v>
      </c>
      <c r="C3" s="23" t="s">
        <v>3039</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2347917.9900000002</v>
      </c>
      <c r="H5" s="27">
        <f t="shared" ref="H5:AT5" si="0">SUM(H13:H641)</f>
        <v>2213047.9900000002</v>
      </c>
      <c r="I5" s="27">
        <f t="shared" si="0"/>
        <v>24384</v>
      </c>
      <c r="J5" s="27">
        <f t="shared" si="0"/>
        <v>0</v>
      </c>
      <c r="K5" s="27">
        <f t="shared" si="0"/>
        <v>961875</v>
      </c>
      <c r="L5" s="27">
        <f t="shared" si="0"/>
        <v>0</v>
      </c>
      <c r="M5" s="27">
        <f t="shared" si="0"/>
        <v>232696</v>
      </c>
      <c r="N5" s="27">
        <f t="shared" si="0"/>
        <v>0</v>
      </c>
      <c r="O5" s="27">
        <f t="shared" si="0"/>
        <v>164092.99</v>
      </c>
      <c r="P5" s="27">
        <f t="shared" si="0"/>
        <v>0</v>
      </c>
      <c r="Q5" s="27">
        <f t="shared" si="0"/>
        <v>415000</v>
      </c>
      <c r="R5" s="27">
        <f t="shared" si="0"/>
        <v>0</v>
      </c>
      <c r="S5" s="27">
        <f t="shared" si="0"/>
        <v>415000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134870</v>
      </c>
      <c r="AD5" s="27">
        <f t="shared" si="0"/>
        <v>134870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2347917.9900000002</v>
      </c>
      <c r="BA5" s="29">
        <f t="shared" si="1"/>
        <v>2213047.9900000002</v>
      </c>
      <c r="BB5" s="29">
        <f t="shared" si="1"/>
        <v>24384</v>
      </c>
      <c r="BC5" s="29">
        <f t="shared" si="1"/>
        <v>961875</v>
      </c>
      <c r="BD5" s="29">
        <f t="shared" si="1"/>
        <v>232696</v>
      </c>
      <c r="BE5" s="29">
        <f t="shared" si="1"/>
        <v>164092.99</v>
      </c>
      <c r="BF5" s="29">
        <f t="shared" si="1"/>
        <v>415000</v>
      </c>
      <c r="BG5" s="29">
        <f t="shared" si="1"/>
        <v>415000</v>
      </c>
      <c r="BH5" s="29">
        <f t="shared" si="1"/>
        <v>0</v>
      </c>
      <c r="BI5" s="29">
        <f t="shared" si="1"/>
        <v>0</v>
      </c>
      <c r="BJ5" s="29">
        <f t="shared" si="1"/>
        <v>0</v>
      </c>
      <c r="BK5" s="29">
        <f t="shared" si="1"/>
        <v>0</v>
      </c>
      <c r="BL5" s="29">
        <f t="shared" si="1"/>
        <v>134870</v>
      </c>
      <c r="BM5" s="29">
        <f t="shared" si="1"/>
        <v>134870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798899.99</v>
      </c>
      <c r="F6" s="27" t="s">
        <v>1</v>
      </c>
      <c r="G6" s="27" t="s">
        <v>2</v>
      </c>
      <c r="H6" s="33">
        <f>SUMIF(I$12:AB$12,"总值",I6:AB6)</f>
        <v>753009.27</v>
      </c>
      <c r="I6" s="27">
        <f t="shared" ref="I6:AB6" si="2">ROUND($A$3*I5/$B$3,2)</f>
        <v>8296.8700000000008</v>
      </c>
      <c r="J6" s="27">
        <f t="shared" si="2"/>
        <v>0</v>
      </c>
      <c r="K6" s="27">
        <f t="shared" si="2"/>
        <v>327286.53000000003</v>
      </c>
      <c r="L6" s="27">
        <f t="shared" si="2"/>
        <v>0</v>
      </c>
      <c r="M6" s="27">
        <f t="shared" si="2"/>
        <v>79176.89</v>
      </c>
      <c r="N6" s="27">
        <f t="shared" si="2"/>
        <v>0</v>
      </c>
      <c r="O6" s="27">
        <f t="shared" si="2"/>
        <v>55834.1</v>
      </c>
      <c r="P6" s="27">
        <f t="shared" si="2"/>
        <v>0</v>
      </c>
      <c r="Q6" s="27">
        <f t="shared" si="2"/>
        <v>141207.44</v>
      </c>
      <c r="R6" s="27">
        <f t="shared" si="2"/>
        <v>0</v>
      </c>
      <c r="S6" s="27">
        <f t="shared" si="2"/>
        <v>141207.44</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45890.720000000001</v>
      </c>
      <c r="AD6" s="27">
        <f t="shared" ref="AD6:AS6" si="3">ROUND($A$3*AD5/$B$3,2)</f>
        <v>45890.720000000001</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798900</v>
      </c>
      <c r="AZ6" s="27" t="s">
        <v>3</v>
      </c>
      <c r="BA6" s="27">
        <f>ROUND($AY$6*BA5/$AZ$5,2)</f>
        <v>753009.28</v>
      </c>
      <c r="BB6" s="27">
        <f>ROUND($AY$6*BB5/$AZ$5,2)</f>
        <v>8296.8700000000008</v>
      </c>
      <c r="BC6" s="27">
        <f t="shared" ref="BC6:BH6" si="4">ROUND($AY$6*BC5/$AZ$5,2)</f>
        <v>327286.53000000003</v>
      </c>
      <c r="BD6" s="27">
        <f t="shared" si="4"/>
        <v>79176.89</v>
      </c>
      <c r="BE6" s="27">
        <f t="shared" si="4"/>
        <v>55834.1</v>
      </c>
      <c r="BF6" s="27">
        <f t="shared" si="4"/>
        <v>141207.44</v>
      </c>
      <c r="BG6" s="27">
        <f t="shared" si="4"/>
        <v>141207.44</v>
      </c>
      <c r="BH6" s="27">
        <f t="shared" si="4"/>
        <v>0</v>
      </c>
      <c r="BI6" s="27">
        <f t="shared" ref="BI6:BT6" si="5">ROUND($AY$6*BI5/$AZ$5,2)</f>
        <v>0</v>
      </c>
      <c r="BJ6" s="27">
        <f t="shared" si="5"/>
        <v>0</v>
      </c>
      <c r="BK6" s="27">
        <f t="shared" si="5"/>
        <v>0</v>
      </c>
      <c r="BL6" s="27">
        <f t="shared" si="5"/>
        <v>45890.720000000001</v>
      </c>
      <c r="BM6" s="27">
        <f t="shared" si="5"/>
        <v>45890.720000000001</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852" t="s">
        <v>2999</v>
      </c>
      <c r="J9" s="51"/>
      <c r="K9" s="2852" t="s">
        <v>2999</v>
      </c>
      <c r="L9" s="51"/>
      <c r="M9" s="2852" t="s">
        <v>2999</v>
      </c>
      <c r="N9" s="51"/>
      <c r="O9" s="59" t="s">
        <v>2999</v>
      </c>
      <c r="P9" s="51"/>
      <c r="Q9" s="59" t="s">
        <v>3062</v>
      </c>
      <c r="R9" s="51"/>
      <c r="S9" s="59" t="s">
        <v>3062</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852" t="s">
        <v>923</v>
      </c>
      <c r="J10" s="51"/>
      <c r="K10" s="2854" t="s">
        <v>923</v>
      </c>
      <c r="L10" s="51"/>
      <c r="M10" s="2854" t="s">
        <v>3061</v>
      </c>
      <c r="N10" s="51"/>
      <c r="O10" s="66" t="s">
        <v>1677</v>
      </c>
      <c r="P10" s="51"/>
      <c r="Q10" s="66" t="s">
        <v>3063</v>
      </c>
      <c r="R10" s="51"/>
      <c r="S10" s="66" t="s">
        <v>3064</v>
      </c>
      <c r="T10" s="51"/>
      <c r="U10" s="66"/>
      <c r="V10" s="51"/>
      <c r="W10" s="66"/>
      <c r="X10" s="51"/>
      <c r="Y10" s="66"/>
      <c r="Z10" s="51"/>
      <c r="AA10" s="66"/>
      <c r="AB10" s="51"/>
      <c r="AC10" s="55"/>
      <c r="AD10" s="2297" t="s">
        <v>2314</v>
      </c>
      <c r="AE10" s="2319"/>
      <c r="AF10" s="2297" t="s">
        <v>2314</v>
      </c>
      <c r="AG10" s="2319"/>
      <c r="AH10" s="2297" t="s">
        <v>2315</v>
      </c>
      <c r="AI10" s="2319"/>
      <c r="AJ10" s="26" t="s">
        <v>2328</v>
      </c>
      <c r="AK10" s="2316"/>
      <c r="AL10" s="2297" t="s">
        <v>2316</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地上</v>
      </c>
      <c r="BE10" s="69" t="str">
        <f>O9</f>
        <v>地上</v>
      </c>
      <c r="BF10" s="69" t="str">
        <f>Q9</f>
        <v>地下</v>
      </c>
      <c r="BG10" s="69" t="str">
        <f>S9</f>
        <v>地下</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853" t="s">
        <v>3107</v>
      </c>
      <c r="J11" s="71"/>
      <c r="K11" s="2853" t="s">
        <v>3214</v>
      </c>
      <c r="L11" s="71"/>
      <c r="M11" s="70"/>
      <c r="N11" s="71"/>
      <c r="O11" s="70"/>
      <c r="P11" s="71"/>
      <c r="Q11" s="70"/>
      <c r="R11" s="71"/>
      <c r="S11" s="70"/>
      <c r="T11" s="71"/>
      <c r="U11" s="70"/>
      <c r="V11" s="71"/>
      <c r="W11" s="70"/>
      <c r="X11" s="71"/>
      <c r="Y11" s="70"/>
      <c r="Z11" s="71"/>
      <c r="AA11" s="70"/>
      <c r="AB11" s="71"/>
      <c r="AC11" s="55"/>
      <c r="AD11" s="2317" t="s">
        <v>2327</v>
      </c>
      <c r="AE11" s="1001"/>
      <c r="AF11" s="2317" t="s">
        <v>2327</v>
      </c>
      <c r="AG11" s="1001"/>
      <c r="AH11" s="2317" t="s">
        <v>2326</v>
      </c>
      <c r="AI11" s="2318"/>
      <c r="AJ11" s="2317" t="s">
        <v>2326</v>
      </c>
      <c r="AK11" s="2316"/>
      <c r="AL11" s="999"/>
      <c r="AM11" s="1001"/>
      <c r="AN11" s="999"/>
      <c r="AO11" s="1001"/>
      <c r="AP11" s="1183"/>
      <c r="AQ11" s="1185"/>
      <c r="AR11" s="1183"/>
      <c r="AS11" s="1185"/>
      <c r="AT11" s="1002"/>
      <c r="AU11" s="45"/>
      <c r="AV11" s="55"/>
      <c r="AW11" s="1002"/>
      <c r="AX11" s="55"/>
      <c r="AY11" s="62"/>
      <c r="AZ11" s="62"/>
      <c r="BA11" s="62"/>
      <c r="BB11" s="50" t="str">
        <f>I10</f>
        <v>住宅</v>
      </c>
      <c r="BC11" s="50" t="str">
        <f>K10</f>
        <v>住宅</v>
      </c>
      <c r="BD11" s="50" t="str">
        <f>M10</f>
        <v>商业</v>
      </c>
      <c r="BE11" s="50" t="str">
        <f>O10</f>
        <v>办公</v>
      </c>
      <c r="BF11" s="50" t="str">
        <f>Q10</f>
        <v>仓储</v>
      </c>
      <c r="BG11" s="50" t="str">
        <f>S10</f>
        <v>车库</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安置房</v>
      </c>
      <c r="BC12" s="79" t="str">
        <f>K11</f>
        <v>公租房</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847"/>
      <c r="B13" s="2847"/>
      <c r="C13" s="2847"/>
      <c r="D13" s="2848" t="s">
        <v>1678</v>
      </c>
      <c r="E13" s="27">
        <f t="shared" ref="E13:E20" si="6">IF($C$3="是",ROUND($A$3*G13/$B$3,2),ROUND($A$3*(G13-AT13)/$B$3,2))</f>
        <v>798900</v>
      </c>
      <c r="F13" s="81"/>
      <c r="G13" s="82">
        <f t="shared" ref="G13:G20" si="7">H13+AC13+AT13</f>
        <v>2347917.9900000002</v>
      </c>
      <c r="H13" s="33">
        <f t="shared" ref="H13:H20" si="8">SUMIF(I$12:AB$12,"总值",I13:AB13)</f>
        <v>2213047.9900000002</v>
      </c>
      <c r="I13" s="2851">
        <f>面积表!E6</f>
        <v>24384</v>
      </c>
      <c r="J13" s="2851"/>
      <c r="K13" s="2851">
        <f>面积表!E7+面积表!E14</f>
        <v>961875</v>
      </c>
      <c r="L13" s="2851"/>
      <c r="M13" s="2851">
        <f>面积表!E9+面积表!E17</f>
        <v>232696</v>
      </c>
      <c r="N13" s="83"/>
      <c r="O13" s="83">
        <f>面积表!E8+面积表!E16</f>
        <v>164092.99</v>
      </c>
      <c r="P13" s="83"/>
      <c r="Q13" s="83">
        <f>面积表!E25-S13</f>
        <v>415000</v>
      </c>
      <c r="R13" s="83"/>
      <c r="S13" s="83">
        <f>面积表!E25/2</f>
        <v>415000</v>
      </c>
      <c r="T13" s="83"/>
      <c r="U13" s="83"/>
      <c r="V13" s="83"/>
      <c r="W13" s="83"/>
      <c r="X13" s="83"/>
      <c r="Y13" s="83"/>
      <c r="Z13" s="83"/>
      <c r="AA13" s="83"/>
      <c r="AB13" s="83"/>
      <c r="AC13" s="27">
        <f t="shared" ref="AC13:AC20" si="9">SUMIF(AD$12:AS$12,"总值",AD13:AS13)</f>
        <v>134870</v>
      </c>
      <c r="AD13" s="2855">
        <f>面积表!E10+面积表!E11+面积表!E12+面积表!E18+面积表!E19+面积表!E20</f>
        <v>134870</v>
      </c>
      <c r="AE13" s="2855"/>
      <c r="AF13" s="2855"/>
      <c r="AG13" s="2855"/>
      <c r="AH13" s="2855"/>
      <c r="AI13" s="2855"/>
      <c r="AJ13" s="2855"/>
      <c r="AK13" s="2855"/>
      <c r="AL13" s="2855"/>
      <c r="AM13" s="2855"/>
      <c r="AN13" s="2855"/>
      <c r="AO13" s="2855"/>
      <c r="AP13" s="2855"/>
      <c r="AQ13" s="2855"/>
      <c r="AR13" s="2855"/>
      <c r="AS13" s="2855"/>
      <c r="AT13" s="2856"/>
      <c r="AU13" s="2857"/>
      <c r="AV13" s="17">
        <f t="shared" ref="AV13:AX20" si="10">A13</f>
        <v>0</v>
      </c>
      <c r="AW13" s="17">
        <f t="shared" si="10"/>
        <v>0</v>
      </c>
      <c r="AX13" s="17">
        <f t="shared" si="10"/>
        <v>0</v>
      </c>
      <c r="AY13" s="995">
        <f t="shared" ref="AY13:AY20" si="11">ROUND($AY$6*AZ13/$AZ$5,2)</f>
        <v>798900</v>
      </c>
      <c r="AZ13" s="27">
        <f t="shared" ref="AZ13:AZ20" si="12">BA13+BL13</f>
        <v>2347917.9900000002</v>
      </c>
      <c r="BA13" s="27">
        <f t="shared" ref="BA13:BA20" si="13">SUM(BB13:BK13)</f>
        <v>2213047.9900000002</v>
      </c>
      <c r="BB13" s="27">
        <f t="shared" ref="BB13:BB20" si="14">IF($D13="是",I13-J13,0)</f>
        <v>24384</v>
      </c>
      <c r="BC13" s="27">
        <f t="shared" ref="BC13:BC20" si="15">IF($D13="是",K13-L13,0)</f>
        <v>961875</v>
      </c>
      <c r="BD13" s="27">
        <f t="shared" ref="BD13:BD20" si="16">IF($D13="是",M13-N13,0)</f>
        <v>232696</v>
      </c>
      <c r="BE13" s="27">
        <f t="shared" ref="BE13:BE20" si="17">IF($D13="是",O13-P13,0)</f>
        <v>164092.99</v>
      </c>
      <c r="BF13" s="27">
        <f t="shared" ref="BF13:BF20" si="18">IF($D13="是",Q13-R13,0)</f>
        <v>415000</v>
      </c>
      <c r="BG13" s="27">
        <f t="shared" ref="BG13:BG20" si="19">IF($D13="是",S13-T13,0)</f>
        <v>415000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134870</v>
      </c>
      <c r="BM13" s="27">
        <f t="shared" ref="BM13:BM20" si="25">IF($D13="是",AD13-AE13,0)</f>
        <v>134870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847"/>
      <c r="B14" s="2847"/>
      <c r="C14" s="2849"/>
      <c r="D14" s="2848"/>
      <c r="E14" s="27">
        <f t="shared" si="6"/>
        <v>0</v>
      </c>
      <c r="F14" s="81"/>
      <c r="G14" s="82">
        <f t="shared" si="7"/>
        <v>0</v>
      </c>
      <c r="H14" s="33">
        <f t="shared" si="8"/>
        <v>0</v>
      </c>
      <c r="I14" s="2851"/>
      <c r="J14" s="2851"/>
      <c r="K14" s="2851"/>
      <c r="L14" s="2851"/>
      <c r="M14" s="2851"/>
      <c r="N14" s="83"/>
      <c r="O14" s="83"/>
      <c r="P14" s="83"/>
      <c r="Q14" s="83"/>
      <c r="R14" s="83"/>
      <c r="S14" s="83"/>
      <c r="T14" s="83"/>
      <c r="U14" s="83"/>
      <c r="V14" s="83"/>
      <c r="W14" s="83"/>
      <c r="X14" s="83"/>
      <c r="Y14" s="83"/>
      <c r="Z14" s="83"/>
      <c r="AA14" s="83"/>
      <c r="AB14" s="83"/>
      <c r="AC14" s="27">
        <f t="shared" si="9"/>
        <v>0</v>
      </c>
      <c r="AD14" s="2855"/>
      <c r="AE14" s="2855"/>
      <c r="AF14" s="2855"/>
      <c r="AG14" s="2855"/>
      <c r="AH14" s="2855"/>
      <c r="AI14" s="2855"/>
      <c r="AJ14" s="2855"/>
      <c r="AK14" s="2855"/>
      <c r="AL14" s="2855"/>
      <c r="AM14" s="2855"/>
      <c r="AN14" s="2855"/>
      <c r="AO14" s="2855"/>
      <c r="AP14" s="2855"/>
      <c r="AQ14" s="2855"/>
      <c r="AR14" s="2855"/>
      <c r="AS14" s="2855"/>
      <c r="AT14" s="2856"/>
      <c r="AU14" s="2857"/>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847"/>
      <c r="B15" s="2847"/>
      <c r="C15" s="2849"/>
      <c r="D15" s="2848"/>
      <c r="E15" s="27">
        <f t="shared" si="6"/>
        <v>0</v>
      </c>
      <c r="F15" s="81"/>
      <c r="G15" s="82">
        <f t="shared" si="7"/>
        <v>0</v>
      </c>
      <c r="H15" s="33">
        <f t="shared" si="8"/>
        <v>0</v>
      </c>
      <c r="I15" s="2851"/>
      <c r="J15" s="2851"/>
      <c r="K15" s="2851"/>
      <c r="L15" s="2851"/>
      <c r="M15" s="2851"/>
      <c r="N15" s="83"/>
      <c r="O15" s="83"/>
      <c r="P15" s="83"/>
      <c r="Q15" s="83"/>
      <c r="R15" s="83"/>
      <c r="S15" s="83"/>
      <c r="T15" s="83"/>
      <c r="U15" s="83"/>
      <c r="V15" s="83"/>
      <c r="W15" s="83"/>
      <c r="X15" s="83"/>
      <c r="Y15" s="83"/>
      <c r="Z15" s="83"/>
      <c r="AA15" s="83"/>
      <c r="AB15" s="83"/>
      <c r="AC15" s="27">
        <f t="shared" si="9"/>
        <v>0</v>
      </c>
      <c r="AD15" s="2855"/>
      <c r="AE15" s="2855"/>
      <c r="AF15" s="2855"/>
      <c r="AG15" s="2855"/>
      <c r="AH15" s="2855"/>
      <c r="AI15" s="2855"/>
      <c r="AJ15" s="2855"/>
      <c r="AK15" s="2855"/>
      <c r="AL15" s="2855"/>
      <c r="AM15" s="2855"/>
      <c r="AN15" s="2855"/>
      <c r="AO15" s="2855"/>
      <c r="AP15" s="2855"/>
      <c r="AQ15" s="2855"/>
      <c r="AR15" s="2855"/>
      <c r="AS15" s="2855"/>
      <c r="AT15" s="2856"/>
      <c r="AU15" s="2857"/>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847"/>
      <c r="B16" s="2847"/>
      <c r="C16" s="2849"/>
      <c r="D16" s="2848"/>
      <c r="E16" s="27">
        <f t="shared" si="6"/>
        <v>0</v>
      </c>
      <c r="F16" s="81"/>
      <c r="G16" s="82">
        <f t="shared" si="7"/>
        <v>0</v>
      </c>
      <c r="H16" s="33">
        <f t="shared" si="8"/>
        <v>0</v>
      </c>
      <c r="I16" s="2851"/>
      <c r="J16" s="2851"/>
      <c r="K16" s="2851"/>
      <c r="L16" s="2851"/>
      <c r="M16" s="2851"/>
      <c r="N16" s="83"/>
      <c r="O16" s="83"/>
      <c r="P16" s="83"/>
      <c r="Q16" s="83"/>
      <c r="R16" s="83"/>
      <c r="S16" s="83"/>
      <c r="T16" s="83"/>
      <c r="U16" s="83"/>
      <c r="V16" s="83"/>
      <c r="W16" s="83"/>
      <c r="X16" s="83"/>
      <c r="Y16" s="83"/>
      <c r="Z16" s="83"/>
      <c r="AA16" s="83"/>
      <c r="AB16" s="83"/>
      <c r="AC16" s="27">
        <f t="shared" si="9"/>
        <v>0</v>
      </c>
      <c r="AD16" s="2855"/>
      <c r="AE16" s="2855"/>
      <c r="AF16" s="2855"/>
      <c r="AG16" s="2855"/>
      <c r="AH16" s="2855"/>
      <c r="AI16" s="2855"/>
      <c r="AJ16" s="2855"/>
      <c r="AK16" s="2855"/>
      <c r="AL16" s="2855"/>
      <c r="AM16" s="2855"/>
      <c r="AN16" s="2855"/>
      <c r="AO16" s="2855"/>
      <c r="AP16" s="2855"/>
      <c r="AQ16" s="2855"/>
      <c r="AR16" s="2855"/>
      <c r="AS16" s="2855"/>
      <c r="AT16" s="2856"/>
      <c r="AU16" s="2857"/>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847"/>
      <c r="B17" s="2847"/>
      <c r="C17" s="2849"/>
      <c r="D17" s="2848"/>
      <c r="E17" s="27">
        <f t="shared" si="6"/>
        <v>0</v>
      </c>
      <c r="F17" s="81"/>
      <c r="G17" s="82">
        <f t="shared" si="7"/>
        <v>0</v>
      </c>
      <c r="H17" s="33">
        <f t="shared" si="8"/>
        <v>0</v>
      </c>
      <c r="I17" s="2851"/>
      <c r="J17" s="2851"/>
      <c r="K17" s="2851"/>
      <c r="L17" s="2851"/>
      <c r="M17" s="2851"/>
      <c r="N17" s="83"/>
      <c r="O17" s="83"/>
      <c r="P17" s="83"/>
      <c r="Q17" s="83"/>
      <c r="R17" s="83"/>
      <c r="S17" s="83"/>
      <c r="T17" s="83"/>
      <c r="U17" s="83"/>
      <c r="V17" s="83"/>
      <c r="W17" s="83"/>
      <c r="X17" s="83"/>
      <c r="Y17" s="83"/>
      <c r="Z17" s="83"/>
      <c r="AA17" s="83"/>
      <c r="AB17" s="83"/>
      <c r="AC17" s="27">
        <f t="shared" si="9"/>
        <v>0</v>
      </c>
      <c r="AD17" s="2855"/>
      <c r="AE17" s="2855"/>
      <c r="AF17" s="2855"/>
      <c r="AG17" s="2855"/>
      <c r="AH17" s="2855"/>
      <c r="AI17" s="2855"/>
      <c r="AJ17" s="2855"/>
      <c r="AK17" s="2855"/>
      <c r="AL17" s="2855"/>
      <c r="AM17" s="2855"/>
      <c r="AN17" s="2855"/>
      <c r="AO17" s="2855"/>
      <c r="AP17" s="2855"/>
      <c r="AQ17" s="2855"/>
      <c r="AR17" s="2855"/>
      <c r="AS17" s="2855"/>
      <c r="AT17" s="2856"/>
      <c r="AU17" s="285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850"/>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35" t="s">
        <v>0</v>
      </c>
      <c r="B1" s="3335" t="s">
        <v>4</v>
      </c>
      <c r="C1" s="3335" t="s">
        <v>5</v>
      </c>
      <c r="D1" s="3336" t="s">
        <v>40</v>
      </c>
      <c r="E1" s="3336" t="s">
        <v>41</v>
      </c>
      <c r="F1" s="3336"/>
      <c r="G1" s="3336"/>
      <c r="H1" s="3336"/>
      <c r="I1" s="3336"/>
      <c r="J1" s="3336"/>
      <c r="K1" s="3336"/>
      <c r="L1" s="3336"/>
      <c r="M1" s="3336"/>
    </row>
    <row r="2" spans="1:13" ht="27" customHeight="1">
      <c r="A2" s="3335"/>
      <c r="B2" s="3335"/>
      <c r="C2" s="3335"/>
      <c r="D2" s="3336"/>
      <c r="E2" s="3336" t="s">
        <v>24</v>
      </c>
      <c r="F2" s="3336" t="s">
        <v>25</v>
      </c>
      <c r="G2" s="3336"/>
      <c r="H2" s="3336"/>
      <c r="I2" s="3336"/>
      <c r="J2" s="3336" t="s">
        <v>26</v>
      </c>
      <c r="K2" s="3336"/>
      <c r="L2" s="3336"/>
      <c r="M2" s="3336"/>
    </row>
    <row r="3" spans="1:13" ht="28.5">
      <c r="A3" s="3335"/>
      <c r="B3" s="3335"/>
      <c r="C3" s="3335"/>
      <c r="D3" s="3336"/>
      <c r="E3" s="333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36" t="s">
        <v>42</v>
      </c>
      <c r="B9" s="3336"/>
      <c r="C9" s="333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G12" sqref="G12"/>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346" t="s">
        <v>203</v>
      </c>
      <c r="B2" s="3346"/>
      <c r="C2" s="3346"/>
      <c r="D2" s="1958" t="s">
        <v>204</v>
      </c>
      <c r="E2" s="106" t="s">
        <v>205</v>
      </c>
      <c r="F2" s="1967"/>
      <c r="G2" s="1193"/>
      <c r="H2" s="1194"/>
      <c r="I2" s="1195" t="s">
        <v>857</v>
      </c>
      <c r="J2" s="1967"/>
      <c r="K2" s="1967"/>
      <c r="L2" s="1967"/>
    </row>
    <row r="3" spans="1:16" ht="15.75" thickBot="1">
      <c r="A3" s="3347" t="s">
        <v>206</v>
      </c>
      <c r="B3" s="3347"/>
      <c r="C3" s="3347"/>
      <c r="D3" s="107">
        <f>'数据-基础表'!AY6</f>
        <v>798900</v>
      </c>
      <c r="E3" s="107">
        <f>'数据-基础表'!AZ5</f>
        <v>2347917.9900000002</v>
      </c>
      <c r="F3" s="1967"/>
      <c r="G3" s="279" t="s">
        <v>858</v>
      </c>
      <c r="H3" s="274" t="s">
        <v>859</v>
      </c>
      <c r="I3" s="1959">
        <f>ROUND('数据-基础表'!B3/'数据-基础表'!A3,2)</f>
        <v>2.94</v>
      </c>
      <c r="J3" s="1967"/>
      <c r="K3" s="1967"/>
      <c r="L3" s="1967"/>
    </row>
    <row r="4" spans="1:16" ht="15">
      <c r="A4" s="3348"/>
      <c r="B4" s="3349"/>
      <c r="C4" s="3350"/>
      <c r="D4" s="108" t="s">
        <v>204</v>
      </c>
      <c r="E4" s="109" t="s">
        <v>205</v>
      </c>
      <c r="F4" s="1967"/>
      <c r="G4" s="1196"/>
      <c r="H4" s="274" t="s">
        <v>860</v>
      </c>
      <c r="I4" s="1959">
        <f>ROUND(SUMIF('数据-基础表'!I9:AS9,"地上",'数据-基础表'!I5:AS5)/'数据-基础表'!A3,2)</f>
        <v>1.9</v>
      </c>
      <c r="J4" s="1967"/>
      <c r="K4" s="1967"/>
      <c r="L4" s="1967"/>
    </row>
    <row r="5" spans="1:16">
      <c r="A5" s="110" t="s">
        <v>207</v>
      </c>
      <c r="B5" s="3351" t="s">
        <v>230</v>
      </c>
      <c r="C5" s="3351"/>
      <c r="D5" s="111">
        <f>ROUND($D$3*E5/$E$3,2)</f>
        <v>335583.41</v>
      </c>
      <c r="E5" s="112">
        <f>SUMIF('数据-基础表'!$11:$11,"住宅",'数据-基础表'!$5:$5)</f>
        <v>986259</v>
      </c>
      <c r="F5" s="1967"/>
      <c r="G5" s="279" t="s">
        <v>861</v>
      </c>
      <c r="H5" s="274" t="s">
        <v>859</v>
      </c>
      <c r="I5" s="1959">
        <f>ROUND(E31/D31,2)</f>
        <v>2.94</v>
      </c>
      <c r="J5" s="1967"/>
      <c r="K5" s="1967"/>
      <c r="L5" s="1967"/>
    </row>
    <row r="6" spans="1:16" ht="15" thickBot="1">
      <c r="A6" s="113"/>
      <c r="B6" s="3351" t="s">
        <v>208</v>
      </c>
      <c r="C6" s="3351"/>
      <c r="D6" s="111">
        <f>ROUND($D$3*E6/$E$3,2)</f>
        <v>463316.59</v>
      </c>
      <c r="E6" s="112">
        <f>E3-E5</f>
        <v>1361658.9900000002</v>
      </c>
      <c r="F6" s="1967"/>
      <c r="G6" s="1196"/>
      <c r="H6" s="274" t="s">
        <v>860</v>
      </c>
      <c r="I6" s="1959">
        <f>ROUND(F31/D31,2)</f>
        <v>1.9</v>
      </c>
      <c r="J6" s="1967"/>
      <c r="K6" s="1967"/>
      <c r="L6" s="1967"/>
    </row>
    <row r="7" spans="1:16" ht="15">
      <c r="A7" s="3343"/>
      <c r="B7" s="3344"/>
      <c r="C7" s="3345"/>
      <c r="D7" s="108" t="s">
        <v>204</v>
      </c>
      <c r="E7" s="114" t="s">
        <v>231</v>
      </c>
      <c r="F7" s="1967"/>
      <c r="G7" s="1151" t="s">
        <v>1645</v>
      </c>
      <c r="H7" s="1152"/>
      <c r="I7" s="1829">
        <f>I6</f>
        <v>1.9</v>
      </c>
      <c r="J7" s="1967"/>
      <c r="K7" s="1967"/>
      <c r="L7" s="1967"/>
    </row>
    <row r="8" spans="1:16">
      <c r="A8" s="110" t="s">
        <v>209</v>
      </c>
      <c r="B8" s="115" t="s">
        <v>210</v>
      </c>
      <c r="C8" s="111" t="s">
        <v>211</v>
      </c>
      <c r="D8" s="111">
        <f t="shared" ref="D8:D15" si="0">ROUND($D$3*E8/$E$3,2)</f>
        <v>470594.39</v>
      </c>
      <c r="E8" s="116">
        <f>SUMIF('数据-基础表'!BB10:BK10,"地上",'数据-基础表'!BB5:BK5)</f>
        <v>1383047.99</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2324</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141207.44</v>
      </c>
      <c r="E12" s="116">
        <f>SUMPRODUCT(('数据-基础表'!BB10:BK10="地下")*('数据-基础表'!BB11:BK11="仓储")*('数据-基础表'!BB5:BK5))</f>
        <v>415000</v>
      </c>
      <c r="F12" s="1967"/>
      <c r="G12" s="1969"/>
      <c r="H12" s="1969"/>
      <c r="I12" s="1967"/>
      <c r="J12" s="1967"/>
      <c r="K12" s="1967"/>
      <c r="L12" s="1967"/>
    </row>
    <row r="13" spans="1:16">
      <c r="A13" s="117"/>
      <c r="B13" s="118"/>
      <c r="C13" s="2314" t="s">
        <v>2331</v>
      </c>
      <c r="D13" s="111">
        <f t="shared" si="0"/>
        <v>141207.44</v>
      </c>
      <c r="E13" s="116">
        <f>SUMPRODUCT(('数据-基础表'!BB10:BK10="地下")*('数据-基础表'!BB11:BK11="车库")*('数据-基础表'!BB5:BK5))</f>
        <v>415000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753009.27</v>
      </c>
      <c r="E16" s="120">
        <f>SUM(E8:E15)</f>
        <v>2213047.9900000002</v>
      </c>
      <c r="F16" s="1967"/>
      <c r="G16" s="1969"/>
      <c r="H16" s="967" t="s">
        <v>219</v>
      </c>
      <c r="I16" s="968"/>
      <c r="J16" s="1967"/>
      <c r="K16" s="3337" t="s">
        <v>2563</v>
      </c>
      <c r="L16" s="3338"/>
      <c r="M16" s="3338"/>
      <c r="N16" s="3338"/>
      <c r="O16" s="3338"/>
      <c r="P16" s="3339"/>
    </row>
    <row r="17" spans="1:19" ht="15">
      <c r="A17" s="121" t="s">
        <v>216</v>
      </c>
      <c r="B17" s="122" t="s">
        <v>217</v>
      </c>
      <c r="C17" s="2281" t="s">
        <v>2310</v>
      </c>
      <c r="D17" s="108" t="s">
        <v>204</v>
      </c>
      <c r="E17" s="124" t="s">
        <v>205</v>
      </c>
      <c r="F17" s="125"/>
      <c r="G17" s="1360"/>
      <c r="H17" s="969" t="s">
        <v>218</v>
      </c>
      <c r="I17" s="970" t="s">
        <v>2309</v>
      </c>
      <c r="J17" s="1967"/>
      <c r="K17" s="3340" t="s">
        <v>2564</v>
      </c>
      <c r="L17" s="3341"/>
      <c r="M17" s="3342"/>
      <c r="N17" s="3340" t="s">
        <v>2565</v>
      </c>
      <c r="O17" s="3341"/>
      <c r="P17" s="3342"/>
      <c r="R17" s="2282" t="s">
        <v>2308</v>
      </c>
      <c r="S17" s="144"/>
    </row>
    <row r="18" spans="1:19" ht="15">
      <c r="A18" s="117"/>
      <c r="B18" s="128"/>
      <c r="C18" s="129"/>
      <c r="D18" s="2604"/>
      <c r="E18" s="130" t="s">
        <v>220</v>
      </c>
      <c r="F18" s="131" t="s">
        <v>221</v>
      </c>
      <c r="G18" s="1361" t="s">
        <v>222</v>
      </c>
      <c r="H18" s="971" t="s">
        <v>223</v>
      </c>
      <c r="I18" s="972" t="s">
        <v>224</v>
      </c>
      <c r="J18" s="1967"/>
      <c r="K18" s="2567" t="s">
        <v>2566</v>
      </c>
      <c r="L18" s="2568" t="s">
        <v>2567</v>
      </c>
      <c r="M18" s="2569" t="s">
        <v>2568</v>
      </c>
      <c r="N18" s="2567" t="s">
        <v>2566</v>
      </c>
      <c r="O18" s="2568" t="s">
        <v>2567</v>
      </c>
      <c r="P18" s="2569" t="s">
        <v>2568</v>
      </c>
      <c r="R18" s="2283" t="s">
        <v>2306</v>
      </c>
      <c r="S18" s="2283" t="s">
        <v>2307</v>
      </c>
    </row>
    <row r="19" spans="1:19">
      <c r="A19" s="133"/>
      <c r="B19" s="115" t="s">
        <v>225</v>
      </c>
      <c r="C19" s="2858" t="s">
        <v>3065</v>
      </c>
      <c r="D19" s="111">
        <f t="shared" ref="D19:D26" si="1">ROUND($D$3*E19/$E$3,2)</f>
        <v>335583.41</v>
      </c>
      <c r="E19" s="134">
        <f t="shared" ref="E19:E26" si="2">SUM(F19:G19)</f>
        <v>986259</v>
      </c>
      <c r="F19" s="135">
        <f>'数据-基础表'!I13+'数据-基础表'!K13</f>
        <v>986259</v>
      </c>
      <c r="G19" s="1362"/>
      <c r="H19" s="973">
        <f>ROUND($D$3*I19/$E$3,2)</f>
        <v>45890.720000000001</v>
      </c>
      <c r="I19" s="116">
        <f>IF($I$17="自定义",P19,M19)</f>
        <v>134870</v>
      </c>
      <c r="J19" s="1967"/>
      <c r="K19" s="2570">
        <f t="shared" ref="K19:K26" si="3">ROUND(E$28*E19/E$27,2)</f>
        <v>0</v>
      </c>
      <c r="L19" s="274">
        <f t="shared" ref="L19:L26" si="4">ROUND(IF(COUNTIF(C19,"*住宅*")&gt;0,E$29*E19/E$32,0),2)</f>
        <v>134870</v>
      </c>
      <c r="M19" s="2571">
        <f>K19+L19</f>
        <v>134870</v>
      </c>
      <c r="N19" s="2572"/>
      <c r="O19" s="2573"/>
      <c r="P19" s="2574">
        <f>N19+O19</f>
        <v>0</v>
      </c>
      <c r="R19" s="274">
        <f t="shared" ref="R19:S26" si="5">D19+H19</f>
        <v>381474.13</v>
      </c>
      <c r="S19" s="2284">
        <f t="shared" si="5"/>
        <v>1121129</v>
      </c>
    </row>
    <row r="20" spans="1:19">
      <c r="A20" s="138"/>
      <c r="B20" s="115" t="s">
        <v>226</v>
      </c>
      <c r="C20" s="2858" t="s">
        <v>3066</v>
      </c>
      <c r="D20" s="111">
        <f t="shared" si="1"/>
        <v>79176.89</v>
      </c>
      <c r="E20" s="134">
        <f t="shared" si="2"/>
        <v>232696</v>
      </c>
      <c r="F20" s="135">
        <f>'数据-基础表'!M13</f>
        <v>232696</v>
      </c>
      <c r="G20" s="1362"/>
      <c r="H20" s="973">
        <f t="shared" ref="H20:H26" si="6">ROUND($D$3*I20/$E$3,2)</f>
        <v>0</v>
      </c>
      <c r="I20" s="116">
        <f t="shared" ref="I20:I26" si="7">IF($I$17="自定义",P20,M20)</f>
        <v>0</v>
      </c>
      <c r="J20" s="1967"/>
      <c r="K20" s="2570">
        <f t="shared" si="3"/>
        <v>0</v>
      </c>
      <c r="L20" s="274">
        <f t="shared" si="4"/>
        <v>0</v>
      </c>
      <c r="M20" s="2571">
        <f t="shared" ref="M20:M26" si="8">K20+L20</f>
        <v>0</v>
      </c>
      <c r="N20" s="2572"/>
      <c r="O20" s="2573"/>
      <c r="P20" s="2574">
        <f t="shared" ref="P20:P26" si="9">N20+O20</f>
        <v>0</v>
      </c>
      <c r="R20" s="274">
        <f t="shared" si="5"/>
        <v>79176.89</v>
      </c>
      <c r="S20" s="2284">
        <f t="shared" si="5"/>
        <v>232696</v>
      </c>
    </row>
    <row r="21" spans="1:19">
      <c r="A21" s="138"/>
      <c r="B21" s="115" t="s">
        <v>226</v>
      </c>
      <c r="C21" s="2858" t="s">
        <v>3210</v>
      </c>
      <c r="D21" s="111">
        <f t="shared" si="1"/>
        <v>55834.1</v>
      </c>
      <c r="E21" s="134">
        <f t="shared" si="2"/>
        <v>164092.99</v>
      </c>
      <c r="F21" s="135">
        <f>'数据-基础表'!O13</f>
        <v>164092.99</v>
      </c>
      <c r="G21" s="1362"/>
      <c r="H21" s="973">
        <f t="shared" si="6"/>
        <v>0</v>
      </c>
      <c r="I21" s="116">
        <f t="shared" si="7"/>
        <v>0</v>
      </c>
      <c r="J21" s="1967"/>
      <c r="K21" s="2570">
        <f t="shared" si="3"/>
        <v>0</v>
      </c>
      <c r="L21" s="274">
        <f t="shared" si="4"/>
        <v>0</v>
      </c>
      <c r="M21" s="2571">
        <f t="shared" si="8"/>
        <v>0</v>
      </c>
      <c r="N21" s="2572"/>
      <c r="O21" s="2573"/>
      <c r="P21" s="2574">
        <f t="shared" si="9"/>
        <v>0</v>
      </c>
      <c r="R21" s="274">
        <f t="shared" si="5"/>
        <v>55834.1</v>
      </c>
      <c r="S21" s="2284">
        <f t="shared" si="5"/>
        <v>164092.99</v>
      </c>
    </row>
    <row r="22" spans="1:19">
      <c r="A22" s="138"/>
      <c r="B22" s="115" t="s">
        <v>226</v>
      </c>
      <c r="C22" s="3227" t="s">
        <v>3211</v>
      </c>
      <c r="D22" s="111">
        <f t="shared" si="1"/>
        <v>141207.44</v>
      </c>
      <c r="E22" s="134">
        <f t="shared" si="2"/>
        <v>415000</v>
      </c>
      <c r="F22" s="140"/>
      <c r="G22" s="1363">
        <f>'数据-基础表'!Q13</f>
        <v>415000</v>
      </c>
      <c r="H22" s="973">
        <f t="shared" si="6"/>
        <v>0</v>
      </c>
      <c r="I22" s="116">
        <f t="shared" si="7"/>
        <v>0</v>
      </c>
      <c r="J22" s="1967"/>
      <c r="K22" s="2570">
        <f t="shared" si="3"/>
        <v>0</v>
      </c>
      <c r="L22" s="274">
        <f t="shared" si="4"/>
        <v>0</v>
      </c>
      <c r="M22" s="2571">
        <f t="shared" si="8"/>
        <v>0</v>
      </c>
      <c r="N22" s="2572"/>
      <c r="O22" s="2573"/>
      <c r="P22" s="2574">
        <f t="shared" si="9"/>
        <v>0</v>
      </c>
      <c r="R22" s="274">
        <f t="shared" si="5"/>
        <v>141207.44</v>
      </c>
      <c r="S22" s="2284">
        <f t="shared" si="5"/>
        <v>415000</v>
      </c>
    </row>
    <row r="23" spans="1:19">
      <c r="A23" s="138"/>
      <c r="B23" s="115" t="s">
        <v>226</v>
      </c>
      <c r="C23" s="3227" t="s">
        <v>3212</v>
      </c>
      <c r="D23" s="111">
        <f>ROUND($D$3*E23/$E$3,2)</f>
        <v>141207.44</v>
      </c>
      <c r="E23" s="134">
        <f>SUM(F23:G23)</f>
        <v>415000</v>
      </c>
      <c r="F23" s="140"/>
      <c r="G23" s="1363">
        <f>'数据-基础表'!S13</f>
        <v>415000</v>
      </c>
      <c r="H23" s="973">
        <f>ROUND($D$3*I23/$E$3,2)</f>
        <v>0</v>
      </c>
      <c r="I23" s="116">
        <f t="shared" si="7"/>
        <v>0</v>
      </c>
      <c r="J23" s="1967"/>
      <c r="K23" s="2570">
        <f t="shared" si="3"/>
        <v>0</v>
      </c>
      <c r="L23" s="274">
        <f t="shared" si="4"/>
        <v>0</v>
      </c>
      <c r="M23" s="2571">
        <f t="shared" si="8"/>
        <v>0</v>
      </c>
      <c r="N23" s="2572"/>
      <c r="O23" s="2573"/>
      <c r="P23" s="2574">
        <f t="shared" si="9"/>
        <v>0</v>
      </c>
      <c r="R23" s="274">
        <f t="shared" si="5"/>
        <v>141207.44</v>
      </c>
      <c r="S23" s="2284">
        <f t="shared" si="5"/>
        <v>415000</v>
      </c>
    </row>
    <row r="24" spans="1:19">
      <c r="A24" s="138"/>
      <c r="B24" s="115" t="s">
        <v>226</v>
      </c>
      <c r="C24" s="139"/>
      <c r="D24" s="111">
        <f>ROUND($D$3*E24/$E$3,2)</f>
        <v>0</v>
      </c>
      <c r="E24" s="134">
        <f>SUM(F24:G24)</f>
        <v>0</v>
      </c>
      <c r="F24" s="140"/>
      <c r="G24" s="1363"/>
      <c r="H24" s="973">
        <f>ROUND($D$3*I24/$E$3,2)</f>
        <v>0</v>
      </c>
      <c r="I24" s="116">
        <f t="shared" si="7"/>
        <v>0</v>
      </c>
      <c r="J24" s="1967"/>
      <c r="K24" s="2570">
        <f t="shared" si="3"/>
        <v>0</v>
      </c>
      <c r="L24" s="274">
        <f t="shared" si="4"/>
        <v>0</v>
      </c>
      <c r="M24" s="2571">
        <f t="shared" si="8"/>
        <v>0</v>
      </c>
      <c r="N24" s="2572"/>
      <c r="O24" s="2573"/>
      <c r="P24" s="2574">
        <f t="shared" si="9"/>
        <v>0</v>
      </c>
      <c r="R24" s="274">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4">
        <f t="shared" si="4"/>
        <v>0</v>
      </c>
      <c r="M25" s="2571">
        <f t="shared" si="8"/>
        <v>0</v>
      </c>
      <c r="N25" s="2572"/>
      <c r="O25" s="2573"/>
      <c r="P25" s="2574">
        <f t="shared" si="9"/>
        <v>0</v>
      </c>
      <c r="R25" s="274">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79">
        <f t="shared" si="4"/>
        <v>0</v>
      </c>
      <c r="M26" s="146">
        <f t="shared" si="8"/>
        <v>0</v>
      </c>
      <c r="N26" s="2576"/>
      <c r="O26" s="2577"/>
      <c r="P26" s="2578">
        <f t="shared" si="9"/>
        <v>0</v>
      </c>
      <c r="R26" s="274">
        <f t="shared" si="5"/>
        <v>0</v>
      </c>
      <c r="S26" s="2284">
        <f t="shared" si="5"/>
        <v>0</v>
      </c>
    </row>
    <row r="27" spans="1:19" ht="15.75" thickBot="1">
      <c r="A27" s="138"/>
      <c r="B27" s="111"/>
      <c r="C27" s="127" t="s">
        <v>215</v>
      </c>
      <c r="D27" s="134">
        <f>SUM(D19:D26)</f>
        <v>753009.28</v>
      </c>
      <c r="E27" s="143">
        <f>IF(SUM(E19:E26)='数据-基础表'!BA5,SUM(E19:E26),IF(F27="地上面积有误","面积有误","地下面积有误"))</f>
        <v>2213047.9900000002</v>
      </c>
      <c r="F27" s="134">
        <f>IF(SUM(F19:F26)=E8,SUM(F19:F26),"地上面积有误")</f>
        <v>1383047.99</v>
      </c>
      <c r="G27" s="112">
        <f>SUM(G19:G26)</f>
        <v>830000</v>
      </c>
      <c r="H27" s="974">
        <f>SUM(H19:H26)</f>
        <v>45890.720000000001</v>
      </c>
      <c r="I27" s="975">
        <f>SUM(I19:I26)</f>
        <v>134870</v>
      </c>
      <c r="J27" s="1967"/>
      <c r="K27" s="2579">
        <f>SUM(K19:K26)</f>
        <v>0</v>
      </c>
      <c r="L27" s="2580">
        <f>SUM(L19:L26)</f>
        <v>134870</v>
      </c>
      <c r="M27" s="2581">
        <f>SUM(M19:M26)</f>
        <v>134870</v>
      </c>
      <c r="N27" s="2579">
        <f t="shared" ref="N27:O27" si="10">SUM(N19:N26)</f>
        <v>0</v>
      </c>
      <c r="O27" s="2580">
        <f t="shared" si="10"/>
        <v>0</v>
      </c>
      <c r="P27" s="2582">
        <f>SUM(P19:P26)</f>
        <v>0</v>
      </c>
      <c r="R27" s="2288">
        <f>IF(SUM(R19:R26)=$D$3,SUM(R19:R26),SUM(R19:R26)&amp;"误差"&amp;ROUND(SUM(R19:R26)-$D$3,2))</f>
        <v>798900</v>
      </c>
      <c r="S27" s="274">
        <f>IF(SUM(S19:S26)=$E$3,SUM(S19:S26),SUM(S19:S26)&amp;"误差"&amp;ROUND(SUM(S19:S26)-E3,2))</f>
        <v>2347917.9900000002</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2317</v>
      </c>
      <c r="D29" s="111">
        <f>ROUND($D$3*E29/$E$3,2)</f>
        <v>45890.720000000001</v>
      </c>
      <c r="E29" s="134">
        <f>SUM(F29:G29)</f>
        <v>134870</v>
      </c>
      <c r="F29" s="144">
        <f>'数据-基础表'!BM5+'数据-基础表'!BO5</f>
        <v>134870</v>
      </c>
      <c r="G29" s="146">
        <f>'数据-基础表'!BN5+'数据-基础表'!BP5</f>
        <v>0</v>
      </c>
      <c r="H29" s="1967"/>
      <c r="I29" s="1967"/>
      <c r="J29" s="1967"/>
      <c r="K29" s="1967"/>
      <c r="L29" s="1967"/>
    </row>
    <row r="30" spans="1:19">
      <c r="A30" s="138"/>
      <c r="B30" s="111"/>
      <c r="C30" s="147" t="s">
        <v>215</v>
      </c>
      <c r="D30" s="134">
        <f>SUM(D28:D29)</f>
        <v>45890.720000000001</v>
      </c>
      <c r="E30" s="134">
        <f>SUM(E28:E29)</f>
        <v>134870</v>
      </c>
      <c r="F30" s="134">
        <f>SUM(F28:F29)</f>
        <v>134870</v>
      </c>
      <c r="G30" s="112">
        <f>SUM(G28:G29)</f>
        <v>0</v>
      </c>
      <c r="H30" s="1967"/>
      <c r="I30" s="1967"/>
      <c r="J30" s="1967"/>
      <c r="K30" s="1967"/>
      <c r="L30" s="1967"/>
    </row>
    <row r="31" spans="1:19" ht="32.25" customHeight="1" thickBot="1">
      <c r="A31" s="1364"/>
      <c r="B31" s="1365" t="s">
        <v>229</v>
      </c>
      <c r="C31" s="2313" t="s">
        <v>2319</v>
      </c>
      <c r="D31" s="1366">
        <f>D27+D30</f>
        <v>798900</v>
      </c>
      <c r="E31" s="1366">
        <f>E27+E30</f>
        <v>2347917.9900000002</v>
      </c>
      <c r="F31" s="1367">
        <f>F27+F30</f>
        <v>1517917.99</v>
      </c>
      <c r="G31" s="1368">
        <f>G27+G30</f>
        <v>830000</v>
      </c>
      <c r="H31" s="1967"/>
      <c r="I31" s="1967"/>
      <c r="J31" s="1967"/>
      <c r="K31" s="1967"/>
      <c r="L31" s="1967"/>
    </row>
    <row r="32" spans="1:19">
      <c r="A32" s="1967"/>
      <c r="B32" s="2325" t="s">
        <v>2318</v>
      </c>
      <c r="C32" s="2609"/>
      <c r="D32" s="1196"/>
      <c r="E32" s="1196">
        <f>SUMIF(C19:C26,"*住宅*",E19:E26)</f>
        <v>986259</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O46" sqref="O46"/>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3" width="7.25" style="1198" customWidth="1"/>
    <col min="34" max="34" width="11.75" style="1198" customWidth="1"/>
    <col min="35" max="39" width="8" style="1198" customWidth="1"/>
    <col min="40" max="41" width="13.75" style="1981"/>
    <col min="42" max="42" width="0" style="1981" hidden="1" customWidth="1"/>
    <col min="43" max="83" width="13.75" style="1981"/>
    <col min="84" max="16384" width="13.75" style="1198"/>
  </cols>
  <sheetData>
    <row r="1" spans="1:83" ht="19.5"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75" thickBot="1">
      <c r="A2" s="149" t="s">
        <v>235</v>
      </c>
      <c r="B2" s="2321">
        <f>项目基本情况!D3</f>
        <v>44078</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5"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40.5">
      <c r="A5" s="2287" t="s">
        <v>2321</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2823</v>
      </c>
      <c r="O5" s="163" t="s">
        <v>246</v>
      </c>
      <c r="P5" s="165" t="s">
        <v>247</v>
      </c>
      <c r="Q5" s="166" t="s">
        <v>248</v>
      </c>
      <c r="R5" s="167" t="s">
        <v>249</v>
      </c>
      <c r="S5" s="2583" t="s">
        <v>2569</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2320</v>
      </c>
      <c r="AI5" s="171" t="s">
        <v>2289</v>
      </c>
      <c r="AJ5" s="171" t="s">
        <v>258</v>
      </c>
      <c r="AK5" s="159" t="s">
        <v>259</v>
      </c>
      <c r="AL5" s="159" t="s">
        <v>260</v>
      </c>
      <c r="AM5" s="172" t="s">
        <v>261</v>
      </c>
      <c r="AN5" s="2353" t="s">
        <v>2370</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25">
      <c r="A6" s="2285" t="str">
        <f>'数据-汇总表'!C19</f>
        <v>住宅</v>
      </c>
      <c r="B6" s="2320" t="str">
        <f>IF(A6=0,"","经营性")</f>
        <v>经营性</v>
      </c>
      <c r="C6" s="173" t="s">
        <v>923</v>
      </c>
      <c r="D6" s="2291">
        <f>SUMIF(项目基本情况!D$15:I$15,C6,项目基本情况!D$18:I$18)</f>
        <v>70</v>
      </c>
      <c r="E6" s="2292">
        <f>IF(B6="","",SUMIF(项目基本情况!D$15:I$15,C6,项目基本情况!D$17:I$17))</f>
        <v>73051</v>
      </c>
      <c r="F6" s="174">
        <f>SUMIF(项目基本情况!D$15:I$15,C6,项目基本情况!D$19:I$19)</f>
        <v>70</v>
      </c>
      <c r="G6" s="175">
        <f>IF(ISERROR(ROUND(POWER(1+H6,D6-F6)*(POWER(1+H6,F6)-1)/(POWER(1+H6,D6)-1),3)),0,ROUND(POWER(1+H6,D6-F6)*(POWER(1+H6,F6)-1)/(POWER(1+H6,D6)-1),3))</f>
        <v>1</v>
      </c>
      <c r="H6" s="2859">
        <v>4.4999999999999998E-2</v>
      </c>
      <c r="I6" s="2859">
        <v>0.05</v>
      </c>
      <c r="J6" s="176">
        <v>5.5E-2</v>
      </c>
      <c r="K6" s="179">
        <f>SUMIF('数据-汇总表'!C$19:C$33,'数据-取费表'!A6,'数据-汇总表'!E$19:E$33)</f>
        <v>986259</v>
      </c>
      <c r="L6" s="3186">
        <v>4800</v>
      </c>
      <c r="M6" s="177">
        <f t="shared" ref="M6:M14" si="0">ROUND(K6*L6/10000,0)</f>
        <v>473404</v>
      </c>
      <c r="N6" s="2861">
        <v>1</v>
      </c>
      <c r="O6" s="177">
        <f>IF($N$5="成新度","——",ROUND(M6*N6,0))</f>
        <v>473404</v>
      </c>
      <c r="P6" s="178">
        <f>IF($N$5="成新度","——",M6-O6)</f>
        <v>0</v>
      </c>
      <c r="Q6" s="3187">
        <v>0.15</v>
      </c>
      <c r="R6" s="179">
        <f>SUMIF('数据-汇总表'!C$19:C$33,A6,'数据-汇总表'!R$19:R$33)</f>
        <v>381474.13</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v>0</v>
      </c>
      <c r="W6" s="181">
        <v>0.08</v>
      </c>
      <c r="X6" s="2304"/>
      <c r="Y6" s="182">
        <v>1</v>
      </c>
      <c r="Z6" s="183"/>
      <c r="AA6" s="176"/>
      <c r="AB6" s="176"/>
      <c r="AC6" s="2307"/>
      <c r="AD6" s="184">
        <v>1</v>
      </c>
      <c r="AE6" s="3200">
        <f>F6</f>
        <v>70</v>
      </c>
      <c r="AF6" s="141"/>
      <c r="AG6" s="1208">
        <f>IF(AF6="",0,AE6-AF6)</f>
        <v>0</v>
      </c>
      <c r="AH6" s="141">
        <f>'数据-汇总表'!F19</f>
        <v>986259</v>
      </c>
      <c r="AI6" s="187">
        <v>365</v>
      </c>
      <c r="AJ6" s="188"/>
      <c r="AK6" s="189">
        <v>0.01</v>
      </c>
      <c r="AL6" s="190">
        <v>1E-3</v>
      </c>
      <c r="AM6" s="2873">
        <v>0.01</v>
      </c>
      <c r="AN6" s="2354" t="s">
        <v>3000</v>
      </c>
      <c r="AO6" s="1983"/>
      <c r="AP6" s="1199">
        <f>ROUND(1-1/(1+H6)^F6,3)</f>
        <v>0.95399999999999996</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25">
      <c r="A7" s="2285" t="str">
        <f>'数据-汇总表'!C20</f>
        <v>商业</v>
      </c>
      <c r="B7" s="2320" t="str">
        <f t="shared" ref="B7:B13" si="1">IF(A7=0,"","经营性")</f>
        <v>经营性</v>
      </c>
      <c r="C7" s="173" t="s">
        <v>3061</v>
      </c>
      <c r="D7" s="2291">
        <f>SUMIF(项目基本情况!D$15:I$15,C7,项目基本情况!D$18:I$18)</f>
        <v>40</v>
      </c>
      <c r="E7" s="2292">
        <f>IF(B7="","",SUMIF(项目基本情况!D$15:I$15,C7,项目基本情况!D$17:I$17))</f>
        <v>65746</v>
      </c>
      <c r="F7" s="174">
        <f>SUMIF(项目基本情况!D$15:I$15,C7,项目基本情况!D$19:I$19)</f>
        <v>40</v>
      </c>
      <c r="G7" s="175">
        <f t="shared" ref="G7:G11" si="2">IF(ISERROR(ROUND(POWER(1+H7,D7-F7)*(POWER(1+H7,F7)-1)/(POWER(1+H7,D7)-1),3)),0,ROUND(POWER(1+H7,D7-F7)*(POWER(1+H7,F7)-1)/(POWER(1+H7,D7)-1),3))</f>
        <v>1</v>
      </c>
      <c r="H7" s="2859">
        <v>0.04</v>
      </c>
      <c r="I7" s="2859">
        <v>4.4999999999999998E-2</v>
      </c>
      <c r="J7" s="176">
        <v>5.5E-2</v>
      </c>
      <c r="K7" s="179">
        <f>SUMIF('数据-汇总表'!C$19:C$33,'数据-取费表'!A7,'数据-汇总表'!E$19:E$33)</f>
        <v>232696</v>
      </c>
      <c r="L7" s="2860">
        <v>4200</v>
      </c>
      <c r="M7" s="177">
        <f t="shared" si="0"/>
        <v>97732</v>
      </c>
      <c r="N7" s="2861">
        <v>1</v>
      </c>
      <c r="O7" s="177">
        <f t="shared" ref="O7:O14" si="3">IF($N$5="成新度","——",ROUND(M7*N7,0))</f>
        <v>97732</v>
      </c>
      <c r="P7" s="178">
        <f t="shared" ref="P7:P14" si="4">IF($N$5="成新度","——",M7-O7)</f>
        <v>0</v>
      </c>
      <c r="Q7" s="2862">
        <v>0.1</v>
      </c>
      <c r="R7" s="179">
        <f>SUMIF('数据-汇总表'!C$19:C$33,A7,'数据-汇总表'!R$19:R$33)</f>
        <v>79176.89</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v>0</v>
      </c>
      <c r="W7" s="181">
        <v>0.12</v>
      </c>
      <c r="X7" s="2304"/>
      <c r="Y7" s="182">
        <v>1</v>
      </c>
      <c r="Z7" s="183"/>
      <c r="AA7" s="176"/>
      <c r="AB7" s="176"/>
      <c r="AC7" s="2307"/>
      <c r="AD7" s="184">
        <v>1</v>
      </c>
      <c r="AE7" s="3200">
        <f>F7</f>
        <v>40</v>
      </c>
      <c r="AF7" s="141"/>
      <c r="AG7" s="1208">
        <f>IF(AF7="",0,AE7-AF7)</f>
        <v>0</v>
      </c>
      <c r="AH7" s="141">
        <f>'数据-汇总表'!F20</f>
        <v>232696</v>
      </c>
      <c r="AI7" s="187">
        <v>365</v>
      </c>
      <c r="AJ7" s="188"/>
      <c r="AK7" s="189">
        <v>0.01</v>
      </c>
      <c r="AL7" s="190">
        <v>1E-3</v>
      </c>
      <c r="AM7" s="2873">
        <v>0.01</v>
      </c>
      <c r="AN7" s="2354"/>
      <c r="AO7" s="1983"/>
      <c r="AP7" s="1199">
        <f t="shared" ref="AP7:AP13" si="6">ROUND(1-1/(1+H7)^F7,3)</f>
        <v>0.79200000000000004</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25">
      <c r="A8" s="2285" t="str">
        <f>'数据-汇总表'!C21</f>
        <v>办公</v>
      </c>
      <c r="B8" s="2320" t="str">
        <f t="shared" si="1"/>
        <v>经营性</v>
      </c>
      <c r="C8" s="173" t="s">
        <v>1677</v>
      </c>
      <c r="D8" s="2291">
        <f>SUMIF(项目基本情况!D$15:I$15,C8,项目基本情况!D$18:I$18)</f>
        <v>50</v>
      </c>
      <c r="E8" s="2292">
        <f>IF(B8="","",SUMIF(项目基本情况!D$15:I$15,C8,项目基本情况!D$17:I$17))</f>
        <v>69399</v>
      </c>
      <c r="F8" s="174">
        <f>SUMIF(项目基本情况!D$15:I$15,C8,项目基本情况!D$19:I$19)</f>
        <v>50</v>
      </c>
      <c r="G8" s="175">
        <f t="shared" si="2"/>
        <v>1</v>
      </c>
      <c r="H8" s="2859">
        <v>0.04</v>
      </c>
      <c r="I8" s="2859">
        <v>0.04</v>
      </c>
      <c r="J8" s="176">
        <v>5.5E-2</v>
      </c>
      <c r="K8" s="179">
        <f>SUMIF('数据-汇总表'!C$19:C$33,'数据-取费表'!A8,'数据-汇总表'!E$19:E$33)</f>
        <v>164092.99</v>
      </c>
      <c r="L8" s="2860">
        <v>3800</v>
      </c>
      <c r="M8" s="177">
        <f>ROUND(K8*L8/10000,0)</f>
        <v>62355</v>
      </c>
      <c r="N8" s="2861">
        <v>1</v>
      </c>
      <c r="O8" s="177">
        <f t="shared" si="3"/>
        <v>62355</v>
      </c>
      <c r="P8" s="178">
        <f t="shared" si="4"/>
        <v>0</v>
      </c>
      <c r="Q8" s="2862">
        <v>0.08</v>
      </c>
      <c r="R8" s="179">
        <f>SUMIF('数据-汇总表'!C$19:C$33,A8,'数据-汇总表'!R$19:R$33)</f>
        <v>55834.1</v>
      </c>
      <c r="S8" s="132">
        <f>IF('数据-汇总表'!$I$17="按面积比例",SUMIF('数据-汇总表'!C$19:C$33,A8,'数据-汇总表'!K$19:K$33),SUMIF('数据-汇总表'!C$19:C$33,A8,'数据-汇总表'!N$19:N$33))</f>
        <v>0</v>
      </c>
      <c r="T8" s="2217" t="str">
        <f t="shared" si="5"/>
        <v>0</v>
      </c>
      <c r="U8" s="180"/>
      <c r="V8" s="181">
        <v>0</v>
      </c>
      <c r="W8" s="181">
        <v>0.1</v>
      </c>
      <c r="X8" s="2304"/>
      <c r="Y8" s="182">
        <v>1</v>
      </c>
      <c r="Z8" s="183"/>
      <c r="AA8" s="176"/>
      <c r="AB8" s="176"/>
      <c r="AC8" s="2307"/>
      <c r="AD8" s="184">
        <v>1</v>
      </c>
      <c r="AE8" s="3200">
        <f>F8</f>
        <v>50</v>
      </c>
      <c r="AF8" s="141"/>
      <c r="AG8" s="1208">
        <f>IF(AF8="",0,AE8-AF8)</f>
        <v>0</v>
      </c>
      <c r="AH8" s="141">
        <f>'数据-汇总表'!G21</f>
        <v>0</v>
      </c>
      <c r="AI8" s="187">
        <v>365</v>
      </c>
      <c r="AJ8" s="188"/>
      <c r="AK8" s="189">
        <v>0.01</v>
      </c>
      <c r="AL8" s="190">
        <v>1E-3</v>
      </c>
      <c r="AM8" s="2873">
        <v>0.01</v>
      </c>
      <c r="AN8" s="2354" t="s">
        <v>3086</v>
      </c>
      <c r="AO8" s="1983"/>
      <c r="AP8" s="1199">
        <f t="shared" si="6"/>
        <v>0.85899999999999999</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25">
      <c r="A9" s="2285" t="str">
        <f>'数据-汇总表'!C22</f>
        <v>地下仓储</v>
      </c>
      <c r="B9" s="2320" t="str">
        <f t="shared" si="1"/>
        <v>经营性</v>
      </c>
      <c r="C9" s="173" t="s">
        <v>3063</v>
      </c>
      <c r="D9" s="2291">
        <f>SUMIF(项目基本情况!D$15:I$15,C9,项目基本情况!D$18:I$18)</f>
        <v>50</v>
      </c>
      <c r="E9" s="2292">
        <f>IF(B9="","",SUMIF(项目基本情况!D$15:I$15,C9,项目基本情况!D$17:I$17))</f>
        <v>69399</v>
      </c>
      <c r="F9" s="174">
        <f>SUMIF(项目基本情况!D$15:I$15,C9,项目基本情况!D$19:I$19)</f>
        <v>50</v>
      </c>
      <c r="G9" s="175">
        <f t="shared" si="2"/>
        <v>1</v>
      </c>
      <c r="H9" s="2859">
        <v>0.04</v>
      </c>
      <c r="I9" s="2859">
        <v>0.04</v>
      </c>
      <c r="J9" s="176">
        <v>5.5E-2</v>
      </c>
      <c r="K9" s="179">
        <f>SUMIF('数据-汇总表'!C$19:C$33,'数据-取费表'!A9,'数据-汇总表'!E$19:E$33)</f>
        <v>415000</v>
      </c>
      <c r="L9" s="193">
        <v>3800</v>
      </c>
      <c r="M9" s="177">
        <f t="shared" si="0"/>
        <v>157700</v>
      </c>
      <c r="N9" s="194">
        <v>1</v>
      </c>
      <c r="O9" s="177">
        <f t="shared" si="3"/>
        <v>157700</v>
      </c>
      <c r="P9" s="178">
        <f t="shared" si="4"/>
        <v>0</v>
      </c>
      <c r="Q9" s="192">
        <v>0.05</v>
      </c>
      <c r="R9" s="179">
        <f>SUMIF('数据-汇总表'!C$19:C$33,A9,'数据-汇总表'!R$19:R$33)</f>
        <v>141207.44</v>
      </c>
      <c r="S9" s="132">
        <f>IF('数据-汇总表'!$I$17="按面积比例",SUMIF('数据-汇总表'!C$19:C$33,A9,'数据-汇总表'!K$19:K$33),SUMIF('数据-汇总表'!C$19:C$33,A9,'数据-汇总表'!N$19:N$33))</f>
        <v>0</v>
      </c>
      <c r="T9" s="2217" t="str">
        <f t="shared" si="5"/>
        <v>0</v>
      </c>
      <c r="U9" s="180">
        <v>1.2</v>
      </c>
      <c r="V9" s="181">
        <v>0</v>
      </c>
      <c r="W9" s="181">
        <v>0.1</v>
      </c>
      <c r="X9" s="2304"/>
      <c r="Y9" s="182">
        <v>1</v>
      </c>
      <c r="Z9" s="183"/>
      <c r="AA9" s="176"/>
      <c r="AB9" s="176"/>
      <c r="AC9" s="2307"/>
      <c r="AD9" s="184">
        <v>1</v>
      </c>
      <c r="AE9" s="3200">
        <f>F9</f>
        <v>50</v>
      </c>
      <c r="AF9" s="141"/>
      <c r="AG9" s="1208">
        <f t="shared" ref="AG9:AG13" si="7">IF(AF9="",0,AE9-AF9)</f>
        <v>0</v>
      </c>
      <c r="AH9" s="141">
        <f>'数据-汇总表'!G22</f>
        <v>415000</v>
      </c>
      <c r="AI9" s="187">
        <v>365</v>
      </c>
      <c r="AJ9" s="188"/>
      <c r="AK9" s="189">
        <v>0.01</v>
      </c>
      <c r="AL9" s="190">
        <v>1E-3</v>
      </c>
      <c r="AM9" s="2873">
        <v>0.01</v>
      </c>
      <c r="AN9" s="2354" t="s">
        <v>3084</v>
      </c>
      <c r="AO9" s="1983"/>
      <c r="AP9" s="1199">
        <f t="shared" si="6"/>
        <v>0.85899999999999999</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25">
      <c r="A10" s="2285" t="str">
        <f>'数据-汇总表'!C23</f>
        <v>地下车库</v>
      </c>
      <c r="B10" s="2320" t="str">
        <f t="shared" si="1"/>
        <v>经营性</v>
      </c>
      <c r="C10" s="173" t="s">
        <v>3064</v>
      </c>
      <c r="D10" s="2291">
        <f>SUMIF(项目基本情况!D$15:I$15,C10,项目基本情况!D$18:I$18)</f>
        <v>50</v>
      </c>
      <c r="E10" s="2292">
        <f>IF(B10="","",SUMIF(项目基本情况!D$15:I$15,C10,项目基本情况!D$17:I$17))</f>
        <v>69399</v>
      </c>
      <c r="F10" s="174">
        <f>SUMIF(项目基本情况!D$15:I$15,C10,项目基本情况!D$19:I$19)</f>
        <v>50</v>
      </c>
      <c r="G10" s="175">
        <f t="shared" si="2"/>
        <v>1</v>
      </c>
      <c r="H10" s="2859">
        <v>0.04</v>
      </c>
      <c r="I10" s="2859">
        <v>0.04</v>
      </c>
      <c r="J10" s="176">
        <v>5.5E-2</v>
      </c>
      <c r="K10" s="179">
        <f>SUMIF('数据-汇总表'!C$19:C$33,'数据-取费表'!A10,'数据-汇总表'!E$19:E$33)</f>
        <v>415000</v>
      </c>
      <c r="L10" s="193">
        <v>3800</v>
      </c>
      <c r="M10" s="177">
        <f t="shared" si="0"/>
        <v>157700</v>
      </c>
      <c r="N10" s="194">
        <v>1</v>
      </c>
      <c r="O10" s="177">
        <f t="shared" si="3"/>
        <v>157700</v>
      </c>
      <c r="P10" s="178">
        <f t="shared" si="4"/>
        <v>0</v>
      </c>
      <c r="Q10" s="192">
        <v>0.05</v>
      </c>
      <c r="R10" s="179">
        <f>SUMIF('数据-汇总表'!C$19:C$33,A10,'数据-汇总表'!R$19:R$33)</f>
        <v>141207.44</v>
      </c>
      <c r="S10" s="132">
        <f>IF('数据-汇总表'!$I$17="按面积比例",SUMIF('数据-汇总表'!C$19:C$33,A10,'数据-汇总表'!K$19:K$33),SUMIF('数据-汇总表'!C$19:C$33,A10,'数据-汇总表'!N$19:N$33))</f>
        <v>0</v>
      </c>
      <c r="T10" s="2217" t="str">
        <f t="shared" si="5"/>
        <v>0</v>
      </c>
      <c r="U10" s="180">
        <v>1.5</v>
      </c>
      <c r="V10" s="181">
        <v>0</v>
      </c>
      <c r="W10" s="181">
        <v>0.1</v>
      </c>
      <c r="X10" s="2304"/>
      <c r="Y10" s="182">
        <v>1</v>
      </c>
      <c r="Z10" s="183"/>
      <c r="AA10" s="176"/>
      <c r="AB10" s="176"/>
      <c r="AC10" s="2307"/>
      <c r="AD10" s="184">
        <v>1</v>
      </c>
      <c r="AE10" s="971">
        <f t="shared" ref="AE10:AE13" ca="1" si="8">IF(AN10="",0,SUMIF(INDIRECT("'"&amp;AN10&amp;"'"&amp;"!E:E"),$AE$5,INDIRECT("'"&amp;AN10&amp;"'"&amp;"!F:F")))</f>
        <v>0</v>
      </c>
      <c r="AF10" s="141"/>
      <c r="AG10" s="1208">
        <f t="shared" si="7"/>
        <v>0</v>
      </c>
      <c r="AH10" s="141"/>
      <c r="AI10" s="187">
        <v>365</v>
      </c>
      <c r="AJ10" s="188"/>
      <c r="AK10" s="189">
        <v>0.01</v>
      </c>
      <c r="AL10" s="190">
        <v>1E-3</v>
      </c>
      <c r="AM10" s="2873">
        <v>0.01</v>
      </c>
      <c r="AN10" s="2354"/>
      <c r="AO10" s="1983"/>
      <c r="AP10" s="1199">
        <f t="shared" si="6"/>
        <v>0.85899999999999999</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1">
        <f t="shared" ca="1" si="8"/>
        <v>0</v>
      </c>
      <c r="AF11" s="141"/>
      <c r="AG11" s="1208">
        <f t="shared" si="7"/>
        <v>0</v>
      </c>
      <c r="AH11" s="141"/>
      <c r="AI11" s="187"/>
      <c r="AJ11" s="188"/>
      <c r="AK11" s="196"/>
      <c r="AL11" s="197"/>
      <c r="AM11" s="1800"/>
      <c r="AN11" s="2354"/>
      <c r="AO11" s="1983"/>
      <c r="AP11" s="1199">
        <f t="shared" si="6"/>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1">
        <f t="shared" ca="1" si="8"/>
        <v>0</v>
      </c>
      <c r="AF12" s="141"/>
      <c r="AG12" s="1208">
        <f t="shared" si="7"/>
        <v>0</v>
      </c>
      <c r="AH12" s="141"/>
      <c r="AI12" s="187"/>
      <c r="AJ12" s="188"/>
      <c r="AK12" s="196"/>
      <c r="AL12" s="197"/>
      <c r="AM12" s="1800"/>
      <c r="AN12" s="2354"/>
      <c r="AO12" s="1983"/>
      <c r="AP12" s="1199">
        <f t="shared" si="6"/>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1">
        <f t="shared" ca="1" si="8"/>
        <v>0</v>
      </c>
      <c r="AF13" s="141"/>
      <c r="AG13" s="1208">
        <f t="shared" si="7"/>
        <v>0</v>
      </c>
      <c r="AH13" s="141"/>
      <c r="AI13" s="187"/>
      <c r="AJ13" s="188"/>
      <c r="AK13" s="189"/>
      <c r="AL13" s="190"/>
      <c r="AM13" s="2352"/>
      <c r="AN13" s="2354"/>
      <c r="AO13" s="1983"/>
      <c r="AP13" s="1199">
        <f t="shared" si="6"/>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4.25">
      <c r="A14" s="2286" t="s">
        <v>2311</v>
      </c>
      <c r="B14" s="2289" t="s">
        <v>1679</v>
      </c>
      <c r="C14" s="2290" t="s">
        <v>2311</v>
      </c>
      <c r="D14" s="2291"/>
      <c r="E14" s="2292"/>
      <c r="F14" s="174"/>
      <c r="G14" s="175"/>
      <c r="H14" s="2293"/>
      <c r="I14" s="2293"/>
      <c r="J14" s="2293"/>
      <c r="K14" s="179">
        <f>SUMIF('数据-汇总表'!C$19:C$33,'数据-取费表'!A14,'数据-汇总表'!E$19:E$33)</f>
        <v>0</v>
      </c>
      <c r="L14" s="193"/>
      <c r="M14" s="177">
        <f t="shared" si="0"/>
        <v>0</v>
      </c>
      <c r="N14" s="194"/>
      <c r="O14" s="177">
        <f t="shared" si="3"/>
        <v>0</v>
      </c>
      <c r="P14" s="178">
        <f t="shared" si="4"/>
        <v>0</v>
      </c>
      <c r="Q14" s="2301"/>
      <c r="R14" s="179"/>
      <c r="S14" s="132"/>
      <c r="T14" s="2300"/>
      <c r="U14" s="973"/>
      <c r="V14" s="2303"/>
      <c r="W14" s="2303"/>
      <c r="X14" s="2304"/>
      <c r="Y14" s="2305"/>
      <c r="Z14" s="136"/>
      <c r="AA14" s="2306"/>
      <c r="AB14" s="2306"/>
      <c r="AC14" s="2307"/>
      <c r="AD14" s="2304"/>
      <c r="AE14" s="971"/>
      <c r="AF14" s="2279"/>
      <c r="AG14" s="1208"/>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7">
      <c r="A15" s="2295" t="s">
        <v>2313</v>
      </c>
      <c r="B15" s="2289" t="s">
        <v>1679</v>
      </c>
      <c r="C15" s="2290" t="s">
        <v>2312</v>
      </c>
      <c r="D15" s="2291"/>
      <c r="E15" s="2292"/>
      <c r="F15" s="174"/>
      <c r="G15" s="175"/>
      <c r="H15" s="2293"/>
      <c r="I15" s="2293"/>
      <c r="J15" s="2293"/>
      <c r="K15" s="179">
        <f>SUMIF('数据-汇总表'!C$19:C$33,'数据-取费表'!A15,'数据-汇总表'!E$19:E$33)</f>
        <v>134870</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75" thickBot="1">
      <c r="A16" s="198" t="s">
        <v>262</v>
      </c>
      <c r="B16" s="199"/>
      <c r="C16" s="200"/>
      <c r="D16" s="201"/>
      <c r="E16" s="199"/>
      <c r="F16" s="199"/>
      <c r="G16" s="202">
        <f>ROUND(SUMPRODUCT(G6:G13,K6:K13)/SUMPRODUCT((G6:G13&gt;0)*(K6:K13)),3)</f>
        <v>1</v>
      </c>
      <c r="H16" s="203">
        <f>ROUND(SUMPRODUCT(H6:H13,K6:K13)/SUMPRODUCT((H6:H13&gt;0)*(K6:K13)),3)</f>
        <v>4.2000000000000003E-2</v>
      </c>
      <c r="I16" s="204"/>
      <c r="J16" s="204"/>
      <c r="K16" s="205">
        <f>SUM(K6:K15)</f>
        <v>2347917.9900000002</v>
      </c>
      <c r="L16" s="206">
        <f>ROUND(M16*10000/SUM(K6:K14),0)</f>
        <v>4288</v>
      </c>
      <c r="M16" s="206">
        <f>SUM(M6:M14)</f>
        <v>948891</v>
      </c>
      <c r="N16" s="207">
        <f>ROUND(SUMPRODUCT(M6:M14,N6:N14)/M16,3)</f>
        <v>1</v>
      </c>
      <c r="O16" s="206">
        <f>SUM(O6:O14)</f>
        <v>948891</v>
      </c>
      <c r="P16" s="206">
        <f>SUM(P6:P14)</f>
        <v>0</v>
      </c>
      <c r="Q16" s="208">
        <f>ROUND(SUMPRODUCT(Q6:Q13,K6:K13)/SUMPRODUCT((Q6:Q13&gt;0)*(K6:K13)),2)</f>
        <v>0.1</v>
      </c>
      <c r="R16" s="2294">
        <f>SUM(R6:R13)</f>
        <v>798900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0.89400000000000002</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3264">
        <v>1</v>
      </c>
      <c r="C19" s="2326" t="s">
        <v>2333</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8" t="s">
        <v>265</v>
      </c>
      <c r="B20" s="3185">
        <v>2.5</v>
      </c>
      <c r="C20" s="2326" t="s">
        <v>2332</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0" t="s">
        <v>266</v>
      </c>
      <c r="B21" s="219">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8" t="s">
        <v>267</v>
      </c>
      <c r="B22" s="221">
        <f>B19+B20</f>
        <v>3.5</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0" t="s">
        <v>268</v>
      </c>
      <c r="B23" s="221">
        <f>B19+B21</f>
        <v>1</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2" t="s">
        <v>269</v>
      </c>
      <c r="B24" s="223">
        <f>B20-B21</f>
        <v>2.5</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4"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7.75">
      <c r="A27" s="225" t="s">
        <v>2335</v>
      </c>
      <c r="B27" s="226">
        <v>170</v>
      </c>
      <c r="C27" s="2329" t="s">
        <v>2339</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7.75">
      <c r="A28" s="227" t="s">
        <v>2336</v>
      </c>
      <c r="B28" s="228">
        <v>200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8.5" thickBot="1">
      <c r="A29" s="230" t="s">
        <v>2334</v>
      </c>
      <c r="B29" s="231"/>
      <c r="C29" s="1537" t="s">
        <v>2337</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7">
      <c r="A30" s="234" t="s">
        <v>273</v>
      </c>
      <c r="B30" s="977">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7">
      <c r="A31" s="227" t="s">
        <v>274</v>
      </c>
      <c r="B31" s="229">
        <f>B30-B32</f>
        <v>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7.75" thickBot="1">
      <c r="A32" s="236" t="s">
        <v>275</v>
      </c>
      <c r="B32" s="1372">
        <v>200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25">
      <c r="A33" s="225" t="s">
        <v>278</v>
      </c>
      <c r="B33" s="1373">
        <v>0.03</v>
      </c>
      <c r="C33" s="2327" t="s">
        <v>2889</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7" t="s">
        <v>279</v>
      </c>
      <c r="B34" s="232">
        <v>0.15</v>
      </c>
      <c r="C34" s="2327" t="s">
        <v>2890</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7" t="s">
        <v>276</v>
      </c>
      <c r="B35" s="228">
        <v>300</v>
      </c>
      <c r="C35" s="2327" t="s">
        <v>2891</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0" t="s">
        <v>277</v>
      </c>
      <c r="B36" s="233">
        <v>1.4999999999999999E-2</v>
      </c>
      <c r="C36" s="2327" t="s">
        <v>2892</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4" t="s">
        <v>280</v>
      </c>
      <c r="B37" s="235">
        <v>0.02</v>
      </c>
      <c r="C37" s="2327" t="s">
        <v>2893</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7" t="s">
        <v>281</v>
      </c>
      <c r="B38" s="232">
        <v>0.02</v>
      </c>
      <c r="C38" s="2327" t="s">
        <v>2893</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2453</v>
      </c>
      <c r="B39" s="799">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2454</v>
      </c>
      <c r="B40" s="2443">
        <f ca="1">存贷款利率!E2</f>
        <v>4.7500000000000001E-2</v>
      </c>
      <c r="C40" s="2327" t="s">
        <v>2338</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5" t="s">
        <v>282</v>
      </c>
      <c r="B41" s="237">
        <f>B42+B43</f>
        <v>5.5000000000000007E-2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8" t="s">
        <v>283</v>
      </c>
      <c r="B42" s="239">
        <v>0.05</v>
      </c>
      <c r="C42" s="2927">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8" t="s">
        <v>284</v>
      </c>
      <c r="B43" s="240">
        <f>B42*(B44+B45+B46)+B47</f>
        <v>5.000000000000001E-3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8" t="s">
        <v>285</v>
      </c>
      <c r="B44" s="241">
        <v>0.05</v>
      </c>
      <c r="C44" s="2327" t="s">
        <v>2894</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8" t="s">
        <v>286</v>
      </c>
      <c r="B45" s="239">
        <v>0.03</v>
      </c>
      <c r="C45" s="2329" t="s">
        <v>2895</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8" t="s">
        <v>287</v>
      </c>
      <c r="B46" s="3263">
        <v>0.02</v>
      </c>
      <c r="C46" s="2329" t="s">
        <v>2896</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2" t="s">
        <v>288</v>
      </c>
      <c r="B47" s="243"/>
      <c r="C47" s="2901" t="s">
        <v>2897</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4" t="s">
        <v>289</v>
      </c>
      <c r="B48" s="245">
        <v>0.03</v>
      </c>
      <c r="C48" s="2902" t="s">
        <v>2898</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6" t="s">
        <v>290</v>
      </c>
      <c r="B49" s="239">
        <v>5.0000000000000001E-4</v>
      </c>
      <c r="C49" s="2902" t="s">
        <v>2899</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6" t="s">
        <v>291</v>
      </c>
      <c r="B50" s="247">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0" t="s">
        <v>292</v>
      </c>
      <c r="B51" s="248">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6" t="s">
        <v>293</v>
      </c>
      <c r="B52" s="249">
        <f>SUMIF(A54:A63,B53,B54:B63)</f>
        <v>1.5</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7" t="s">
        <v>294</v>
      </c>
      <c r="B53" s="250" t="s">
        <v>1409</v>
      </c>
      <c r="C53" s="2903" t="s">
        <v>2900</v>
      </c>
      <c r="D53" s="2904" t="s">
        <v>2901</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2906" t="s">
        <v>2902</v>
      </c>
      <c r="B54" s="186"/>
      <c r="C54" s="1977">
        <v>30</v>
      </c>
      <c r="D54" s="2905"/>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2906" t="s">
        <v>2903</v>
      </c>
      <c r="B55" s="186"/>
      <c r="C55" s="1977">
        <v>24</v>
      </c>
      <c r="D55" s="2905"/>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2906" t="s">
        <v>2904</v>
      </c>
      <c r="B56" s="186"/>
      <c r="C56" s="1977">
        <v>18</v>
      </c>
      <c r="D56" s="2905"/>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2906" t="s">
        <v>2905</v>
      </c>
      <c r="B57" s="186"/>
      <c r="C57" s="1977">
        <v>12</v>
      </c>
      <c r="D57" s="2905"/>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2906" t="s">
        <v>2906</v>
      </c>
      <c r="B58" s="186"/>
      <c r="C58" s="1977">
        <v>3</v>
      </c>
      <c r="D58" s="2905"/>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2906" t="s">
        <v>2907</v>
      </c>
      <c r="B59" s="186">
        <v>1.5</v>
      </c>
      <c r="C59" s="1977">
        <v>1.5</v>
      </c>
      <c r="D59" s="2905"/>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2906" t="s">
        <v>2908</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2906" t="s">
        <v>2909</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2906" t="s">
        <v>2910</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2907" t="s">
        <v>2911</v>
      </c>
      <c r="B63" s="251"/>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2"/>
      <c r="D64" s="1982"/>
      <c r="K64" s="57"/>
      <c r="L64" s="57"/>
    </row>
    <row r="65" spans="1:12" s="1981" customFormat="1">
      <c r="A65" s="252"/>
      <c r="D65" s="1982"/>
      <c r="K65" s="57"/>
      <c r="L65" s="57"/>
    </row>
    <row r="66" spans="1:12" s="1981" customFormat="1">
      <c r="A66" s="252"/>
      <c r="D66" s="1982"/>
      <c r="K66" s="57"/>
      <c r="L66" s="57"/>
    </row>
    <row r="67" spans="1:12" s="1981" customFormat="1">
      <c r="A67" s="252"/>
      <c r="D67" s="1982"/>
      <c r="K67" s="57"/>
      <c r="L67" s="57"/>
    </row>
    <row r="68" spans="1:12" s="1981" customFormat="1">
      <c r="A68" s="252"/>
      <c r="D68" s="1982"/>
      <c r="K68" s="57"/>
      <c r="L68" s="57"/>
    </row>
    <row r="69" spans="1:12" s="1981" customFormat="1">
      <c r="A69" s="252"/>
      <c r="D69" s="1982"/>
      <c r="K69" s="57"/>
      <c r="L69" s="57"/>
    </row>
    <row r="70" spans="1:12" s="1981" customFormat="1">
      <c r="A70" s="252"/>
      <c r="D70" s="1982"/>
      <c r="K70" s="57"/>
      <c r="L70" s="57"/>
    </row>
    <row r="71" spans="1:12" s="1981" customFormat="1">
      <c r="A71" s="252"/>
      <c r="D71" s="1982"/>
      <c r="K71" s="57"/>
      <c r="L71" s="57"/>
    </row>
    <row r="72" spans="1:12" s="1981" customFormat="1">
      <c r="A72" s="252"/>
      <c r="D72" s="1982"/>
      <c r="K72" s="57"/>
      <c r="L72" s="57"/>
    </row>
    <row r="73" spans="1:12" s="1981" customFormat="1">
      <c r="A73" s="252"/>
      <c r="D73" s="1982"/>
      <c r="K73" s="57"/>
      <c r="L73" s="57"/>
    </row>
    <row r="74" spans="1:12" s="1981" customFormat="1">
      <c r="A74" s="252"/>
      <c r="D74" s="1982"/>
      <c r="K74" s="57"/>
      <c r="L74" s="57"/>
    </row>
    <row r="75" spans="1:12" s="1981" customFormat="1">
      <c r="A75" s="252"/>
      <c r="D75" s="1982"/>
      <c r="K75" s="57"/>
      <c r="L75" s="57"/>
    </row>
    <row r="76" spans="1:12" s="1981" customFormat="1">
      <c r="A76" s="252"/>
      <c r="D76" s="1982"/>
      <c r="K76" s="57"/>
      <c r="L76" s="57"/>
    </row>
    <row r="77" spans="1:12" s="1981" customFormat="1">
      <c r="A77" s="252"/>
      <c r="D77" s="1982"/>
      <c r="K77" s="57"/>
      <c r="L77" s="57"/>
    </row>
    <row r="78" spans="1:12" s="1981" customFormat="1">
      <c r="A78" s="252"/>
      <c r="D78" s="1982"/>
      <c r="K78" s="57"/>
      <c r="L78" s="57"/>
    </row>
    <row r="79" spans="1:12" s="1981" customFormat="1">
      <c r="A79" s="252"/>
      <c r="D79" s="1982"/>
      <c r="K79" s="57"/>
      <c r="L79" s="57"/>
    </row>
    <row r="80" spans="1:12" s="1981" customFormat="1">
      <c r="A80" s="252"/>
      <c r="D80" s="1982"/>
      <c r="K80" s="57"/>
      <c r="L80" s="57"/>
    </row>
    <row r="81" spans="1:12" s="1981" customFormat="1">
      <c r="A81" s="252"/>
      <c r="D81" s="1982"/>
      <c r="K81" s="57"/>
      <c r="L81" s="57"/>
    </row>
    <row r="82" spans="1:12" s="1981" customFormat="1">
      <c r="A82" s="252"/>
      <c r="D82" s="1982"/>
      <c r="K82" s="57"/>
      <c r="L82" s="57"/>
    </row>
    <row r="83" spans="1:12" s="1981" customFormat="1">
      <c r="A83" s="252"/>
      <c r="D83" s="1982"/>
      <c r="K83" s="57"/>
      <c r="L83" s="57"/>
    </row>
    <row r="84" spans="1:12" s="1981" customFormat="1">
      <c r="A84" s="252"/>
      <c r="D84" s="1982"/>
      <c r="K84" s="57"/>
      <c r="L84" s="57"/>
    </row>
    <row r="85" spans="1:12" s="1981" customFormat="1">
      <c r="A85" s="252"/>
      <c r="D85" s="1982"/>
      <c r="K85" s="57"/>
      <c r="L85" s="57"/>
    </row>
    <row r="86" spans="1:12" s="1981" customFormat="1">
      <c r="A86" s="252"/>
      <c r="D86" s="1982"/>
      <c r="K86" s="57"/>
      <c r="L86" s="57"/>
    </row>
    <row r="87" spans="1:12" s="1981" customFormat="1">
      <c r="A87" s="252"/>
      <c r="D87" s="1982"/>
      <c r="K87" s="57"/>
      <c r="L87" s="57"/>
    </row>
    <row r="88" spans="1:12" s="1981" customFormat="1">
      <c r="A88" s="252"/>
      <c r="D88" s="1982"/>
      <c r="K88" s="57"/>
      <c r="L88" s="57"/>
    </row>
    <row r="89" spans="1:12" s="1981" customFormat="1">
      <c r="A89" s="252"/>
      <c r="D89" s="1982"/>
      <c r="K89" s="57"/>
      <c r="L89" s="57"/>
    </row>
    <row r="90" spans="1:12" s="1981" customFormat="1">
      <c r="A90" s="252"/>
      <c r="D90" s="1982"/>
      <c r="K90" s="57"/>
      <c r="L90" s="57"/>
    </row>
    <row r="91" spans="1:12" s="1981" customFormat="1">
      <c r="A91" s="252"/>
      <c r="D91" s="1982"/>
      <c r="K91" s="57"/>
      <c r="L91" s="57"/>
    </row>
    <row r="92" spans="1:12" s="1981" customFormat="1">
      <c r="A92" s="252"/>
      <c r="D92" s="1982"/>
      <c r="K92" s="57"/>
      <c r="L92" s="57"/>
    </row>
    <row r="93" spans="1:12" s="1981" customFormat="1">
      <c r="A93" s="252"/>
      <c r="D93" s="1982"/>
      <c r="K93" s="57"/>
      <c r="L93" s="57"/>
    </row>
    <row r="94" spans="1:12" s="1981" customFormat="1">
      <c r="A94" s="252"/>
      <c r="D94" s="1982"/>
      <c r="K94" s="57"/>
      <c r="L94" s="57"/>
    </row>
    <row r="95" spans="1:12" s="1981" customFormat="1">
      <c r="A95" s="252"/>
      <c r="D95" s="1982"/>
      <c r="K95" s="57"/>
      <c r="L95" s="57"/>
    </row>
    <row r="96" spans="1:12" s="1981" customFormat="1">
      <c r="A96" s="252"/>
      <c r="D96" s="1982"/>
      <c r="K96" s="57"/>
      <c r="L96" s="57"/>
    </row>
    <row r="97" spans="1:12" s="1981" customFormat="1">
      <c r="A97" s="252"/>
      <c r="D97" s="1982"/>
      <c r="K97" s="57"/>
      <c r="L97" s="57"/>
    </row>
    <row r="98" spans="1:12" s="1981" customFormat="1">
      <c r="A98" s="252"/>
      <c r="D98" s="1982"/>
      <c r="K98" s="57"/>
      <c r="L98" s="57"/>
    </row>
    <row r="99" spans="1:12" s="1981" customFormat="1">
      <c r="A99" s="252"/>
      <c r="D99" s="1982"/>
      <c r="K99" s="57"/>
      <c r="L99" s="57"/>
    </row>
    <row r="100" spans="1:12" s="1981" customFormat="1">
      <c r="A100" s="252"/>
      <c r="D100" s="1982"/>
      <c r="K100" s="57"/>
      <c r="L100" s="57"/>
    </row>
    <row r="101" spans="1:12" s="1981" customFormat="1">
      <c r="A101" s="252"/>
      <c r="D101" s="1982"/>
      <c r="K101" s="57"/>
      <c r="L101" s="57"/>
    </row>
    <row r="102" spans="1:12" s="1981" customFormat="1">
      <c r="A102" s="252"/>
      <c r="D102" s="1982"/>
      <c r="K102" s="57"/>
      <c r="L102" s="57"/>
    </row>
    <row r="103" spans="1:12" s="1981" customFormat="1">
      <c r="A103" s="252"/>
      <c r="D103" s="1982"/>
      <c r="K103" s="57"/>
      <c r="L103" s="57"/>
    </row>
    <row r="104" spans="1:12" s="1981" customFormat="1">
      <c r="A104" s="252"/>
      <c r="D104" s="1982"/>
      <c r="K104" s="57"/>
      <c r="L104" s="57"/>
    </row>
    <row r="105" spans="1:12" s="1981" customFormat="1">
      <c r="A105" s="252"/>
      <c r="D105" s="1982"/>
      <c r="K105" s="57"/>
      <c r="L105" s="57"/>
    </row>
    <row r="106" spans="1:12" s="1981" customFormat="1">
      <c r="A106" s="252"/>
      <c r="D106" s="1982"/>
      <c r="K106" s="57"/>
      <c r="L106" s="57"/>
    </row>
    <row r="107" spans="1:12" s="1981" customFormat="1">
      <c r="A107" s="252"/>
      <c r="D107" s="1982"/>
      <c r="K107" s="57"/>
      <c r="L107" s="57"/>
    </row>
    <row r="108" spans="1:12" s="1981" customFormat="1">
      <c r="A108" s="252"/>
      <c r="D108" s="1982"/>
      <c r="K108" s="57"/>
      <c r="L108" s="57"/>
    </row>
    <row r="109" spans="1:12" s="1981" customFormat="1">
      <c r="A109" s="252"/>
      <c r="D109" s="1982"/>
      <c r="K109" s="57"/>
      <c r="L109" s="57"/>
    </row>
    <row r="110" spans="1:12" s="1981" customFormat="1">
      <c r="A110" s="252"/>
      <c r="D110" s="1982"/>
      <c r="K110" s="57"/>
      <c r="L110" s="57"/>
    </row>
    <row r="111" spans="1:12" s="1981" customFormat="1">
      <c r="A111" s="252"/>
      <c r="D111" s="1982"/>
      <c r="K111" s="57"/>
      <c r="L111" s="57"/>
    </row>
    <row r="112" spans="1:12" s="1981" customFormat="1">
      <c r="A112" s="252"/>
      <c r="D112" s="1982"/>
      <c r="K112" s="57"/>
      <c r="L112" s="57"/>
    </row>
    <row r="113" spans="1:12" s="1981" customFormat="1">
      <c r="A113" s="252"/>
      <c r="D113" s="1982"/>
      <c r="K113" s="57"/>
      <c r="L113" s="57"/>
    </row>
    <row r="114" spans="1:12" s="1981" customFormat="1">
      <c r="A114" s="252"/>
      <c r="D114" s="1982"/>
      <c r="K114" s="57"/>
      <c r="L114" s="57"/>
    </row>
    <row r="115" spans="1:12" s="1981" customFormat="1">
      <c r="A115" s="252"/>
      <c r="D115" s="1982"/>
      <c r="K115" s="57"/>
      <c r="L115" s="57"/>
    </row>
    <row r="116" spans="1:12" s="1981" customFormat="1">
      <c r="A116" s="252"/>
      <c r="D116" s="1982"/>
      <c r="K116" s="57"/>
      <c r="L116" s="57"/>
    </row>
    <row r="117" spans="1:12" s="1981" customFormat="1">
      <c r="A117" s="252"/>
      <c r="D117" s="1982"/>
      <c r="K117" s="57"/>
      <c r="L117" s="57"/>
    </row>
    <row r="118" spans="1:12" s="1981" customFormat="1">
      <c r="A118" s="252"/>
      <c r="D118" s="1982"/>
      <c r="K118" s="57"/>
      <c r="L118" s="57"/>
    </row>
    <row r="119" spans="1:12" s="1981" customFormat="1">
      <c r="A119" s="252"/>
      <c r="D119" s="1982"/>
      <c r="K119" s="57"/>
      <c r="L119" s="57"/>
    </row>
    <row r="120" spans="1:12" s="1981" customFormat="1">
      <c r="A120" s="252"/>
      <c r="D120" s="1982"/>
      <c r="K120" s="57"/>
      <c r="L120" s="57"/>
    </row>
    <row r="121" spans="1:12" s="1981" customFormat="1">
      <c r="A121" s="252"/>
      <c r="D121" s="1982"/>
      <c r="K121" s="57"/>
      <c r="L121" s="57"/>
    </row>
    <row r="122" spans="1:12" s="1981" customFormat="1">
      <c r="A122" s="252"/>
      <c r="D122" s="1982"/>
      <c r="K122" s="57"/>
      <c r="L122" s="57"/>
    </row>
    <row r="123" spans="1:12" s="1981" customFormat="1">
      <c r="A123" s="252"/>
      <c r="D123" s="1982"/>
      <c r="K123" s="57"/>
      <c r="L123" s="57"/>
    </row>
    <row r="124" spans="1:12" s="1981" customFormat="1">
      <c r="A124" s="252"/>
      <c r="D124" s="1982"/>
      <c r="K124" s="57"/>
      <c r="L124" s="57"/>
    </row>
    <row r="125" spans="1:12" s="1981" customFormat="1">
      <c r="A125" s="252"/>
      <c r="D125" s="1982"/>
      <c r="K125" s="57"/>
      <c r="L125" s="57"/>
    </row>
    <row r="126" spans="1:12" s="1981" customFormat="1">
      <c r="A126" s="252"/>
      <c r="D126" s="1982"/>
      <c r="K126" s="57"/>
      <c r="L126" s="57"/>
    </row>
    <row r="127" spans="1:12" s="1981" customFormat="1">
      <c r="A127" s="252"/>
      <c r="D127" s="1982"/>
      <c r="K127" s="57"/>
      <c r="L127" s="57"/>
    </row>
    <row r="128" spans="1:12" s="1981" customFormat="1">
      <c r="A128" s="252"/>
      <c r="D128" s="1982"/>
      <c r="K128" s="57"/>
      <c r="L128" s="57"/>
    </row>
    <row r="129" spans="1:12" s="1981" customFormat="1">
      <c r="A129" s="252"/>
      <c r="D129" s="1982"/>
      <c r="K129" s="57"/>
      <c r="L129" s="57"/>
    </row>
    <row r="130" spans="1:12" s="1981" customFormat="1">
      <c r="A130" s="252"/>
      <c r="D130" s="1982"/>
      <c r="K130" s="57"/>
      <c r="L130" s="57"/>
    </row>
    <row r="131" spans="1:12" s="1981" customFormat="1">
      <c r="A131" s="252"/>
      <c r="D131" s="1982"/>
      <c r="K131" s="57"/>
      <c r="L131" s="57"/>
    </row>
    <row r="132" spans="1:12" s="1981" customFormat="1">
      <c r="A132" s="252"/>
      <c r="D132" s="1982"/>
      <c r="K132" s="57"/>
      <c r="L132" s="57"/>
    </row>
    <row r="133" spans="1:12" s="1981" customFormat="1">
      <c r="A133" s="252"/>
      <c r="D133" s="1982"/>
      <c r="K133" s="57"/>
      <c r="L133" s="57"/>
    </row>
    <row r="134" spans="1:12" s="1981" customFormat="1">
      <c r="A134" s="252"/>
      <c r="D134" s="1982"/>
      <c r="K134" s="57"/>
      <c r="L134" s="57"/>
    </row>
    <row r="135" spans="1:12" s="1981" customFormat="1">
      <c r="A135" s="252"/>
      <c r="D135" s="1982"/>
      <c r="K135" s="57"/>
      <c r="L135" s="57"/>
    </row>
    <row r="136" spans="1:12" s="1981" customFormat="1">
      <c r="A136" s="252"/>
      <c r="D136" s="1982"/>
      <c r="K136" s="57"/>
      <c r="L136" s="57"/>
    </row>
    <row r="137" spans="1:12" s="1981" customFormat="1">
      <c r="A137" s="252"/>
      <c r="D137" s="1982"/>
      <c r="K137" s="57"/>
      <c r="L137" s="57"/>
    </row>
    <row r="138" spans="1:12" s="1981" customFormat="1">
      <c r="A138" s="252"/>
      <c r="D138" s="1982"/>
      <c r="K138" s="57"/>
      <c r="L138" s="57"/>
    </row>
    <row r="139" spans="1:12" s="1981" customFormat="1">
      <c r="A139" s="252"/>
      <c r="D139" s="1982"/>
      <c r="K139" s="57"/>
      <c r="L139" s="57"/>
    </row>
    <row r="140" spans="1:12" s="1981" customFormat="1">
      <c r="A140" s="252"/>
      <c r="D140" s="1982"/>
      <c r="K140" s="57"/>
      <c r="L140" s="57"/>
    </row>
    <row r="141" spans="1:12" s="1981" customFormat="1">
      <c r="A141" s="252"/>
      <c r="D141" s="1982"/>
      <c r="K141" s="57"/>
      <c r="L141" s="57"/>
    </row>
    <row r="142" spans="1:12" s="1981" customFormat="1">
      <c r="A142" s="252"/>
      <c r="D142" s="1982"/>
      <c r="K142" s="57"/>
      <c r="L142" s="57"/>
    </row>
    <row r="143" spans="1:12" s="1981" customFormat="1">
      <c r="A143" s="252"/>
      <c r="D143" s="1982"/>
      <c r="K143" s="57"/>
      <c r="L143" s="57"/>
    </row>
    <row r="144" spans="1:12" s="1981" customFormat="1">
      <c r="A144" s="252"/>
      <c r="D144" s="1982"/>
      <c r="K144" s="57"/>
      <c r="L144" s="57"/>
    </row>
    <row r="145" spans="1:12" s="1981" customFormat="1">
      <c r="A145" s="252"/>
      <c r="D145" s="1982"/>
      <c r="K145" s="57"/>
      <c r="L145" s="57"/>
    </row>
    <row r="146" spans="1:12" s="1981" customFormat="1">
      <c r="A146" s="252"/>
      <c r="D146" s="1982"/>
      <c r="K146" s="57"/>
      <c r="L146" s="57"/>
    </row>
    <row r="147" spans="1:12" s="1981" customFormat="1">
      <c r="A147" s="252"/>
      <c r="D147" s="1982"/>
      <c r="K147" s="57"/>
      <c r="L147" s="57"/>
    </row>
    <row r="148" spans="1:12" s="1981" customFormat="1">
      <c r="A148" s="252"/>
      <c r="D148" s="1982"/>
      <c r="K148" s="57"/>
      <c r="L148" s="57"/>
    </row>
    <row r="149" spans="1:12" s="1981" customFormat="1">
      <c r="A149" s="252"/>
      <c r="D149" s="1982"/>
      <c r="K149" s="57"/>
      <c r="L149" s="57"/>
    </row>
    <row r="150" spans="1:12" s="1981" customFormat="1">
      <c r="A150" s="252"/>
      <c r="D150" s="1982"/>
      <c r="K150" s="57"/>
      <c r="L150" s="57"/>
    </row>
    <row r="151" spans="1:12" s="1981" customFormat="1">
      <c r="A151" s="252"/>
      <c r="D151" s="1982"/>
      <c r="K151" s="57"/>
      <c r="L151" s="57"/>
    </row>
    <row r="152" spans="1:12" s="1981" customFormat="1">
      <c r="A152" s="252"/>
      <c r="D152" s="1982"/>
      <c r="K152" s="57"/>
      <c r="L152" s="57"/>
    </row>
    <row r="153" spans="1:12" s="1981" customFormat="1">
      <c r="A153" s="252"/>
      <c r="D153" s="1982"/>
      <c r="K153" s="57"/>
      <c r="L153" s="57"/>
    </row>
    <row r="154" spans="1:12" s="1981" customFormat="1">
      <c r="A154" s="252"/>
      <c r="D154" s="1982"/>
      <c r="K154" s="57"/>
      <c r="L154" s="57"/>
    </row>
    <row r="155" spans="1:12" s="1981" customFormat="1">
      <c r="A155" s="252"/>
      <c r="D155" s="1982"/>
      <c r="K155" s="57"/>
      <c r="L155" s="57"/>
    </row>
    <row r="156" spans="1:12" s="1981" customFormat="1">
      <c r="A156" s="252"/>
      <c r="D156" s="1982"/>
      <c r="K156" s="57"/>
      <c r="L156" s="57"/>
    </row>
    <row r="157" spans="1:12" s="1981" customFormat="1">
      <c r="A157" s="252"/>
      <c r="D157" s="1982"/>
      <c r="K157" s="57"/>
      <c r="L157" s="57"/>
    </row>
    <row r="158" spans="1:12" s="1981" customFormat="1">
      <c r="A158" s="252"/>
      <c r="D158" s="1982"/>
      <c r="K158" s="57"/>
      <c r="L158" s="57"/>
    </row>
    <row r="159" spans="1:12" s="1981" customFormat="1">
      <c r="A159" s="252"/>
      <c r="D159" s="1982"/>
      <c r="K159" s="57"/>
      <c r="L159" s="57"/>
    </row>
    <row r="160" spans="1:12" s="1981" customFormat="1">
      <c r="A160" s="252"/>
      <c r="D160" s="1982"/>
      <c r="K160" s="57"/>
      <c r="L160" s="57"/>
    </row>
    <row r="161" spans="1:12" s="1981" customFormat="1">
      <c r="A161" s="252"/>
      <c r="D161" s="1982"/>
      <c r="K161" s="57"/>
      <c r="L161" s="57"/>
    </row>
    <row r="162" spans="1:12" s="1981" customFormat="1">
      <c r="A162" s="252"/>
      <c r="D162" s="1982"/>
      <c r="K162" s="57"/>
      <c r="L162" s="57"/>
    </row>
    <row r="163" spans="1:12" s="1981" customFormat="1">
      <c r="A163" s="252"/>
      <c r="D163" s="1982"/>
      <c r="K163" s="57"/>
      <c r="L163" s="57"/>
    </row>
    <row r="164" spans="1:12" s="1981" customFormat="1">
      <c r="A164" s="252"/>
      <c r="D164" s="1982"/>
      <c r="K164" s="57"/>
      <c r="L164" s="57"/>
    </row>
    <row r="165" spans="1:12" s="1981" customFormat="1">
      <c r="A165" s="252"/>
      <c r="D165" s="1982"/>
      <c r="K165" s="57"/>
      <c r="L165" s="57"/>
    </row>
    <row r="166" spans="1:12" s="1981" customFormat="1">
      <c r="A166" s="252"/>
      <c r="D166" s="1982"/>
      <c r="K166" s="57"/>
      <c r="L166" s="57"/>
    </row>
    <row r="167" spans="1:12" s="1981" customFormat="1">
      <c r="A167" s="252"/>
      <c r="D167" s="1982"/>
      <c r="K167" s="57"/>
      <c r="L167" s="57"/>
    </row>
    <row r="168" spans="1:12" s="1981" customFormat="1">
      <c r="A168" s="252"/>
      <c r="D168" s="1982"/>
      <c r="K168" s="57"/>
      <c r="L168" s="57"/>
    </row>
    <row r="169" spans="1:12" s="1981" customFormat="1">
      <c r="A169" s="252"/>
      <c r="D169" s="1982"/>
      <c r="K169" s="57"/>
      <c r="L169" s="57"/>
    </row>
    <row r="170" spans="1:12" s="1981" customFormat="1">
      <c r="A170" s="252"/>
      <c r="D170" s="1982"/>
      <c r="K170" s="57"/>
      <c r="L170" s="57"/>
    </row>
    <row r="171" spans="1:12" s="1981" customFormat="1">
      <c r="A171" s="252"/>
      <c r="D171" s="1982"/>
      <c r="K171" s="57"/>
      <c r="L171" s="57"/>
    </row>
    <row r="172" spans="1:12" s="1981" customFormat="1">
      <c r="A172" s="252"/>
      <c r="D172" s="1982"/>
      <c r="K172" s="57"/>
      <c r="L172" s="57"/>
    </row>
    <row r="173" spans="1:12" s="1981" customFormat="1">
      <c r="A173" s="252"/>
      <c r="D173" s="1982"/>
      <c r="K173" s="57"/>
      <c r="L173" s="57"/>
    </row>
    <row r="174" spans="1:12" s="1981" customFormat="1">
      <c r="A174" s="252"/>
      <c r="D174" s="1982"/>
      <c r="K174" s="57"/>
      <c r="L174" s="57"/>
    </row>
    <row r="175" spans="1:12" s="1981" customFormat="1">
      <c r="A175" s="252"/>
      <c r="D175" s="1982"/>
      <c r="K175" s="57"/>
      <c r="L175" s="57"/>
    </row>
    <row r="176" spans="1:12" s="1981" customFormat="1">
      <c r="A176" s="252"/>
      <c r="D176" s="1982"/>
      <c r="K176" s="57"/>
      <c r="L176" s="57"/>
    </row>
    <row r="177" spans="1:12" s="1981" customFormat="1">
      <c r="A177" s="252"/>
      <c r="D177" s="1982"/>
      <c r="K177" s="57"/>
      <c r="L177" s="57"/>
    </row>
    <row r="178" spans="1:12" s="1981" customFormat="1">
      <c r="A178" s="252"/>
      <c r="D178" s="1982"/>
      <c r="K178" s="57"/>
      <c r="L178" s="57"/>
    </row>
    <row r="179" spans="1:12" s="1981" customFormat="1">
      <c r="A179" s="252"/>
      <c r="D179" s="1982"/>
      <c r="K179" s="57"/>
      <c r="L179" s="57"/>
    </row>
    <row r="180" spans="1:12" s="1981" customFormat="1">
      <c r="A180" s="252"/>
      <c r="D180" s="1982"/>
      <c r="K180" s="57"/>
      <c r="L180" s="57"/>
    </row>
    <row r="181" spans="1:12" s="1981" customFormat="1">
      <c r="A181" s="252"/>
      <c r="D181" s="1982"/>
      <c r="K181" s="57"/>
      <c r="L181" s="57"/>
    </row>
    <row r="182" spans="1:12" s="1981" customFormat="1">
      <c r="A182" s="252"/>
      <c r="D182" s="1982"/>
      <c r="K182" s="57"/>
      <c r="L182" s="57"/>
    </row>
    <row r="183" spans="1:12" s="1981" customFormat="1">
      <c r="A183" s="252"/>
      <c r="D183" s="1982"/>
      <c r="K183" s="57"/>
      <c r="L183" s="57"/>
    </row>
    <row r="184" spans="1:12" s="1981" customFormat="1">
      <c r="A184" s="252"/>
      <c r="D184" s="1982"/>
      <c r="K184" s="57"/>
      <c r="L184" s="57"/>
    </row>
    <row r="185" spans="1:12" s="1981" customFormat="1">
      <c r="A185" s="252"/>
      <c r="D185" s="1982"/>
      <c r="K185" s="57"/>
      <c r="L185" s="57"/>
    </row>
    <row r="186" spans="1:12" s="1981" customFormat="1">
      <c r="A186" s="252"/>
      <c r="D186" s="1982"/>
      <c r="K186" s="57"/>
      <c r="L186" s="57"/>
    </row>
    <row r="187" spans="1:12" s="1981" customFormat="1">
      <c r="A187" s="252"/>
      <c r="D187" s="1982"/>
      <c r="K187" s="57"/>
      <c r="L187" s="57"/>
    </row>
    <row r="188" spans="1:12" s="1981" customFormat="1">
      <c r="A188" s="252"/>
      <c r="D188" s="1982"/>
      <c r="K188" s="57"/>
      <c r="L188" s="57"/>
    </row>
    <row r="189" spans="1:12" s="1981" customFormat="1">
      <c r="A189" s="252"/>
      <c r="D189" s="1982"/>
      <c r="K189" s="57"/>
      <c r="L189" s="57"/>
    </row>
    <row r="190" spans="1:12" s="1981" customFormat="1">
      <c r="A190" s="252"/>
      <c r="D190" s="1982"/>
      <c r="K190" s="57"/>
      <c r="L190" s="57"/>
    </row>
    <row r="191" spans="1:12" s="1981" customFormat="1">
      <c r="A191" s="252"/>
      <c r="D191" s="1982"/>
      <c r="K191" s="57"/>
      <c r="L191" s="57"/>
    </row>
    <row r="192" spans="1:12" s="1981" customFormat="1">
      <c r="A192" s="252"/>
      <c r="D192" s="1982"/>
      <c r="K192" s="57"/>
      <c r="L192" s="57"/>
    </row>
  </sheetData>
  <sheetProtection password="C66D" sheet="1" objects="1" scenarios="1" formatCells="0" formatColumns="0" formatRows="0"/>
  <dataConsolidate/>
  <phoneticPr fontId="3" type="noConversion"/>
  <conditionalFormatting sqref="T6:T15">
    <cfRule type="containsText" dxfId="185" priority="12" stopIfTrue="1" operator="containsText" text="自行计算">
      <formula>NOT(ISERROR(SEARCH("自行计算",T6)))</formula>
    </cfRule>
    <cfRule type="containsText" dxfId="184" priority="13" stopIfTrue="1" operator="containsText" text="自行计算">
      <formula>NOT(ISERROR(SEARCH("自行计算",T6)))</formula>
    </cfRule>
  </conditionalFormatting>
  <conditionalFormatting sqref="T6:T13">
    <cfRule type="containsText" dxfId="183" priority="10" stopIfTrue="1" operator="containsText" text="自行计算">
      <formula>NOT(ISERROR(SEARCH("自行计算",T6)))</formula>
    </cfRule>
    <cfRule type="containsText" dxfId="182" priority="11" stopIfTrue="1" operator="containsText" text="自行计算">
      <formula>NOT(ISERROR(SEARCH("自行计算",T6)))</formula>
    </cfRule>
  </conditionalFormatting>
  <conditionalFormatting sqref="T12:T13">
    <cfRule type="containsText" dxfId="181" priority="4" stopIfTrue="1" operator="containsText" text="自行计算">
      <formula>NOT(ISERROR(SEARCH("自行计算",T12)))</formula>
    </cfRule>
    <cfRule type="containsText" dxfId="180" priority="5" stopIfTrue="1" operator="containsText" text="自行计算">
      <formula>NOT(ISERROR(SEARCH("自行计算",T12)))</formula>
    </cfRule>
  </conditionalFormatting>
  <conditionalFormatting sqref="T12:T13">
    <cfRule type="containsText" dxfId="179" priority="2" stopIfTrue="1" operator="containsText" text="自行计算">
      <formula>NOT(ISERROR(SEARCH("自行计算",T12)))</formula>
    </cfRule>
    <cfRule type="containsText" dxfId="178" priority="3" stopIfTrue="1" operator="containsText" text="自行计算">
      <formula>NOT(ISERROR(SEARCH("自行计算",T12)))</formula>
    </cfRule>
  </conditionalFormatting>
  <conditionalFormatting sqref="T6:T15">
    <cfRule type="expression" dxfId="17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352" t="s">
        <v>1663</v>
      </c>
      <c r="B1" s="3353"/>
      <c r="C1" s="3353"/>
      <c r="D1" s="3353"/>
      <c r="E1" s="3353"/>
      <c r="F1" s="3353"/>
      <c r="G1" s="3353"/>
      <c r="H1" s="1985"/>
      <c r="I1" s="1986"/>
      <c r="J1" s="1987"/>
      <c r="K1" s="1985"/>
      <c r="L1" s="1986"/>
      <c r="M1" s="1987"/>
      <c r="N1" s="1985"/>
      <c r="O1" s="1986"/>
      <c r="P1" s="1987"/>
      <c r="Q1" s="1988"/>
      <c r="R1" s="1989"/>
    </row>
    <row r="2" spans="1:18" ht="14.25" thickBot="1">
      <c r="A2" s="1216"/>
      <c r="B2" s="1217"/>
      <c r="C2" s="1218" t="s">
        <v>1664</v>
      </c>
      <c r="D2" s="1219"/>
      <c r="E2" s="1220"/>
      <c r="F2" s="1221"/>
      <c r="G2" s="1218" t="s">
        <v>1665</v>
      </c>
      <c r="H2" s="1991"/>
      <c r="I2" s="1991"/>
      <c r="J2" s="1991"/>
      <c r="K2" s="1991"/>
      <c r="L2" s="1991"/>
      <c r="M2" s="1991"/>
      <c r="N2" s="1991"/>
      <c r="O2" s="1991"/>
      <c r="P2" s="1991"/>
      <c r="Q2" s="1991"/>
      <c r="R2" s="1991"/>
    </row>
    <row r="3" spans="1:18" ht="54">
      <c r="A3" s="1222" t="s">
        <v>1666</v>
      </c>
      <c r="B3" s="1223" t="s">
        <v>1653</v>
      </c>
      <c r="C3" s="2908" t="s">
        <v>2918</v>
      </c>
      <c r="D3" s="1992"/>
      <c r="E3" s="1224" t="s">
        <v>1666</v>
      </c>
      <c r="F3" s="1225" t="s">
        <v>1654</v>
      </c>
      <c r="G3" s="2912" t="s">
        <v>2917</v>
      </c>
      <c r="H3" s="1991"/>
      <c r="I3" s="1991"/>
      <c r="J3" s="1991"/>
      <c r="K3" s="1991"/>
      <c r="L3" s="1991"/>
      <c r="M3" s="1991"/>
      <c r="N3" s="1991"/>
      <c r="O3" s="1991"/>
      <c r="P3" s="1991"/>
      <c r="Q3" s="1991"/>
      <c r="R3" s="1991"/>
    </row>
    <row r="4" spans="1:18" ht="41.25">
      <c r="A4" s="1224"/>
      <c r="B4" s="1226" t="s">
        <v>1667</v>
      </c>
      <c r="C4" s="2909" t="s">
        <v>2919</v>
      </c>
      <c r="D4" s="1992"/>
      <c r="E4" s="1227"/>
      <c r="F4" s="1228" t="s">
        <v>1668</v>
      </c>
      <c r="G4" s="2910" t="s">
        <v>2914</v>
      </c>
      <c r="H4" s="1991"/>
      <c r="I4" s="1991"/>
      <c r="J4" s="1991"/>
      <c r="K4" s="1991"/>
      <c r="L4" s="1991"/>
      <c r="M4" s="1991"/>
      <c r="N4" s="1991"/>
      <c r="O4" s="1991"/>
      <c r="P4" s="1991"/>
      <c r="Q4" s="1991"/>
      <c r="R4" s="1991"/>
    </row>
    <row r="5" spans="1:18" ht="41.25">
      <c r="A5" s="1224"/>
      <c r="B5" s="1226" t="s">
        <v>1669</v>
      </c>
      <c r="C5" s="2909" t="s">
        <v>2920</v>
      </c>
      <c r="D5" s="1992"/>
      <c r="E5" s="1227"/>
      <c r="F5" s="1226" t="s">
        <v>2543</v>
      </c>
      <c r="G5" s="2910" t="s">
        <v>2915</v>
      </c>
      <c r="H5" s="1991"/>
      <c r="I5" s="1991"/>
      <c r="J5" s="1991"/>
      <c r="K5" s="1991"/>
      <c r="L5" s="1991"/>
      <c r="M5" s="1991"/>
      <c r="N5" s="1991"/>
      <c r="O5" s="1991"/>
      <c r="P5" s="1991"/>
      <c r="Q5" s="1991"/>
      <c r="R5" s="1991"/>
    </row>
    <row r="6" spans="1:18" ht="54">
      <c r="A6" s="1224"/>
      <c r="B6" s="1226" t="s">
        <v>1655</v>
      </c>
      <c r="C6" s="2910" t="s">
        <v>2914</v>
      </c>
      <c r="D6" s="1992"/>
      <c r="E6" s="1227"/>
      <c r="F6" s="1226" t="s">
        <v>2544</v>
      </c>
      <c r="G6" s="2910" t="s">
        <v>2912</v>
      </c>
      <c r="H6" s="1991"/>
      <c r="I6" s="1991"/>
      <c r="J6" s="1991"/>
      <c r="K6" s="1991"/>
      <c r="L6" s="1991"/>
      <c r="M6" s="1991"/>
      <c r="N6" s="1991"/>
      <c r="O6" s="1991"/>
      <c r="P6" s="1991"/>
      <c r="Q6" s="1991"/>
      <c r="R6" s="1991"/>
    </row>
    <row r="7" spans="1:18" ht="41.25" thickBot="1">
      <c r="A7" s="1224"/>
      <c r="B7" s="1226" t="s">
        <v>2543</v>
      </c>
      <c r="C7" s="2910" t="s">
        <v>2915</v>
      </c>
      <c r="D7" s="1993"/>
      <c r="E7" s="1229"/>
      <c r="F7" s="1230" t="s">
        <v>1670</v>
      </c>
      <c r="G7" s="2913" t="s">
        <v>2916</v>
      </c>
      <c r="H7" s="1991"/>
      <c r="I7" s="1991"/>
      <c r="J7" s="1991"/>
      <c r="K7" s="1991"/>
      <c r="L7" s="1991"/>
      <c r="M7" s="1991"/>
      <c r="N7" s="1991"/>
      <c r="O7" s="1991"/>
      <c r="P7" s="1991"/>
      <c r="Q7" s="1991"/>
      <c r="R7" s="1991"/>
    </row>
    <row r="8" spans="1:18" ht="27">
      <c r="A8" s="1224"/>
      <c r="B8" s="1226" t="s">
        <v>2544</v>
      </c>
      <c r="C8" s="2910" t="s">
        <v>2912</v>
      </c>
      <c r="D8" s="1993"/>
      <c r="E8" s="1993"/>
      <c r="F8" s="1538"/>
      <c r="G8" s="1538"/>
      <c r="H8" s="1991"/>
      <c r="I8" s="1991"/>
      <c r="J8" s="1991"/>
      <c r="K8" s="1991"/>
      <c r="L8" s="1991"/>
      <c r="M8" s="1991"/>
      <c r="N8" s="1991"/>
      <c r="O8" s="1991"/>
      <c r="P8" s="1991"/>
      <c r="Q8" s="1991"/>
      <c r="R8" s="1991"/>
    </row>
    <row r="9" spans="1:18" ht="40.5">
      <c r="A9" s="1224"/>
      <c r="B9" s="1226" t="s">
        <v>1656</v>
      </c>
      <c r="C9" s="2909" t="s">
        <v>2913</v>
      </c>
      <c r="D9" s="1992"/>
      <c r="E9" s="1993"/>
      <c r="F9" s="1538"/>
      <c r="G9" s="1538"/>
      <c r="H9" s="1991"/>
      <c r="I9" s="1991"/>
      <c r="J9" s="1991"/>
      <c r="K9" s="1991"/>
      <c r="L9" s="1991"/>
      <c r="M9" s="1991"/>
      <c r="N9" s="1991"/>
      <c r="O9" s="1991"/>
      <c r="P9" s="1991"/>
      <c r="Q9" s="1991"/>
      <c r="R9" s="1991"/>
    </row>
    <row r="10" spans="1:18" s="1999" customFormat="1" ht="15" thickBot="1">
      <c r="A10" s="1231"/>
      <c r="B10" s="1232" t="s">
        <v>1671</v>
      </c>
      <c r="C10" s="2911"/>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1672</v>
      </c>
      <c r="B13" s="2540"/>
      <c r="C13" s="2540"/>
      <c r="D13" s="1219"/>
      <c r="E13" s="2540"/>
      <c r="F13" s="2540"/>
      <c r="G13" s="2540"/>
    </row>
    <row r="14" spans="1:18" ht="14.25" thickBot="1">
      <c r="A14" s="1233"/>
      <c r="B14" s="1234"/>
      <c r="C14" s="1235" t="s">
        <v>1664</v>
      </c>
      <c r="D14" s="1992"/>
      <c r="E14" s="1236"/>
      <c r="F14" s="1236"/>
      <c r="G14" s="1218" t="s">
        <v>1665</v>
      </c>
    </row>
    <row r="15" spans="1:18" ht="54">
      <c r="A15" s="2550" t="s">
        <v>1657</v>
      </c>
      <c r="B15" s="1237" t="s">
        <v>1653</v>
      </c>
      <c r="C15" s="1238" t="str">
        <f>C3</f>
        <v>估价对象周边居住用地比例、居住小区规模和社区发展完善程度，综合评价居住社区成熟度一般</v>
      </c>
      <c r="D15" s="1992"/>
      <c r="E15" s="2547" t="s">
        <v>1658</v>
      </c>
      <c r="F15" s="1237" t="s">
        <v>1673</v>
      </c>
      <c r="G15" s="1239" t="str">
        <f>G3</f>
        <v>估价对象位于XX开发区，园区建设成熟度XX，产业集聚程度XX</v>
      </c>
    </row>
    <row r="16" spans="1:18" ht="40.5">
      <c r="A16" s="2551"/>
      <c r="B16" s="1240" t="s">
        <v>1667</v>
      </c>
      <c r="C16" s="1241" t="str">
        <f>C4</f>
        <v>估价对象位于XX商圈，周边商业氛围成熟，人流量大，商业繁华度好</v>
      </c>
      <c r="D16" s="1992"/>
      <c r="E16" s="2548"/>
      <c r="F16" s="1242" t="s">
        <v>1668</v>
      </c>
      <c r="G16" s="1004" t="str">
        <f>G4</f>
        <v>估价对象周边道路状况、公共交通通达情况、停车便捷程度，综合评价交通便捷度较好</v>
      </c>
    </row>
    <row r="17" spans="1:7" ht="40.5">
      <c r="A17" s="2551"/>
      <c r="B17" s="1240" t="s">
        <v>1669</v>
      </c>
      <c r="C17" s="1241" t="str">
        <f>C5</f>
        <v>估价对象位于XX商圈，周边办公楼项目较多，入驻率高，办公集聚程度较好</v>
      </c>
      <c r="D17" s="1993"/>
      <c r="E17" s="2548"/>
      <c r="F17" s="1242" t="s">
        <v>1674</v>
      </c>
      <c r="G17" s="2633"/>
    </row>
    <row r="18" spans="1:7" ht="54">
      <c r="A18" s="2551"/>
      <c r="B18" s="1242" t="s">
        <v>1655</v>
      </c>
      <c r="C18" s="1004" t="str">
        <f>C6</f>
        <v>估价对象周边道路状况、公共交通通达情况、停车便捷程度，综合评价交通便捷度较好</v>
      </c>
      <c r="D18" s="1993"/>
      <c r="E18" s="2548"/>
      <c r="F18" s="1242" t="s">
        <v>1670</v>
      </c>
      <c r="G18" s="1004" t="str">
        <f>G7</f>
        <v>该园区内是否有污染型企业，绿化情况，卫生条件，整体环境状况判断</v>
      </c>
    </row>
    <row r="19" spans="1:7" ht="27">
      <c r="A19" s="2551"/>
      <c r="B19" s="1242" t="s">
        <v>1659</v>
      </c>
      <c r="C19" s="2633"/>
      <c r="D19" s="1992"/>
      <c r="E19" s="2548"/>
      <c r="F19" s="1226" t="s">
        <v>2543</v>
      </c>
      <c r="G19" s="1004" t="str">
        <f>G5</f>
        <v>估价对象所在区域公共配套设施齐备情况</v>
      </c>
    </row>
    <row r="20" spans="1:7" ht="40.5">
      <c r="A20" s="2551"/>
      <c r="B20" s="1242" t="s">
        <v>1660</v>
      </c>
      <c r="C20" s="1241" t="str">
        <f>C9</f>
        <v>区域自然环境：；人文环境；综合评价环境状况一般</v>
      </c>
      <c r="D20" s="1993"/>
      <c r="E20" s="2548"/>
      <c r="F20" s="1226" t="s">
        <v>2544</v>
      </c>
      <c r="G20" s="1004" t="str">
        <f>G6</f>
        <v>估价对象所在区域基础设施水平</v>
      </c>
    </row>
    <row r="21" spans="1:7" ht="27">
      <c r="A21" s="2551"/>
      <c r="B21" s="1226" t="s">
        <v>2543</v>
      </c>
      <c r="C21" s="1004" t="str">
        <f>C7</f>
        <v>估价对象所在区域公共配套设施齐备情况</v>
      </c>
      <c r="D21" s="1992"/>
      <c r="E21" s="2548"/>
      <c r="F21" s="1242" t="s">
        <v>1661</v>
      </c>
      <c r="G21" s="2914"/>
    </row>
    <row r="22" spans="1:7" ht="27">
      <c r="A22" s="2551"/>
      <c r="B22" s="1226" t="s">
        <v>2544</v>
      </c>
      <c r="C22" s="1004" t="str">
        <f>C8</f>
        <v>估价对象所在区域基础设施水平</v>
      </c>
      <c r="D22" s="1992"/>
      <c r="E22" s="2548"/>
      <c r="F22" s="1242" t="s">
        <v>1671</v>
      </c>
      <c r="G22" s="2633"/>
    </row>
    <row r="23" spans="1:7" ht="15" thickBot="1">
      <c r="A23" s="2551"/>
      <c r="B23" s="1242" t="s">
        <v>1661</v>
      </c>
      <c r="C23" s="2914"/>
      <c r="E23" s="2549"/>
      <c r="F23" s="1243" t="s">
        <v>1675</v>
      </c>
      <c r="G23" s="2915"/>
    </row>
    <row r="24" spans="1:7" ht="14.25" thickBot="1">
      <c r="A24" s="2552"/>
      <c r="B24" s="1243" t="s">
        <v>1662</v>
      </c>
      <c r="C24" s="1244">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 sqref="B1:B1048576"/>
    </sheetView>
  </sheetViews>
  <sheetFormatPr defaultColWidth="14.625" defaultRowHeight="13.5"/>
  <cols>
    <col min="1" max="1" width="24.375" style="3035" customWidth="1"/>
    <col min="2" max="16384" width="14.625" style="3035"/>
  </cols>
  <sheetData>
    <row r="1" spans="1:9" ht="16.5">
      <c r="A1" s="3036" t="s">
        <v>2839</v>
      </c>
      <c r="B1" s="3036">
        <f>SUM(B14:B23)</f>
        <v>2347917.9900000002</v>
      </c>
      <c r="C1" s="3034"/>
      <c r="D1" s="3034"/>
      <c r="E1" s="3034"/>
      <c r="F1" s="3034"/>
    </row>
    <row r="2" spans="1:9" ht="16.5">
      <c r="A2" s="3036" t="s">
        <v>2840</v>
      </c>
      <c r="B2" s="3036">
        <f>SUM(C14:C23)</f>
        <v>798900</v>
      </c>
      <c r="C2" s="3034"/>
      <c r="D2" s="3034"/>
      <c r="E2" s="3034"/>
      <c r="F2" s="3034"/>
    </row>
    <row r="3" spans="1:9" ht="16.5">
      <c r="A3" s="3036" t="s">
        <v>2841</v>
      </c>
      <c r="B3" s="3037">
        <f>项目基本情况!D3</f>
        <v>44078</v>
      </c>
      <c r="C3" s="3034"/>
      <c r="D3" s="3034"/>
      <c r="E3" s="3034"/>
      <c r="F3" s="3034"/>
    </row>
    <row r="4" spans="1:9" ht="33">
      <c r="A4" s="3036" t="s">
        <v>2842</v>
      </c>
      <c r="B4" s="3036" t="s">
        <v>2843</v>
      </c>
      <c r="C4" s="3036" t="s">
        <v>2844</v>
      </c>
      <c r="D4" s="3036" t="s">
        <v>2845</v>
      </c>
      <c r="E4" s="3034"/>
      <c r="F4" s="3034"/>
    </row>
    <row r="5" spans="1:9" ht="16.5">
      <c r="A5" s="3036" t="s">
        <v>2846</v>
      </c>
      <c r="B5" s="3036" t="e">
        <f>SUM(D14:D23)</f>
        <v>#REF!</v>
      </c>
      <c r="C5" s="3036" t="e">
        <f>ROUND(B5*10000/$B$1,0)</f>
        <v>#REF!</v>
      </c>
      <c r="D5" s="3036" t="e">
        <f>ROUND(B5*10000/$B$2,0)</f>
        <v>#REF!</v>
      </c>
      <c r="E5" s="3034"/>
      <c r="F5" s="3034"/>
    </row>
    <row r="6" spans="1:9" ht="16.5">
      <c r="A6" s="3036" t="s">
        <v>2847</v>
      </c>
      <c r="B6" s="3036">
        <f>SUM(G14:G23)</f>
        <v>0</v>
      </c>
      <c r="C6" s="3036">
        <f t="shared" ref="C6:C8" si="0">ROUND(B6*10000/$B$1,0)</f>
        <v>0</v>
      </c>
      <c r="D6" s="3036">
        <f t="shared" ref="D6:D8" si="1">ROUND(B6*10000/$B$2,0)</f>
        <v>0</v>
      </c>
      <c r="E6" s="3034"/>
      <c r="F6" s="3034"/>
    </row>
    <row r="7" spans="1:9" ht="16.5">
      <c r="A7" s="3036" t="s">
        <v>2848</v>
      </c>
      <c r="B7" s="3036">
        <f>SUM(H14:H23)</f>
        <v>0</v>
      </c>
      <c r="C7" s="3036">
        <f t="shared" si="0"/>
        <v>0</v>
      </c>
      <c r="D7" s="3036">
        <f t="shared" si="1"/>
        <v>0</v>
      </c>
      <c r="E7" s="3034"/>
      <c r="F7" s="3034"/>
    </row>
    <row r="8" spans="1:9" ht="16.5">
      <c r="A8" s="3036" t="s">
        <v>2849</v>
      </c>
      <c r="B8" s="3036">
        <f>SUM(I14:I23)</f>
        <v>0</v>
      </c>
      <c r="C8" s="3036">
        <f t="shared" si="0"/>
        <v>0</v>
      </c>
      <c r="D8" s="3036">
        <f t="shared" si="1"/>
        <v>0</v>
      </c>
      <c r="E8" s="3034"/>
      <c r="F8" s="3034"/>
    </row>
    <row r="9" spans="1:9" ht="16.5">
      <c r="A9" s="3036" t="s">
        <v>2850</v>
      </c>
      <c r="B9" s="2878"/>
      <c r="C9" s="3034"/>
      <c r="D9" s="3034"/>
      <c r="E9" s="3034"/>
      <c r="F9" s="3034"/>
    </row>
    <row r="10" spans="1:9" ht="16.5">
      <c r="A10" s="3036" t="s">
        <v>2851</v>
      </c>
      <c r="B10" s="2878"/>
      <c r="C10" s="3034"/>
      <c r="D10" s="3034"/>
      <c r="E10" s="3034"/>
      <c r="F10" s="3034"/>
    </row>
    <row r="11" spans="1:9" ht="16.5">
      <c r="A11" s="3036" t="s">
        <v>2868</v>
      </c>
      <c r="B11" s="2878"/>
      <c r="C11" s="3034"/>
      <c r="D11" s="3034"/>
      <c r="E11" s="3034"/>
      <c r="F11" s="3034"/>
    </row>
    <row r="12" spans="1:9" ht="16.5">
      <c r="A12" s="3034"/>
      <c r="B12" s="3034"/>
      <c r="C12" s="3034"/>
      <c r="D12" s="3034"/>
      <c r="E12" s="3034"/>
      <c r="F12" s="3034"/>
    </row>
    <row r="13" spans="1:9" ht="33">
      <c r="A13" s="3038" t="s">
        <v>2867</v>
      </c>
      <c r="B13" s="3039" t="s">
        <v>2839</v>
      </c>
      <c r="C13" s="3039" t="s">
        <v>2840</v>
      </c>
      <c r="D13" s="3039" t="s">
        <v>2852</v>
      </c>
      <c r="E13" s="3036" t="s">
        <v>2866</v>
      </c>
      <c r="F13" s="3036" t="s">
        <v>2845</v>
      </c>
      <c r="G13" s="3039" t="s">
        <v>2853</v>
      </c>
      <c r="H13" s="3039" t="s">
        <v>2854</v>
      </c>
      <c r="I13" s="3039" t="s">
        <v>2855</v>
      </c>
    </row>
    <row r="14" spans="1:9" ht="16.5">
      <c r="A14" s="3040" t="s">
        <v>2865</v>
      </c>
      <c r="B14" s="3041">
        <f>结果表!L38</f>
        <v>2347917.9900000002</v>
      </c>
      <c r="C14" s="3041">
        <f>结果表!K38</f>
        <v>798900</v>
      </c>
      <c r="D14" s="3041" t="e">
        <f>#REF!</f>
        <v>#REF!</v>
      </c>
      <c r="E14" s="3039" t="e">
        <f>ROUND(D14*10000/B14,0)</f>
        <v>#REF!</v>
      </c>
      <c r="F14" s="3039" t="e">
        <f>ROUND(D14*10000/C14,0)</f>
        <v>#REF!</v>
      </c>
      <c r="G14" s="3041" t="str">
        <f>结果表!C44</f>
        <v>——</v>
      </c>
      <c r="H14" s="3041" t="str">
        <f>结果表!C45</f>
        <v>——</v>
      </c>
      <c r="I14" s="3041" t="str">
        <f>结果表!C46</f>
        <v>——</v>
      </c>
    </row>
    <row r="15" spans="1:9" ht="16.5">
      <c r="A15" s="3040" t="s">
        <v>2856</v>
      </c>
      <c r="B15" s="2880"/>
      <c r="C15" s="2880"/>
      <c r="D15" s="2880"/>
      <c r="E15" s="3039" t="e">
        <f t="shared" ref="E15:E23" si="2">ROUND(D15*10000/B15,0)</f>
        <v>#DIV/0!</v>
      </c>
      <c r="F15" s="3039" t="e">
        <f t="shared" ref="F15:F23" si="3">ROUND(D15*10000/C15,0)</f>
        <v>#DIV/0!</v>
      </c>
      <c r="G15" s="2879"/>
      <c r="H15" s="2879"/>
      <c r="I15" s="2880"/>
    </row>
    <row r="16" spans="1:9" ht="16.5">
      <c r="A16" s="3040" t="s">
        <v>2857</v>
      </c>
      <c r="B16" s="2880"/>
      <c r="C16" s="2880"/>
      <c r="D16" s="2880"/>
      <c r="E16" s="3039" t="e">
        <f t="shared" si="2"/>
        <v>#DIV/0!</v>
      </c>
      <c r="F16" s="3039" t="e">
        <f t="shared" si="3"/>
        <v>#DIV/0!</v>
      </c>
      <c r="G16" s="2879"/>
      <c r="H16" s="2879"/>
      <c r="I16" s="2880"/>
    </row>
    <row r="17" spans="1:9" ht="16.5">
      <c r="A17" s="3040" t="s">
        <v>2858</v>
      </c>
      <c r="B17" s="2880"/>
      <c r="C17" s="2880"/>
      <c r="D17" s="2880"/>
      <c r="E17" s="3039" t="e">
        <f t="shared" si="2"/>
        <v>#DIV/0!</v>
      </c>
      <c r="F17" s="3039" t="e">
        <f t="shared" si="3"/>
        <v>#DIV/0!</v>
      </c>
      <c r="G17" s="2879"/>
      <c r="H17" s="2879"/>
      <c r="I17" s="2880"/>
    </row>
    <row r="18" spans="1:9" ht="16.5">
      <c r="A18" s="3040" t="s">
        <v>2859</v>
      </c>
      <c r="B18" s="2880"/>
      <c r="C18" s="2880"/>
      <c r="D18" s="2880"/>
      <c r="E18" s="3039" t="e">
        <f t="shared" si="2"/>
        <v>#DIV/0!</v>
      </c>
      <c r="F18" s="3039" t="e">
        <f t="shared" si="3"/>
        <v>#DIV/0!</v>
      </c>
      <c r="G18" s="2880"/>
      <c r="H18" s="2880"/>
      <c r="I18" s="2880"/>
    </row>
    <row r="19" spans="1:9" ht="16.5">
      <c r="A19" s="3040" t="s">
        <v>2860</v>
      </c>
      <c r="B19" s="2880"/>
      <c r="C19" s="2880"/>
      <c r="D19" s="2880"/>
      <c r="E19" s="3039" t="e">
        <f t="shared" si="2"/>
        <v>#DIV/0!</v>
      </c>
      <c r="F19" s="3039" t="e">
        <f t="shared" si="3"/>
        <v>#DIV/0!</v>
      </c>
      <c r="G19" s="2880"/>
      <c r="H19" s="2880"/>
      <c r="I19" s="2880"/>
    </row>
    <row r="20" spans="1:9" ht="16.5">
      <c r="A20" s="3040" t="s">
        <v>2861</v>
      </c>
      <c r="B20" s="2880"/>
      <c r="C20" s="2880"/>
      <c r="D20" s="2880"/>
      <c r="E20" s="3039" t="e">
        <f t="shared" si="2"/>
        <v>#DIV/0!</v>
      </c>
      <c r="F20" s="3039" t="e">
        <f t="shared" si="3"/>
        <v>#DIV/0!</v>
      </c>
      <c r="G20" s="2880"/>
      <c r="H20" s="2880"/>
      <c r="I20" s="2880"/>
    </row>
    <row r="21" spans="1:9" ht="16.5">
      <c r="A21" s="3040" t="s">
        <v>2862</v>
      </c>
      <c r="B21" s="2880"/>
      <c r="C21" s="2880"/>
      <c r="D21" s="2880"/>
      <c r="E21" s="3039" t="e">
        <f t="shared" si="2"/>
        <v>#DIV/0!</v>
      </c>
      <c r="F21" s="3039" t="e">
        <f t="shared" si="3"/>
        <v>#DIV/0!</v>
      </c>
      <c r="G21" s="2880"/>
      <c r="H21" s="2880"/>
      <c r="I21" s="2880"/>
    </row>
    <row r="22" spans="1:9" ht="16.5">
      <c r="A22" s="3040" t="s">
        <v>2863</v>
      </c>
      <c r="B22" s="2880"/>
      <c r="C22" s="2880"/>
      <c r="D22" s="2880"/>
      <c r="E22" s="3039" t="e">
        <f t="shared" si="2"/>
        <v>#DIV/0!</v>
      </c>
      <c r="F22" s="3039" t="e">
        <f t="shared" si="3"/>
        <v>#DIV/0!</v>
      </c>
      <c r="G22" s="2880"/>
      <c r="H22" s="2880"/>
      <c r="I22" s="2880"/>
    </row>
    <row r="23" spans="1:9" ht="16.5">
      <c r="A23" s="3040" t="s">
        <v>2864</v>
      </c>
      <c r="B23" s="2880"/>
      <c r="C23" s="2880"/>
      <c r="D23" s="2880"/>
      <c r="E23" s="3036" t="e">
        <f t="shared" si="2"/>
        <v>#DIV/0!</v>
      </c>
      <c r="F23" s="3036" t="e">
        <f t="shared" si="3"/>
        <v>#DIV/0!</v>
      </c>
      <c r="G23" s="2880"/>
      <c r="H23" s="2880"/>
      <c r="I23" s="2880"/>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5"/>
  <sheetViews>
    <sheetView workbookViewId="0">
      <selection activeCell="E18" sqref="E18"/>
    </sheetView>
  </sheetViews>
  <sheetFormatPr defaultRowHeight="13.5"/>
  <cols>
    <col min="1" max="1" width="16.875" customWidth="1"/>
    <col min="2" max="2" width="16.625" customWidth="1"/>
    <col min="4" max="4" width="13" customWidth="1"/>
    <col min="5" max="5" width="15.125" customWidth="1"/>
  </cols>
  <sheetData>
    <row r="1" spans="1:5">
      <c r="A1" s="3256" t="s">
        <v>3220</v>
      </c>
      <c r="B1" s="3254">
        <f>B35+E30</f>
        <v>79.89</v>
      </c>
      <c r="C1" s="3212" t="s">
        <v>3226</v>
      </c>
      <c r="D1" s="3212" t="s">
        <v>3221</v>
      </c>
    </row>
    <row r="2" spans="1:5">
      <c r="A2" s="3212" t="s">
        <v>3216</v>
      </c>
      <c r="B2" s="3212" t="s">
        <v>3217</v>
      </c>
      <c r="D2" s="3212" t="s">
        <v>3218</v>
      </c>
      <c r="E2" s="3212" t="s">
        <v>3217</v>
      </c>
    </row>
    <row r="3" spans="1:5">
      <c r="A3" s="3212"/>
      <c r="B3">
        <v>1.73</v>
      </c>
      <c r="E3">
        <v>1.67</v>
      </c>
    </row>
    <row r="4" spans="1:5">
      <c r="A4" s="3212"/>
      <c r="B4">
        <v>1.06</v>
      </c>
      <c r="E4">
        <v>2.38</v>
      </c>
    </row>
    <row r="5" spans="1:5">
      <c r="A5" s="3212"/>
      <c r="B5">
        <v>1.52</v>
      </c>
      <c r="E5">
        <v>1.44</v>
      </c>
    </row>
    <row r="6" spans="1:5">
      <c r="A6" s="3212"/>
      <c r="B6">
        <v>3.3</v>
      </c>
      <c r="E6">
        <v>1</v>
      </c>
    </row>
    <row r="7" spans="1:5">
      <c r="A7" s="3212"/>
      <c r="B7">
        <v>2.57</v>
      </c>
      <c r="E7">
        <v>1.23</v>
      </c>
    </row>
    <row r="8" spans="1:5">
      <c r="A8" s="3212"/>
      <c r="B8">
        <v>1.43</v>
      </c>
      <c r="E8">
        <v>1.35</v>
      </c>
    </row>
    <row r="9" spans="1:5">
      <c r="A9" s="3212"/>
      <c r="B9">
        <v>2.56</v>
      </c>
      <c r="E9">
        <v>1.5</v>
      </c>
    </row>
    <row r="10" spans="1:5">
      <c r="A10" s="3212"/>
      <c r="B10">
        <v>3.12</v>
      </c>
      <c r="E10">
        <v>1.35</v>
      </c>
    </row>
    <row r="11" spans="1:5">
      <c r="A11" s="3212"/>
      <c r="B11">
        <v>0.4</v>
      </c>
      <c r="E11">
        <v>0.42</v>
      </c>
    </row>
    <row r="12" spans="1:5">
      <c r="A12" s="3212"/>
      <c r="B12">
        <v>0.31</v>
      </c>
      <c r="E12">
        <v>0.42</v>
      </c>
    </row>
    <row r="13" spans="1:5">
      <c r="A13" s="3212"/>
      <c r="B13">
        <v>0.18</v>
      </c>
      <c r="E13">
        <v>0.4</v>
      </c>
    </row>
    <row r="14" spans="1:5">
      <c r="A14" s="3212"/>
      <c r="B14">
        <v>0.41</v>
      </c>
      <c r="E14">
        <v>0.18</v>
      </c>
    </row>
    <row r="15" spans="1:5">
      <c r="A15" s="3212"/>
      <c r="B15">
        <v>0.39</v>
      </c>
      <c r="E15">
        <v>0.28999999999999998</v>
      </c>
    </row>
    <row r="16" spans="1:5">
      <c r="A16" s="3212"/>
      <c r="B16">
        <v>0.49</v>
      </c>
      <c r="E16">
        <v>2.34</v>
      </c>
    </row>
    <row r="17" spans="1:5">
      <c r="A17" s="3212"/>
      <c r="B17">
        <v>2.0699999999999998</v>
      </c>
      <c r="E17">
        <v>2.04</v>
      </c>
    </row>
    <row r="18" spans="1:5">
      <c r="A18" s="3212"/>
      <c r="B18">
        <v>1.45</v>
      </c>
      <c r="E18">
        <v>2.16</v>
      </c>
    </row>
    <row r="19" spans="1:5">
      <c r="A19" s="3212"/>
      <c r="B19">
        <v>1.63</v>
      </c>
      <c r="E19">
        <v>1.26</v>
      </c>
    </row>
    <row r="20" spans="1:5">
      <c r="A20" s="3212"/>
      <c r="B20">
        <v>0.92</v>
      </c>
      <c r="E20">
        <v>0.5</v>
      </c>
    </row>
    <row r="21" spans="1:5">
      <c r="A21" s="3212"/>
      <c r="B21">
        <v>0.94</v>
      </c>
      <c r="E21">
        <v>0.26</v>
      </c>
    </row>
    <row r="22" spans="1:5">
      <c r="A22" s="3212"/>
      <c r="B22">
        <v>1.0900000000000001</v>
      </c>
      <c r="E22">
        <v>1.95</v>
      </c>
    </row>
    <row r="23" spans="1:5">
      <c r="A23" s="3212"/>
      <c r="B23">
        <v>1.21</v>
      </c>
      <c r="E23">
        <v>0.37</v>
      </c>
    </row>
    <row r="24" spans="1:5">
      <c r="A24" s="3212"/>
      <c r="B24">
        <v>0.4</v>
      </c>
      <c r="E24">
        <v>0.4</v>
      </c>
    </row>
    <row r="25" spans="1:5">
      <c r="A25" s="3212"/>
      <c r="B25">
        <v>0.3</v>
      </c>
      <c r="E25">
        <v>0.34</v>
      </c>
    </row>
    <row r="26" spans="1:5">
      <c r="A26" s="3212"/>
      <c r="B26">
        <v>0.35</v>
      </c>
      <c r="E26">
        <v>0.69</v>
      </c>
    </row>
    <row r="27" spans="1:5">
      <c r="A27" s="3212"/>
      <c r="B27">
        <v>0.75</v>
      </c>
      <c r="E27">
        <v>1.51</v>
      </c>
    </row>
    <row r="28" spans="1:5">
      <c r="A28" s="3212"/>
      <c r="B28">
        <v>1.08</v>
      </c>
      <c r="E28">
        <v>1.35</v>
      </c>
    </row>
    <row r="29" spans="1:5">
      <c r="A29" s="3212"/>
      <c r="B29">
        <v>1.42</v>
      </c>
      <c r="E29">
        <v>1.37</v>
      </c>
    </row>
    <row r="30" spans="1:5">
      <c r="A30" s="3212"/>
      <c r="B30">
        <v>2.82</v>
      </c>
      <c r="E30" s="3254">
        <f>SUM(E3:E29)</f>
        <v>30.170000000000005</v>
      </c>
    </row>
    <row r="31" spans="1:5">
      <c r="A31" s="3212"/>
      <c r="B31">
        <v>1.1299999999999999</v>
      </c>
    </row>
    <row r="32" spans="1:5">
      <c r="A32" s="3212"/>
      <c r="B32">
        <v>3.46</v>
      </c>
    </row>
    <row r="33" spans="1:2">
      <c r="A33" s="3212"/>
      <c r="B33">
        <v>1.33</v>
      </c>
    </row>
    <row r="34" spans="1:2">
      <c r="A34" s="3212"/>
      <c r="B34">
        <v>7.9</v>
      </c>
    </row>
    <row r="35" spans="1:2">
      <c r="B35" s="3254">
        <f>SUM(B3:B34)</f>
        <v>49.72</v>
      </c>
    </row>
  </sheetData>
  <phoneticPr fontId="228"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0"/>
  <sheetViews>
    <sheetView topLeftCell="C1" workbookViewId="0">
      <selection activeCell="E15" activeCellId="2" sqref="E6:E7 E14 E15"/>
    </sheetView>
  </sheetViews>
  <sheetFormatPr defaultColWidth="9" defaultRowHeight="13.5"/>
  <cols>
    <col min="1" max="3" width="9" style="3225"/>
    <col min="4" max="4" width="33.75" style="3225" customWidth="1"/>
    <col min="5" max="5" width="12.125" style="3225" customWidth="1"/>
    <col min="6" max="6" width="11.875" style="3225" customWidth="1"/>
    <col min="7" max="7" width="13.375" style="3225" customWidth="1"/>
    <col min="8" max="8" width="14.125" style="3225" customWidth="1"/>
    <col min="9" max="9" width="14.625" style="3225" customWidth="1"/>
    <col min="10" max="10" width="50" style="3225" customWidth="1"/>
    <col min="11" max="16384" width="9" style="3225"/>
  </cols>
  <sheetData>
    <row r="1" spans="2:10">
      <c r="B1" s="3357" t="s">
        <v>3101</v>
      </c>
      <c r="C1" s="3357"/>
      <c r="D1" s="3357"/>
      <c r="E1" s="3357"/>
      <c r="F1" s="3357"/>
      <c r="G1" s="3357"/>
      <c r="H1" s="3357"/>
      <c r="I1" s="3357"/>
      <c r="J1" s="3357"/>
    </row>
    <row r="2" spans="2:10">
      <c r="B2" s="3357"/>
      <c r="C2" s="3357"/>
      <c r="D2" s="3357"/>
      <c r="E2" s="3357"/>
      <c r="F2" s="3357"/>
      <c r="G2" s="3357"/>
      <c r="H2" s="3357"/>
      <c r="I2" s="3357"/>
      <c r="J2" s="3357"/>
    </row>
    <row r="3" spans="2:10">
      <c r="B3" s="3229"/>
      <c r="C3" s="3229"/>
      <c r="D3" s="3229" t="s">
        <v>2373</v>
      </c>
      <c r="E3" s="3229" t="s">
        <v>3102</v>
      </c>
      <c r="F3" s="3229" t="s">
        <v>3103</v>
      </c>
      <c r="G3" s="3229" t="s">
        <v>2843</v>
      </c>
      <c r="H3" s="3229" t="s">
        <v>3103</v>
      </c>
      <c r="I3" s="3229" t="s">
        <v>2843</v>
      </c>
      <c r="J3" s="3226" t="s">
        <v>3079</v>
      </c>
    </row>
    <row r="4" spans="2:10">
      <c r="B4" s="3229">
        <v>1</v>
      </c>
      <c r="C4" s="3357" t="s">
        <v>3104</v>
      </c>
      <c r="D4" s="3357"/>
      <c r="E4" s="3235"/>
      <c r="F4" s="3229"/>
      <c r="G4" s="3229"/>
      <c r="H4" s="3229"/>
      <c r="I4" s="3229"/>
      <c r="J4" s="3226"/>
    </row>
    <row r="5" spans="2:10" s="3238" customFormat="1" ht="40.5">
      <c r="B5" s="3236">
        <v>1.1000000000000001</v>
      </c>
      <c r="C5" s="3358" t="s">
        <v>3105</v>
      </c>
      <c r="D5" s="3358"/>
      <c r="E5" s="3236"/>
      <c r="F5" s="3236"/>
      <c r="G5" s="3236">
        <v>31445.439999999999</v>
      </c>
      <c r="H5" s="3236"/>
      <c r="I5" s="3236"/>
      <c r="J5" s="3237" t="s">
        <v>3106</v>
      </c>
    </row>
    <row r="6" spans="2:10">
      <c r="B6" s="3229"/>
      <c r="C6" s="3229"/>
      <c r="D6" s="3229" t="s">
        <v>3107</v>
      </c>
      <c r="E6" s="3239">
        <v>24384</v>
      </c>
      <c r="F6" s="3229"/>
      <c r="G6" s="3229"/>
      <c r="H6" s="3229"/>
      <c r="I6" s="3229"/>
      <c r="J6" s="3240" t="s">
        <v>3108</v>
      </c>
    </row>
    <row r="7" spans="2:10">
      <c r="B7" s="3229"/>
      <c r="C7" s="3229"/>
      <c r="D7" s="3229" t="s">
        <v>3109</v>
      </c>
      <c r="E7" s="3239">
        <v>467527</v>
      </c>
      <c r="F7" s="3229"/>
      <c r="G7" s="3229"/>
      <c r="H7" s="3229"/>
      <c r="I7" s="3229"/>
      <c r="J7" s="3240"/>
    </row>
    <row r="8" spans="2:10">
      <c r="B8" s="3229"/>
      <c r="C8" s="3229"/>
      <c r="D8" s="3229" t="s">
        <v>3076</v>
      </c>
      <c r="E8" s="3239">
        <v>80049</v>
      </c>
      <c r="F8" s="3229"/>
      <c r="G8" s="3229"/>
      <c r="H8" s="3229"/>
      <c r="I8" s="3229"/>
      <c r="J8" s="3240" t="s">
        <v>3110</v>
      </c>
    </row>
    <row r="9" spans="2:10" ht="12.75" customHeight="1">
      <c r="B9" s="3229"/>
      <c r="C9" s="3229"/>
      <c r="D9" s="3229" t="s">
        <v>3061</v>
      </c>
      <c r="E9" s="3239">
        <v>50770</v>
      </c>
      <c r="F9" s="3229"/>
      <c r="G9" s="3229"/>
      <c r="H9" s="3229"/>
      <c r="I9" s="3229"/>
      <c r="J9" s="3240" t="s">
        <v>3111</v>
      </c>
    </row>
    <row r="10" spans="2:10">
      <c r="B10" s="3229"/>
      <c r="C10" s="3229"/>
      <c r="D10" s="3229" t="s">
        <v>3077</v>
      </c>
      <c r="E10" s="3239">
        <v>7200</v>
      </c>
      <c r="F10" s="3229"/>
      <c r="G10" s="3229"/>
      <c r="H10" s="3229"/>
      <c r="I10" s="3229"/>
      <c r="J10" s="3241" t="s">
        <v>3112</v>
      </c>
    </row>
    <row r="11" spans="2:10">
      <c r="B11" s="3229"/>
      <c r="C11" s="3229"/>
      <c r="D11" s="3229" t="s">
        <v>3075</v>
      </c>
      <c r="E11" s="3239">
        <v>8200</v>
      </c>
      <c r="F11" s="3229"/>
      <c r="G11" s="3229"/>
      <c r="H11" s="3229"/>
      <c r="I11" s="3229"/>
      <c r="J11" s="3240"/>
    </row>
    <row r="12" spans="2:10">
      <c r="B12" s="3229"/>
      <c r="C12" s="3229"/>
      <c r="D12" s="3229" t="s">
        <v>3113</v>
      </c>
      <c r="E12" s="3239">
        <v>2960</v>
      </c>
      <c r="F12" s="3229"/>
      <c r="G12" s="3229"/>
      <c r="H12" s="3229"/>
      <c r="I12" s="3229"/>
      <c r="J12" s="3240"/>
    </row>
    <row r="13" spans="2:10" s="3238" customFormat="1">
      <c r="B13" s="3236">
        <v>1.2</v>
      </c>
      <c r="C13" s="3358" t="s">
        <v>3114</v>
      </c>
      <c r="D13" s="3358"/>
      <c r="E13" s="3236"/>
      <c r="F13" s="3236">
        <v>2.2999999999999998</v>
      </c>
      <c r="G13" s="3236"/>
      <c r="H13" s="3236">
        <v>2.6</v>
      </c>
      <c r="I13" s="3236"/>
      <c r="J13" s="3242"/>
    </row>
    <row r="14" spans="2:10">
      <c r="B14" s="3229"/>
      <c r="C14" s="3229"/>
      <c r="D14" s="3229" t="s">
        <v>3109</v>
      </c>
      <c r="E14" s="3243">
        <v>494348</v>
      </c>
      <c r="F14" s="3229"/>
      <c r="G14" s="3229"/>
      <c r="H14" s="3229"/>
      <c r="I14" s="3229"/>
      <c r="J14" s="3226"/>
    </row>
    <row r="15" spans="2:10">
      <c r="B15" s="3229"/>
      <c r="C15" s="3229"/>
      <c r="D15" s="3229" t="s">
        <v>3115</v>
      </c>
      <c r="E15" s="3243">
        <v>18000</v>
      </c>
      <c r="F15" s="3229"/>
      <c r="G15" s="3229"/>
      <c r="H15" s="3229"/>
      <c r="I15" s="3229"/>
      <c r="J15" s="3226"/>
    </row>
    <row r="16" spans="2:10">
      <c r="B16" s="3229"/>
      <c r="C16" s="3229"/>
      <c r="D16" s="3229" t="s">
        <v>3076</v>
      </c>
      <c r="E16" s="3243">
        <v>84043.99</v>
      </c>
      <c r="F16" s="3229"/>
      <c r="G16" s="3229"/>
      <c r="H16" s="3229"/>
      <c r="I16" s="3229"/>
      <c r="J16" s="3226"/>
    </row>
    <row r="17" spans="2:10">
      <c r="B17" s="3229"/>
      <c r="C17" s="3229"/>
      <c r="D17" s="3229" t="s">
        <v>3061</v>
      </c>
      <c r="E17" s="3243">
        <v>181926</v>
      </c>
      <c r="F17" s="3229"/>
      <c r="G17" s="3229"/>
      <c r="H17" s="3229"/>
      <c r="I17" s="3229"/>
      <c r="J17" s="3226"/>
    </row>
    <row r="18" spans="2:10">
      <c r="B18" s="3229"/>
      <c r="C18" s="3229"/>
      <c r="D18" s="3229" t="s">
        <v>3078</v>
      </c>
      <c r="E18" s="3243">
        <v>79000</v>
      </c>
      <c r="F18" s="3229"/>
      <c r="G18" s="3229"/>
      <c r="H18" s="3229"/>
      <c r="I18" s="3229"/>
      <c r="J18" s="3226"/>
    </row>
    <row r="19" spans="2:10">
      <c r="B19" s="3229"/>
      <c r="C19" s="3229"/>
      <c r="D19" s="3229" t="s">
        <v>3077</v>
      </c>
      <c r="E19" s="3243">
        <v>7200</v>
      </c>
      <c r="F19" s="3229"/>
      <c r="G19" s="3229"/>
      <c r="H19" s="3229"/>
      <c r="I19" s="3229"/>
      <c r="J19" s="3226"/>
    </row>
    <row r="20" spans="2:10">
      <c r="B20" s="3229"/>
      <c r="C20" s="3229"/>
      <c r="D20" s="3230" t="s">
        <v>3116</v>
      </c>
      <c r="E20" s="3243">
        <v>30310</v>
      </c>
      <c r="F20" s="3229"/>
      <c r="G20" s="3229"/>
      <c r="H20" s="3229"/>
      <c r="I20" s="3229"/>
      <c r="J20" s="3226"/>
    </row>
    <row r="21" spans="2:10" s="3244" customFormat="1">
      <c r="B21" s="3235">
        <v>2</v>
      </c>
      <c r="C21" s="3354" t="s">
        <v>3117</v>
      </c>
      <c r="D21" s="3354"/>
      <c r="F21" s="3235"/>
      <c r="G21" s="3235"/>
      <c r="H21" s="3235"/>
      <c r="I21" s="3235"/>
      <c r="J21" s="3245"/>
    </row>
    <row r="22" spans="2:10" s="3244" customFormat="1">
      <c r="B22" s="3235">
        <v>2.1</v>
      </c>
      <c r="C22" s="3354" t="s">
        <v>3118</v>
      </c>
      <c r="D22" s="3354"/>
      <c r="E22" s="3235"/>
      <c r="F22" s="3235"/>
      <c r="G22" s="3235"/>
      <c r="H22" s="3235"/>
      <c r="I22" s="3235"/>
      <c r="J22" s="3245"/>
    </row>
    <row r="23" spans="2:10" s="3244" customFormat="1">
      <c r="B23" s="3235">
        <v>2.2000000000000002</v>
      </c>
      <c r="C23" s="3354" t="s">
        <v>3119</v>
      </c>
      <c r="D23" s="3354"/>
      <c r="E23" s="3235"/>
      <c r="F23" s="3235"/>
      <c r="G23" s="3235"/>
      <c r="H23" s="3235"/>
      <c r="I23" s="3235"/>
      <c r="J23" s="3245"/>
    </row>
    <row r="24" spans="2:10" s="3244" customFormat="1">
      <c r="B24" s="3235" t="s">
        <v>3120</v>
      </c>
      <c r="C24" s="3354" t="s">
        <v>3121</v>
      </c>
      <c r="D24" s="3354"/>
      <c r="E24" s="3235">
        <f>E17+E9</f>
        <v>232696</v>
      </c>
      <c r="F24" s="3235"/>
      <c r="G24" s="3235"/>
      <c r="H24" s="3235"/>
      <c r="I24" s="3235"/>
      <c r="J24" s="3245"/>
    </row>
    <row r="25" spans="2:10" s="3244" customFormat="1">
      <c r="B25" s="3235" t="s">
        <v>3122</v>
      </c>
      <c r="C25" s="3355" t="s">
        <v>3123</v>
      </c>
      <c r="D25" s="3356"/>
      <c r="E25" s="3246">
        <v>830000</v>
      </c>
      <c r="F25" s="3235"/>
      <c r="G25" s="3235"/>
      <c r="H25" s="3235"/>
      <c r="I25" s="3235"/>
      <c r="J25" s="3245"/>
    </row>
    <row r="26" spans="2:10" s="3244" customFormat="1">
      <c r="B26" s="3235">
        <v>3</v>
      </c>
      <c r="C26" s="3355" t="s">
        <v>3124</v>
      </c>
      <c r="D26" s="3356"/>
      <c r="E26" s="3246"/>
      <c r="F26" s="3235"/>
      <c r="G26" s="3235"/>
      <c r="H26" s="3235"/>
      <c r="I26" s="3235"/>
      <c r="J26" s="3245" t="s">
        <v>3125</v>
      </c>
    </row>
    <row r="27" spans="2:10" s="3244" customFormat="1">
      <c r="B27" s="3235"/>
      <c r="C27" s="3354" t="s">
        <v>24</v>
      </c>
      <c r="D27" s="3354"/>
      <c r="E27" s="3235"/>
      <c r="F27" s="3235"/>
      <c r="G27" s="3235"/>
      <c r="H27" s="3235"/>
      <c r="I27" s="3235"/>
      <c r="J27" s="3245"/>
    </row>
    <row r="28" spans="2:10" s="3244" customFormat="1"/>
    <row r="29" spans="2:10" ht="27" customHeight="1">
      <c r="B29" s="3247" t="s">
        <v>3126</v>
      </c>
      <c r="C29" s="3247"/>
      <c r="D29" s="3247"/>
      <c r="E29" s="3247"/>
      <c r="F29" s="3247"/>
      <c r="G29" s="3247"/>
      <c r="H29" s="3247"/>
      <c r="I29" s="3247"/>
      <c r="J29" s="3247"/>
    </row>
    <row r="30" spans="2:10">
      <c r="E30" s="3235">
        <f>SUM(E6:E20)</f>
        <v>1535917.99</v>
      </c>
    </row>
  </sheetData>
  <mergeCells count="11">
    <mergeCell ref="C22:D22"/>
    <mergeCell ref="B1:J2"/>
    <mergeCell ref="C4:D4"/>
    <mergeCell ref="C5:D5"/>
    <mergeCell ref="C13:D13"/>
    <mergeCell ref="C21:D21"/>
    <mergeCell ref="C23:D23"/>
    <mergeCell ref="C24:D24"/>
    <mergeCell ref="C25:D25"/>
    <mergeCell ref="C26:D26"/>
    <mergeCell ref="C27:D27"/>
  </mergeCells>
  <phoneticPr fontId="228" type="noConversion"/>
  <pageMargins left="0.75138888888888899" right="0.75138888888888899" top="1" bottom="1" header="0.51180555555555596" footer="0.51180555555555596"/>
  <pageSetup paperSize="9"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K40"/>
  <sheetViews>
    <sheetView topLeftCell="A8" workbookViewId="0">
      <selection activeCell="B20" sqref="B20:B24"/>
    </sheetView>
  </sheetViews>
  <sheetFormatPr defaultRowHeight="13.5"/>
  <cols>
    <col min="1" max="1" width="21.75" customWidth="1"/>
    <col min="2" max="2" width="13.25" customWidth="1"/>
    <col min="3" max="3" width="18.75" customWidth="1"/>
    <col min="4" max="4" width="16.375" customWidth="1"/>
    <col min="6" max="6" width="19.375" customWidth="1"/>
    <col min="7" max="7" width="17.25" customWidth="1"/>
    <col min="8" max="8" width="16.75" customWidth="1"/>
  </cols>
  <sheetData>
    <row r="2" spans="1:11" ht="20.25" customHeight="1">
      <c r="A2" s="3260" t="s">
        <v>3234</v>
      </c>
      <c r="B2" s="3260" t="s">
        <v>3233</v>
      </c>
      <c r="C2" s="3260">
        <f>'土地比较法-住宅、综合'!C50</f>
        <v>14582</v>
      </c>
      <c r="D2" s="3260" t="s">
        <v>3232</v>
      </c>
    </row>
    <row r="3" spans="1:11" ht="28.5">
      <c r="A3" s="3207" t="s">
        <v>2866</v>
      </c>
      <c r="B3" s="3208" t="s">
        <v>3053</v>
      </c>
      <c r="C3" s="3208" t="s">
        <v>3049</v>
      </c>
      <c r="D3" s="3210" t="s">
        <v>3050</v>
      </c>
      <c r="E3" s="3210" t="s">
        <v>3049</v>
      </c>
      <c r="F3" s="3206" t="s">
        <v>3241</v>
      </c>
      <c r="G3" s="3206" t="s">
        <v>3240</v>
      </c>
      <c r="H3" s="3209" t="s">
        <v>3224</v>
      </c>
    </row>
    <row r="4" spans="1:11" ht="14.25">
      <c r="A4" s="3207" t="s">
        <v>3095</v>
      </c>
      <c r="B4" s="3228">
        <f ca="1">'基准地价-住宅'!C29</f>
        <v>11463</v>
      </c>
      <c r="C4" s="3208">
        <v>0.3</v>
      </c>
      <c r="D4" s="3210">
        <f ca="1">'剩余法-住宅'!B3</f>
        <v>13653</v>
      </c>
      <c r="E4" s="3210">
        <v>0.7</v>
      </c>
      <c r="F4" s="3206">
        <f ca="1">ROUND(B4*C4+D4*E4,0)</f>
        <v>12996</v>
      </c>
      <c r="G4" s="3206">
        <f ca="1">ROUND(F4*0.25,0)</f>
        <v>3249</v>
      </c>
      <c r="H4" s="3360">
        <f ca="1">成本逼近法!B3</f>
        <v>14352</v>
      </c>
    </row>
    <row r="5" spans="1:11" ht="14.25">
      <c r="A5" s="3207" t="s">
        <v>3096</v>
      </c>
      <c r="B5" s="3228">
        <f ca="1">'基准地价-商业'!C29</f>
        <v>11262</v>
      </c>
      <c r="C5" s="3208">
        <f>C4</f>
        <v>0.3</v>
      </c>
      <c r="D5" s="3210">
        <f ca="1">'剩余法-商业'!B3</f>
        <v>11335</v>
      </c>
      <c r="E5" s="3210">
        <f t="shared" ref="E5:E8" si="0">1-C5</f>
        <v>0.7</v>
      </c>
      <c r="F5" s="3206">
        <f t="shared" ref="F5:F8" ca="1" si="1">ROUND(B5*C5+D5*E5,0)</f>
        <v>11313</v>
      </c>
      <c r="G5" s="3206">
        <f t="shared" ref="G5:G8" ca="1" si="2">ROUND(F5*0.25,0)</f>
        <v>2828</v>
      </c>
      <c r="H5" s="3361"/>
    </row>
    <row r="6" spans="1:11" ht="14.25">
      <c r="A6" s="3207" t="s">
        <v>3225</v>
      </c>
      <c r="B6" s="3228">
        <f ca="1">'基准地价-办公'!C29</f>
        <v>11061</v>
      </c>
      <c r="C6" s="3208">
        <f>C4</f>
        <v>0.3</v>
      </c>
      <c r="D6" s="3210">
        <f ca="1">'剩余法-办公'!B3</f>
        <v>9894</v>
      </c>
      <c r="E6" s="3210">
        <f>E4</f>
        <v>0.7</v>
      </c>
      <c r="F6" s="3206">
        <f t="shared" ca="1" si="1"/>
        <v>10244</v>
      </c>
      <c r="G6" s="3206">
        <f t="shared" ca="1" si="2"/>
        <v>2561</v>
      </c>
      <c r="H6" s="3361"/>
    </row>
    <row r="7" spans="1:11" ht="14.25">
      <c r="A7" s="3207" t="s">
        <v>3097</v>
      </c>
      <c r="B7" s="3228">
        <f ca="1">'基准地价-住宅'!C38</f>
        <v>2668</v>
      </c>
      <c r="C7" s="3208">
        <f>C5</f>
        <v>0.3</v>
      </c>
      <c r="D7" s="3210">
        <f ca="1">ROUND(D4*0.25,0)</f>
        <v>3413</v>
      </c>
      <c r="E7" s="3210">
        <f t="shared" si="0"/>
        <v>0.7</v>
      </c>
      <c r="F7" s="3206">
        <f t="shared" ca="1" si="1"/>
        <v>3190</v>
      </c>
      <c r="G7" s="3206">
        <f t="shared" ca="1" si="2"/>
        <v>798</v>
      </c>
      <c r="H7" s="3361"/>
    </row>
    <row r="8" spans="1:11" ht="14.25">
      <c r="A8" s="3207" t="s">
        <v>3098</v>
      </c>
      <c r="B8" s="3228">
        <f ca="1">'基准地价-住宅'!C39</f>
        <v>2134</v>
      </c>
      <c r="C8" s="3208">
        <f t="shared" ref="C8" si="3">C7</f>
        <v>0.3</v>
      </c>
      <c r="D8" s="3210">
        <f ca="1">ROUND(D4*0.2,0)</f>
        <v>2731</v>
      </c>
      <c r="E8" s="3210">
        <f t="shared" si="0"/>
        <v>0.7</v>
      </c>
      <c r="F8" s="3206">
        <f t="shared" ca="1" si="1"/>
        <v>2552</v>
      </c>
      <c r="G8" s="3206">
        <f t="shared" ca="1" si="2"/>
        <v>638</v>
      </c>
      <c r="H8" s="3362"/>
    </row>
    <row r="9" spans="1:11">
      <c r="A9" s="3204"/>
      <c r="B9" s="3205"/>
      <c r="C9" s="3205"/>
      <c r="D9" s="3205"/>
      <c r="E9" s="3205"/>
      <c r="F9" s="3205"/>
      <c r="G9" s="3205"/>
      <c r="H9" s="3205"/>
    </row>
    <row r="10" spans="1:11" ht="14.25">
      <c r="A10" s="3207" t="s">
        <v>3054</v>
      </c>
      <c r="B10" s="3208" t="s">
        <v>2947</v>
      </c>
      <c r="C10" s="3208" t="s">
        <v>3049</v>
      </c>
      <c r="D10" s="3210" t="s">
        <v>3050</v>
      </c>
      <c r="E10" s="3210" t="s">
        <v>3049</v>
      </c>
      <c r="F10" s="3206" t="s">
        <v>3052</v>
      </c>
      <c r="G10" s="3206" t="s">
        <v>3051</v>
      </c>
      <c r="H10" s="3209" t="str">
        <f>H3</f>
        <v>成本逼近法</v>
      </c>
    </row>
    <row r="11" spans="1:11" ht="14.25">
      <c r="A11" s="3207" t="s">
        <v>3095</v>
      </c>
      <c r="B11" s="3208">
        <f ca="1">ROUND(B4*B20/10000,0)</f>
        <v>1130549</v>
      </c>
      <c r="C11" s="3208">
        <f>C4</f>
        <v>0.3</v>
      </c>
      <c r="D11" s="3210">
        <f ca="1">ROUND(D4*B20/10000,0)</f>
        <v>1346539</v>
      </c>
      <c r="E11" s="3210">
        <f>E4</f>
        <v>0.7</v>
      </c>
      <c r="F11" s="3206">
        <f ca="1">ROUND(B11*C11+D11*E11,0)</f>
        <v>1281742</v>
      </c>
      <c r="G11" s="3206">
        <f ca="1">ROUND(F11*0.25,0)</f>
        <v>320436</v>
      </c>
      <c r="H11" s="3360">
        <f ca="1">ROUND(H4*'数据-汇总表'!E3/10000,)</f>
        <v>3369732</v>
      </c>
      <c r="J11">
        <f ca="1">F11/B20*10000</f>
        <v>12995.998008636676</v>
      </c>
      <c r="K11">
        <f ca="1">F4-J11</f>
        <v>1.9913633241230855E-3</v>
      </c>
    </row>
    <row r="12" spans="1:11" ht="14.25">
      <c r="A12" s="3207" t="s">
        <v>3096</v>
      </c>
      <c r="B12" s="3208">
        <f t="shared" ref="B12:B15" ca="1" si="4">ROUND(B5*B21/10000,0)</f>
        <v>262062</v>
      </c>
      <c r="C12" s="3208">
        <f t="shared" ref="C12:C15" si="5">C5</f>
        <v>0.3</v>
      </c>
      <c r="D12" s="3210">
        <f t="shared" ref="D12:D15" ca="1" si="6">ROUND(D5*B21/10000,0)</f>
        <v>263761</v>
      </c>
      <c r="E12" s="3210">
        <f t="shared" ref="E12:E15" si="7">E5</f>
        <v>0.7</v>
      </c>
      <c r="F12" s="3206">
        <f t="shared" ref="F12:F15" ca="1" si="8">ROUND(B12*C12+D12*E12,0)</f>
        <v>263251</v>
      </c>
      <c r="G12" s="3206">
        <f t="shared" ref="G12:G15" ca="1" si="9">ROUND(F12*0.25,0)</f>
        <v>65813</v>
      </c>
      <c r="H12" s="3361"/>
      <c r="J12">
        <f ca="1">F12/B21*10000</f>
        <v>11313.086602262179</v>
      </c>
      <c r="K12">
        <f t="shared" ref="K12:K15" ca="1" si="10">F5-J12</f>
        <v>-8.6602262179440004E-2</v>
      </c>
    </row>
    <row r="13" spans="1:11" ht="14.25">
      <c r="A13" s="3207" t="s">
        <v>3225</v>
      </c>
      <c r="B13" s="3208">
        <f t="shared" ca="1" si="4"/>
        <v>181503</v>
      </c>
      <c r="C13" s="3208">
        <f t="shared" si="5"/>
        <v>0.3</v>
      </c>
      <c r="D13" s="3210">
        <f t="shared" ca="1" si="6"/>
        <v>162354</v>
      </c>
      <c r="E13" s="3210">
        <f t="shared" si="7"/>
        <v>0.7</v>
      </c>
      <c r="F13" s="3206">
        <f t="shared" ca="1" si="8"/>
        <v>168099</v>
      </c>
      <c r="G13" s="3206">
        <f t="shared" ca="1" si="9"/>
        <v>42025</v>
      </c>
      <c r="H13" s="3361"/>
      <c r="J13">
        <f ca="1">F13/B22*10000</f>
        <v>10244.130477481092</v>
      </c>
      <c r="K13">
        <f ca="1">F6-J13</f>
        <v>-0.13047748109238455</v>
      </c>
    </row>
    <row r="14" spans="1:11" ht="14.25">
      <c r="A14" s="3207" t="s">
        <v>3097</v>
      </c>
      <c r="B14" s="3208">
        <f t="shared" ca="1" si="4"/>
        <v>110722</v>
      </c>
      <c r="C14" s="3208">
        <f t="shared" si="5"/>
        <v>0.3</v>
      </c>
      <c r="D14" s="3210">
        <f t="shared" ca="1" si="6"/>
        <v>141640</v>
      </c>
      <c r="E14" s="3210">
        <f t="shared" si="7"/>
        <v>0.7</v>
      </c>
      <c r="F14" s="3206">
        <f t="shared" ca="1" si="8"/>
        <v>132365</v>
      </c>
      <c r="G14" s="3206">
        <f t="shared" ca="1" si="9"/>
        <v>33091</v>
      </c>
      <c r="H14" s="3361"/>
      <c r="J14">
        <f t="shared" ref="J14:J15" ca="1" si="11">F14/B23*10000</f>
        <v>3189.5180722891564</v>
      </c>
      <c r="K14">
        <f t="shared" ca="1" si="10"/>
        <v>0.48192771084359265</v>
      </c>
    </row>
    <row r="15" spans="1:11" ht="14.25">
      <c r="A15" s="3207" t="s">
        <v>3098</v>
      </c>
      <c r="B15" s="3208">
        <f t="shared" ca="1" si="4"/>
        <v>88561</v>
      </c>
      <c r="C15" s="3208">
        <f t="shared" si="5"/>
        <v>0.3</v>
      </c>
      <c r="D15" s="3210">
        <f t="shared" ca="1" si="6"/>
        <v>113337</v>
      </c>
      <c r="E15" s="3210">
        <f t="shared" si="7"/>
        <v>0.7</v>
      </c>
      <c r="F15" s="3206">
        <f t="shared" ca="1" si="8"/>
        <v>105904</v>
      </c>
      <c r="G15" s="3206">
        <f t="shared" ca="1" si="9"/>
        <v>26476</v>
      </c>
      <c r="H15" s="3362"/>
      <c r="J15">
        <f t="shared" ca="1" si="11"/>
        <v>2551.9036144578313</v>
      </c>
      <c r="K15">
        <f t="shared" ca="1" si="10"/>
        <v>9.638554216871853E-2</v>
      </c>
    </row>
    <row r="16" spans="1:11">
      <c r="A16" s="3204">
        <f>A9</f>
        <v>0</v>
      </c>
      <c r="B16" s="3205">
        <f ca="1">SUM(B11:B15)</f>
        <v>1773397</v>
      </c>
      <c r="C16" s="3205">
        <f>C9</f>
        <v>0</v>
      </c>
      <c r="D16" s="3205">
        <f ca="1">SUM(D11:D15)</f>
        <v>2027631</v>
      </c>
      <c r="E16" s="3205">
        <f>E9</f>
        <v>0</v>
      </c>
      <c r="F16" s="3205">
        <f ca="1">SUM(F11:F15)</f>
        <v>1951361</v>
      </c>
      <c r="G16" s="3205">
        <f ca="1">SUM(G11:G15)</f>
        <v>487841</v>
      </c>
      <c r="H16" s="3205"/>
    </row>
    <row r="18" spans="1:6">
      <c r="F18">
        <f ca="1">F4*B20/10000</f>
        <v>1281742.1964</v>
      </c>
    </row>
    <row r="19" spans="1:6">
      <c r="A19" s="3212" t="s">
        <v>3238</v>
      </c>
    </row>
    <row r="20" spans="1:6">
      <c r="A20" s="3212" t="s">
        <v>3222</v>
      </c>
      <c r="B20">
        <f>'数据-汇总表'!F19</f>
        <v>986259</v>
      </c>
    </row>
    <row r="21" spans="1:6">
      <c r="A21" s="3212" t="s">
        <v>3223</v>
      </c>
      <c r="B21">
        <f>'数据-汇总表'!F20</f>
        <v>232696</v>
      </c>
    </row>
    <row r="22" spans="1:6">
      <c r="A22" s="3212" t="s">
        <v>3225</v>
      </c>
      <c r="B22">
        <f>'数据-汇总表'!F21</f>
        <v>164092.99</v>
      </c>
    </row>
    <row r="23" spans="1:6">
      <c r="A23" s="3212" t="s">
        <v>3239</v>
      </c>
      <c r="B23">
        <f>'数据-汇总表'!G22</f>
        <v>415000</v>
      </c>
    </row>
    <row r="24" spans="1:6">
      <c r="A24" s="3212" t="s">
        <v>3098</v>
      </c>
      <c r="B24">
        <f>'数据-汇总表'!G23</f>
        <v>415000</v>
      </c>
    </row>
    <row r="25" spans="1:6">
      <c r="B25">
        <f>SUM(B20:B24)</f>
        <v>2213047.9900000002</v>
      </c>
    </row>
    <row r="27" spans="1:6" ht="18.75">
      <c r="A27" s="3359" t="s">
        <v>3100</v>
      </c>
      <c r="B27" s="3359"/>
      <c r="C27" s="3359"/>
      <c r="D27" s="3359"/>
    </row>
    <row r="28" spans="1:6" ht="42.75">
      <c r="A28" s="3201"/>
      <c r="B28" s="3201" t="s">
        <v>3044</v>
      </c>
      <c r="C28" s="3201" t="s">
        <v>3045</v>
      </c>
      <c r="D28" s="3201" t="s">
        <v>3046</v>
      </c>
    </row>
    <row r="29" spans="1:6" ht="14.25">
      <c r="A29" s="3201" t="s">
        <v>3090</v>
      </c>
      <c r="B29" s="3201">
        <f>F45</f>
        <v>0</v>
      </c>
      <c r="C29" s="3201">
        <f>'数据-汇总表'!F45</f>
        <v>0</v>
      </c>
      <c r="D29" s="3201">
        <f>ROUND(B29*C29/10000,0)</f>
        <v>0</v>
      </c>
    </row>
    <row r="30" spans="1:6" ht="14.25">
      <c r="A30" s="3201" t="s">
        <v>3087</v>
      </c>
      <c r="B30" s="3201">
        <f>F46</f>
        <v>0</v>
      </c>
      <c r="C30" s="3201">
        <f>'数据-汇总表'!F46</f>
        <v>0</v>
      </c>
      <c r="D30" s="3201">
        <f>ROUND(B30*C30/10000,0)</f>
        <v>0</v>
      </c>
    </row>
    <row r="31" spans="1:6" ht="14.25">
      <c r="A31" s="3201" t="s">
        <v>3088</v>
      </c>
      <c r="B31" s="3201">
        <f>F47</f>
        <v>0</v>
      </c>
      <c r="C31" s="3201">
        <f>'数据-汇总表'!G47</f>
        <v>0</v>
      </c>
      <c r="D31" s="3201">
        <f>ROUND(B31*C31/10000,0)</f>
        <v>0</v>
      </c>
    </row>
    <row r="32" spans="1:6" ht="14.25">
      <c r="A32" s="3201" t="s">
        <v>3089</v>
      </c>
      <c r="B32" s="3201">
        <f>F48</f>
        <v>0</v>
      </c>
      <c r="C32" s="3201">
        <f>'数据-汇总表'!G48</f>
        <v>0</v>
      </c>
      <c r="D32" s="3201">
        <f>ROUND(B32*C32/10000,0)</f>
        <v>0</v>
      </c>
    </row>
    <row r="33" spans="1:4" ht="14.25">
      <c r="A33" s="3201" t="s">
        <v>3047</v>
      </c>
      <c r="B33" s="3201" t="s">
        <v>952</v>
      </c>
      <c r="C33" s="3201">
        <f>SUM(C29:C32)</f>
        <v>0</v>
      </c>
      <c r="D33" s="3202">
        <f>SUM(D29:D32)</f>
        <v>0</v>
      </c>
    </row>
    <row r="34" spans="1:4" ht="14.25">
      <c r="A34" s="3203"/>
      <c r="B34" s="3203"/>
      <c r="C34" s="3203"/>
      <c r="D34" s="3203"/>
    </row>
    <row r="35" spans="1:4" ht="42.75">
      <c r="A35" s="3201"/>
      <c r="B35" s="3201" t="s">
        <v>3044</v>
      </c>
      <c r="C35" s="3201" t="s">
        <v>3045</v>
      </c>
      <c r="D35" s="3201" t="s">
        <v>3046</v>
      </c>
    </row>
    <row r="36" spans="1:4" ht="28.5">
      <c r="A36" s="3201" t="s">
        <v>3092</v>
      </c>
      <c r="B36" s="3201">
        <f>ROUND(B29*0.25,0)</f>
        <v>0</v>
      </c>
      <c r="C36" s="3201">
        <f>C29</f>
        <v>0</v>
      </c>
      <c r="D36" s="3201">
        <f>ROUND(B36*C36/10000,0)</f>
        <v>0</v>
      </c>
    </row>
    <row r="37" spans="1:4" ht="28.5">
      <c r="A37" s="3201" t="s">
        <v>3091</v>
      </c>
      <c r="B37" s="3201">
        <f t="shared" ref="B37:B39" si="12">ROUND(B30*0.25,0)</f>
        <v>0</v>
      </c>
      <c r="C37" s="3201">
        <f t="shared" ref="C37:C39" si="13">C30</f>
        <v>0</v>
      </c>
      <c r="D37" s="3201">
        <f>ROUND(B37*C37/10000,0)</f>
        <v>0</v>
      </c>
    </row>
    <row r="38" spans="1:4" ht="28.5">
      <c r="A38" s="3201" t="s">
        <v>3093</v>
      </c>
      <c r="B38" s="3201">
        <f t="shared" si="12"/>
        <v>0</v>
      </c>
      <c r="C38" s="3201">
        <f t="shared" si="13"/>
        <v>0</v>
      </c>
      <c r="D38" s="3201">
        <f>ROUND(B38*C38/10000,0)</f>
        <v>0</v>
      </c>
    </row>
    <row r="39" spans="1:4" ht="28.5">
      <c r="A39" s="3201" t="s">
        <v>3094</v>
      </c>
      <c r="B39" s="3201">
        <f t="shared" si="12"/>
        <v>0</v>
      </c>
      <c r="C39" s="3201">
        <f t="shared" si="13"/>
        <v>0</v>
      </c>
      <c r="D39" s="3201">
        <f>ROUND(B39*C39/10000,0)</f>
        <v>0</v>
      </c>
    </row>
    <row r="40" spans="1:4" ht="14.25">
      <c r="A40" s="3201" t="s">
        <v>3048</v>
      </c>
      <c r="B40" s="3201" t="s">
        <v>952</v>
      </c>
      <c r="C40" s="3201">
        <f>SUM(C36:C39)</f>
        <v>0</v>
      </c>
      <c r="D40" s="3202">
        <f>SUM(D36:D39)</f>
        <v>0</v>
      </c>
    </row>
  </sheetData>
  <mergeCells count="3">
    <mergeCell ref="A27:D27"/>
    <mergeCell ref="H4:H8"/>
    <mergeCell ref="H11:H15"/>
  </mergeCells>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266" t="str">
        <f>项目基本情况!B1</f>
        <v>北京市划拨国有建设用地使用权市场价格预评估</v>
      </c>
      <c r="C37" s="3266"/>
      <c r="D37" s="3266"/>
      <c r="E37" s="3266"/>
      <c r="F37" s="3266"/>
      <c r="G37" s="3266"/>
      <c r="H37" s="3266"/>
      <c r="I37" s="3266"/>
    </row>
    <row r="38" spans="1:9">
      <c r="A38" s="1640"/>
      <c r="B38" s="1640"/>
    </row>
    <row r="39" spans="1:9">
      <c r="A39" s="1638" t="s">
        <v>1901</v>
      </c>
      <c r="B39" s="1638" t="s">
        <v>2044</v>
      </c>
    </row>
    <row r="40" spans="1:9">
      <c r="A40" s="1638"/>
      <c r="B40" s="1638">
        <f>项目基本情况!B5</f>
        <v>0</v>
      </c>
    </row>
    <row r="41" spans="1:9">
      <c r="A41" s="1638"/>
      <c r="B41" s="1638"/>
    </row>
    <row r="42" spans="1:9">
      <c r="A42" s="1638" t="s">
        <v>1901</v>
      </c>
      <c r="B42" s="1638" t="s">
        <v>2045</v>
      </c>
    </row>
    <row r="43" spans="1:9">
      <c r="A43" s="1638"/>
      <c r="B43" s="1638" t="s">
        <v>1903</v>
      </c>
    </row>
    <row r="44" spans="1:9">
      <c r="A44" s="1638"/>
      <c r="B44" s="1638"/>
    </row>
    <row r="45" spans="1:9">
      <c r="A45" s="1638" t="s">
        <v>1901</v>
      </c>
      <c r="B45" s="1638" t="s">
        <v>2043</v>
      </c>
    </row>
    <row r="46" spans="1:9" s="1638" customFormat="1" ht="12.75">
      <c r="B46" s="1638" t="str">
        <f>项目基本情况!K4</f>
        <v>土地估价师、土地估价师</v>
      </c>
    </row>
    <row r="47" spans="1:9">
      <c r="A47" s="1638"/>
      <c r="B47" s="1638"/>
    </row>
    <row r="48" spans="1:9">
      <c r="A48" s="1638" t="s">
        <v>1901</v>
      </c>
      <c r="B48" s="1638" t="s">
        <v>2046</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23" zoomScaleNormal="100" zoomScaleSheetLayoutView="100" zoomScalePageLayoutView="80" workbookViewId="0">
      <selection activeCell="A63" sqref="A63:XFD115"/>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59" t="s">
        <v>2053</v>
      </c>
      <c r="B1" s="1760"/>
      <c r="C1" s="1788" t="s">
        <v>2054</v>
      </c>
      <c r="D1" s="1789"/>
      <c r="E1" s="1788" t="s">
        <v>2055</v>
      </c>
      <c r="F1" s="1790"/>
      <c r="G1" s="310"/>
      <c r="H1" s="310"/>
      <c r="I1" s="310"/>
      <c r="J1" s="2012"/>
      <c r="K1" s="2012"/>
      <c r="L1" s="2012"/>
      <c r="M1" s="2012"/>
      <c r="N1" s="2012"/>
      <c r="O1" s="2012"/>
      <c r="P1" s="2012"/>
      <c r="Q1" s="2012"/>
      <c r="R1" s="2012"/>
      <c r="S1" s="2012"/>
      <c r="T1" s="2012"/>
      <c r="U1" s="2012"/>
      <c r="V1" s="2012"/>
    </row>
    <row r="2" spans="1:22" ht="21.75" customHeight="1" thickBot="1">
      <c r="A2" s="3408" t="str">
        <f>项目基本情况!K2</f>
        <v>北京市划拨国有建设用地使用权</v>
      </c>
      <c r="B2" s="3409"/>
      <c r="C2" s="3410"/>
      <c r="D2" s="3410"/>
      <c r="E2" s="3410"/>
      <c r="F2" s="3410"/>
      <c r="G2" s="3409"/>
      <c r="H2" s="3409"/>
      <c r="I2" s="3411"/>
      <c r="J2" s="2013"/>
      <c r="K2" s="2012"/>
      <c r="L2" s="2012"/>
      <c r="M2" s="2012"/>
      <c r="N2" s="2012"/>
      <c r="O2" s="2012"/>
      <c r="P2" s="2012"/>
      <c r="Q2" s="2012"/>
      <c r="R2" s="2012"/>
      <c r="S2" s="2012"/>
      <c r="T2" s="2012"/>
      <c r="U2" s="2012"/>
      <c r="V2" s="2012"/>
    </row>
    <row r="3" spans="1:22" ht="14.25">
      <c r="A3" s="3419" t="s">
        <v>298</v>
      </c>
      <c r="B3" s="3420"/>
      <c r="C3" s="3420"/>
      <c r="D3" s="3420"/>
      <c r="E3" s="3420"/>
      <c r="F3" s="3420"/>
      <c r="G3" s="3420"/>
      <c r="H3" s="3420"/>
      <c r="I3" s="3420"/>
      <c r="J3" s="2013"/>
      <c r="K3" s="2012"/>
      <c r="L3" s="2012"/>
      <c r="M3" s="2012"/>
      <c r="N3" s="2012"/>
      <c r="O3" s="2012"/>
      <c r="P3" s="2012"/>
      <c r="Q3" s="2012"/>
      <c r="R3" s="2012"/>
      <c r="S3" s="2012"/>
      <c r="T3" s="2012"/>
      <c r="U3" s="2012"/>
      <c r="V3" s="2012"/>
    </row>
    <row r="4" spans="1:22" ht="14.25">
      <c r="A4" s="257" t="s">
        <v>299</v>
      </c>
      <c r="B4" s="258" t="s">
        <v>300</v>
      </c>
      <c r="C4" s="259"/>
      <c r="D4" s="259"/>
      <c r="E4" s="3383" t="s">
        <v>301</v>
      </c>
      <c r="F4" s="3425"/>
      <c r="G4" s="3425"/>
      <c r="H4" s="3425"/>
      <c r="I4" s="3384"/>
      <c r="J4" s="2013"/>
      <c r="K4" s="2012"/>
      <c r="L4" s="947" t="str">
        <f>IF(ISNUMBER(FIND("比较法",C4)),"比较法",IF(ISNUMBER(FIND("成本法",C4)),"成本法",IF(ISNUMBER(FIND("剩余法",C4)),"剩余法",IF(ISNUMBER(FIND("收益法",C4)),"收益法","基准地价系数修正法"))))</f>
        <v>基准地价系数修正法</v>
      </c>
      <c r="M4" s="947" t="str">
        <f>IF(ISNUMBER(FIND("比较法",D4)),"比较法",IF(ISNUMBER(FIND("成本法",D4)),"成本法",IF(ISNUMBER(FIND("剩余法",D4)),"剩余法",IF(ISNUMBER(FIND("收益法",D4)),"收益法","基准地价系数修正法"))))</f>
        <v>基准地价系数修正法</v>
      </c>
      <c r="N4" s="2012"/>
      <c r="O4" s="2012"/>
      <c r="P4" s="2012"/>
      <c r="Q4" s="2012"/>
      <c r="R4" s="2012"/>
      <c r="S4" s="2012"/>
      <c r="T4" s="2012"/>
      <c r="U4" s="2012"/>
      <c r="V4" s="2012"/>
    </row>
    <row r="5" spans="1:22" ht="14.25">
      <c r="A5" s="3412" t="s">
        <v>302</v>
      </c>
      <c r="B5" s="3413">
        <v>25</v>
      </c>
      <c r="C5" s="3421"/>
      <c r="D5" s="3424"/>
      <c r="E5" s="260" t="s">
        <v>303</v>
      </c>
      <c r="F5" s="261"/>
      <c r="G5" s="261"/>
      <c r="H5" s="261"/>
      <c r="I5" s="262"/>
      <c r="J5" s="2013"/>
      <c r="K5" s="2012"/>
      <c r="L5" s="2012"/>
      <c r="M5" s="2012"/>
      <c r="N5" s="2012"/>
      <c r="O5" s="2012"/>
      <c r="P5" s="2012"/>
      <c r="Q5" s="2012"/>
      <c r="R5" s="2012"/>
      <c r="S5" s="2012"/>
      <c r="T5" s="2012"/>
      <c r="U5" s="2012"/>
      <c r="V5" s="2012"/>
    </row>
    <row r="6" spans="1:22" ht="14.25">
      <c r="A6" s="3412"/>
      <c r="B6" s="3413"/>
      <c r="C6" s="3422"/>
      <c r="D6" s="3424"/>
      <c r="E6" s="260" t="s">
        <v>304</v>
      </c>
      <c r="F6" s="261"/>
      <c r="G6" s="261"/>
      <c r="H6" s="261"/>
      <c r="I6" s="262"/>
      <c r="J6" s="2013"/>
      <c r="K6" s="2012"/>
      <c r="L6" s="2012"/>
      <c r="M6" s="2012"/>
      <c r="N6" s="2012"/>
      <c r="O6" s="2012"/>
      <c r="P6" s="2012"/>
      <c r="Q6" s="2012"/>
      <c r="R6" s="2012"/>
      <c r="S6" s="2012"/>
      <c r="T6" s="2012"/>
      <c r="U6" s="2012"/>
      <c r="V6" s="2012"/>
    </row>
    <row r="7" spans="1:22" ht="14.25">
      <c r="A7" s="3412"/>
      <c r="B7" s="3413"/>
      <c r="C7" s="3423"/>
      <c r="D7" s="3424"/>
      <c r="E7" s="260" t="s">
        <v>305</v>
      </c>
      <c r="F7" s="261"/>
      <c r="G7" s="261"/>
      <c r="H7" s="261"/>
      <c r="I7" s="262"/>
      <c r="J7" s="2013"/>
      <c r="K7" s="2012"/>
      <c r="L7" s="2012"/>
      <c r="M7" s="2012"/>
      <c r="N7" s="2012"/>
      <c r="O7" s="2012"/>
      <c r="P7" s="2012"/>
      <c r="Q7" s="2012"/>
      <c r="R7" s="2012"/>
      <c r="S7" s="2012"/>
      <c r="T7" s="2012"/>
      <c r="U7" s="2012"/>
      <c r="V7" s="2012"/>
    </row>
    <row r="8" spans="1:22" ht="14.25">
      <c r="A8" s="3412" t="s">
        <v>306</v>
      </c>
      <c r="B8" s="3413">
        <v>15</v>
      </c>
      <c r="C8" s="3421"/>
      <c r="D8" s="3424"/>
      <c r="E8" s="260" t="s">
        <v>307</v>
      </c>
      <c r="F8" s="261"/>
      <c r="G8" s="261"/>
      <c r="H8" s="261"/>
      <c r="I8" s="262"/>
      <c r="J8" s="2013"/>
      <c r="K8" s="2012"/>
      <c r="L8" s="2012"/>
      <c r="M8" s="2012"/>
      <c r="N8" s="2012"/>
      <c r="O8" s="2012"/>
      <c r="P8" s="2012"/>
      <c r="Q8" s="2012"/>
      <c r="R8" s="2012"/>
      <c r="S8" s="2012"/>
      <c r="T8" s="2012"/>
      <c r="U8" s="2012"/>
      <c r="V8" s="2012"/>
    </row>
    <row r="9" spans="1:22" ht="14.25">
      <c r="A9" s="3412"/>
      <c r="B9" s="3413"/>
      <c r="C9" s="3423"/>
      <c r="D9" s="3424"/>
      <c r="E9" s="260" t="s">
        <v>308</v>
      </c>
      <c r="F9" s="261"/>
      <c r="G9" s="261"/>
      <c r="H9" s="261"/>
      <c r="I9" s="262"/>
      <c r="J9" s="2013"/>
      <c r="K9" s="2012"/>
      <c r="L9" s="2012"/>
      <c r="M9" s="2012"/>
      <c r="N9" s="2012"/>
      <c r="O9" s="2012"/>
      <c r="P9" s="2012"/>
      <c r="Q9" s="2012"/>
      <c r="R9" s="2012"/>
      <c r="S9" s="2012"/>
      <c r="T9" s="2012"/>
      <c r="U9" s="2012"/>
      <c r="V9" s="2012"/>
    </row>
    <row r="10" spans="1:22" ht="14.25">
      <c r="A10" s="3412" t="s">
        <v>309</v>
      </c>
      <c r="B10" s="3413">
        <v>15</v>
      </c>
      <c r="C10" s="3421"/>
      <c r="D10" s="3424"/>
      <c r="E10" s="260" t="s">
        <v>310</v>
      </c>
      <c r="F10" s="261"/>
      <c r="G10" s="261"/>
      <c r="H10" s="261"/>
      <c r="I10" s="262"/>
      <c r="J10" s="2013"/>
      <c r="K10" s="2012"/>
      <c r="L10" s="2012"/>
      <c r="M10" s="2012"/>
      <c r="N10" s="2012"/>
      <c r="O10" s="2012"/>
      <c r="P10" s="2012"/>
      <c r="Q10" s="2012"/>
      <c r="R10" s="2012"/>
      <c r="S10" s="2012"/>
      <c r="T10" s="2012"/>
      <c r="U10" s="2012"/>
      <c r="V10" s="2012"/>
    </row>
    <row r="11" spans="1:22" ht="14.25">
      <c r="A11" s="3412"/>
      <c r="B11" s="3413"/>
      <c r="C11" s="3423"/>
      <c r="D11" s="3424"/>
      <c r="E11" s="260" t="s">
        <v>311</v>
      </c>
      <c r="F11" s="261"/>
      <c r="G11" s="261"/>
      <c r="H11" s="261"/>
      <c r="I11" s="262"/>
      <c r="J11" s="2013"/>
      <c r="K11" s="2012"/>
      <c r="L11" s="2012"/>
      <c r="M11" s="2012"/>
      <c r="N11" s="2012"/>
      <c r="O11" s="2012"/>
      <c r="P11" s="2012"/>
      <c r="Q11" s="2012"/>
      <c r="R11" s="2012"/>
      <c r="S11" s="2012"/>
      <c r="T11" s="2012"/>
      <c r="U11" s="2012"/>
      <c r="V11" s="2012"/>
    </row>
    <row r="12" spans="1:22" ht="14.25">
      <c r="A12" s="3412" t="s">
        <v>312</v>
      </c>
      <c r="B12" s="3413">
        <v>15</v>
      </c>
      <c r="C12" s="3421"/>
      <c r="D12" s="3424"/>
      <c r="E12" s="260" t="s">
        <v>313</v>
      </c>
      <c r="F12" s="261"/>
      <c r="G12" s="261"/>
      <c r="H12" s="261"/>
      <c r="I12" s="262"/>
      <c r="J12" s="2013"/>
      <c r="K12" s="2012"/>
      <c r="L12" s="2012"/>
      <c r="M12" s="2012"/>
      <c r="N12" s="2012"/>
      <c r="O12" s="2012"/>
      <c r="P12" s="2012"/>
      <c r="Q12" s="2012"/>
      <c r="R12" s="2012"/>
      <c r="S12" s="2012"/>
      <c r="T12" s="2012"/>
      <c r="U12" s="2012"/>
      <c r="V12" s="2012"/>
    </row>
    <row r="13" spans="1:22" ht="14.25">
      <c r="A13" s="3412"/>
      <c r="B13" s="3413"/>
      <c r="C13" s="3423"/>
      <c r="D13" s="3424"/>
      <c r="E13" s="260" t="s">
        <v>314</v>
      </c>
      <c r="F13" s="261"/>
      <c r="G13" s="261"/>
      <c r="H13" s="261"/>
      <c r="I13" s="262"/>
      <c r="J13" s="2013"/>
      <c r="K13" s="2012"/>
      <c r="L13" s="2012"/>
      <c r="M13" s="2012"/>
      <c r="N13" s="2012"/>
      <c r="O13" s="2012"/>
      <c r="P13" s="2012"/>
      <c r="Q13" s="2012"/>
      <c r="R13" s="2012"/>
      <c r="S13" s="2012"/>
      <c r="T13" s="2012"/>
      <c r="U13" s="2012"/>
      <c r="V13" s="2012"/>
    </row>
    <row r="14" spans="1:22" ht="14.25">
      <c r="A14" s="3412" t="s">
        <v>315</v>
      </c>
      <c r="B14" s="3413">
        <v>30</v>
      </c>
      <c r="C14" s="3421"/>
      <c r="D14" s="3424"/>
      <c r="E14" s="260" t="s">
        <v>316</v>
      </c>
      <c r="F14" s="261"/>
      <c r="G14" s="261"/>
      <c r="H14" s="261"/>
      <c r="I14" s="262"/>
      <c r="J14" s="2013"/>
      <c r="K14" s="2012"/>
      <c r="L14" s="2012"/>
      <c r="M14" s="2012"/>
      <c r="N14" s="2012"/>
      <c r="O14" s="2012"/>
      <c r="P14" s="2012"/>
      <c r="Q14" s="2012"/>
      <c r="R14" s="2012"/>
      <c r="S14" s="2012"/>
      <c r="T14" s="2012"/>
      <c r="U14" s="2012"/>
      <c r="V14" s="2012"/>
    </row>
    <row r="15" spans="1:22" ht="14.25">
      <c r="A15" s="3412"/>
      <c r="B15" s="3413"/>
      <c r="C15" s="3422"/>
      <c r="D15" s="3424"/>
      <c r="E15" s="260" t="s">
        <v>317</v>
      </c>
      <c r="F15" s="261"/>
      <c r="G15" s="261"/>
      <c r="H15" s="261"/>
      <c r="I15" s="262"/>
      <c r="J15" s="2013"/>
      <c r="K15" s="2012"/>
      <c r="L15" s="2012"/>
      <c r="M15" s="2012"/>
      <c r="N15" s="2012"/>
      <c r="O15" s="2012"/>
      <c r="P15" s="2012"/>
      <c r="Q15" s="2012"/>
      <c r="R15" s="2012"/>
      <c r="S15" s="2012"/>
      <c r="T15" s="2012"/>
      <c r="U15" s="2012"/>
      <c r="V15" s="2012"/>
    </row>
    <row r="16" spans="1:22" ht="14.25">
      <c r="A16" s="3412"/>
      <c r="B16" s="3413"/>
      <c r="C16" s="3423"/>
      <c r="D16" s="3424"/>
      <c r="E16" s="260" t="s">
        <v>318</v>
      </c>
      <c r="F16" s="261"/>
      <c r="G16" s="261"/>
      <c r="H16" s="261"/>
      <c r="I16" s="262"/>
      <c r="J16" s="2013"/>
      <c r="K16" s="2012"/>
      <c r="L16" s="2012"/>
      <c r="M16" s="2012"/>
      <c r="N16" s="2012"/>
      <c r="O16" s="2012"/>
      <c r="P16" s="2012"/>
      <c r="Q16" s="2012"/>
      <c r="R16" s="2012"/>
      <c r="S16" s="2012"/>
      <c r="T16" s="2012"/>
      <c r="U16" s="2012"/>
      <c r="V16" s="2012"/>
    </row>
    <row r="17" spans="1:26" ht="15">
      <c r="A17" s="263" t="s">
        <v>319</v>
      </c>
      <c r="B17" s="144"/>
      <c r="C17" s="264">
        <f>SUM(C5:C16)</f>
        <v>0</v>
      </c>
      <c r="D17" s="264">
        <f>SUM(D5:D16)</f>
        <v>0</v>
      </c>
      <c r="E17" s="310"/>
      <c r="F17" s="310"/>
      <c r="G17" s="310"/>
      <c r="H17" s="310"/>
      <c r="I17" s="310"/>
      <c r="J17" s="2013"/>
      <c r="K17" s="2012"/>
      <c r="L17" s="2012"/>
      <c r="M17" s="2012"/>
      <c r="N17" s="2012"/>
      <c r="O17" s="2012"/>
      <c r="P17" s="2012"/>
      <c r="Q17" s="2012"/>
      <c r="R17" s="2012"/>
      <c r="S17" s="2012"/>
      <c r="T17" s="2012"/>
      <c r="U17" s="2012"/>
      <c r="V17" s="2012"/>
    </row>
    <row r="18" spans="1:26" ht="15.75" thickBot="1">
      <c r="A18" s="265" t="s">
        <v>320</v>
      </c>
      <c r="B18" s="105"/>
      <c r="C18" s="266" t="e">
        <f>ROUND(C17/SUM(C17:D17),2)</f>
        <v>#DIV/0!</v>
      </c>
      <c r="D18" s="266" t="e">
        <f>1-C18</f>
        <v>#DIV/0!</v>
      </c>
      <c r="E18" s="310"/>
      <c r="F18" s="310"/>
      <c r="G18" s="310"/>
      <c r="H18" s="310"/>
      <c r="I18" s="310"/>
      <c r="J18" s="2012"/>
      <c r="K18" s="2012"/>
      <c r="L18" s="2012"/>
      <c r="M18" s="2012"/>
      <c r="N18" s="2012"/>
      <c r="O18" s="2012"/>
      <c r="P18" s="2012"/>
      <c r="Q18" s="2012"/>
      <c r="R18" s="2012"/>
      <c r="S18" s="2012"/>
      <c r="T18" s="2012"/>
      <c r="U18" s="2012"/>
      <c r="V18" s="2012"/>
    </row>
    <row r="19" spans="1:26" ht="15">
      <c r="A19" s="267" t="s">
        <v>321</v>
      </c>
      <c r="B19" s="268" t="s">
        <v>322</v>
      </c>
      <c r="C19" s="269" t="e">
        <f ca="1">SUMIF(INDIRECT("'"&amp;C4&amp;"'"&amp;"!A:A"),结果表!B19,INDIRECT("'"&amp;C4&amp;"'"&amp;"!B:B"))</f>
        <v>#REF!</v>
      </c>
      <c r="D19" s="270" t="e">
        <f ca="1">SUMIF(INDIRECT("'"&amp;D4&amp;"'"&amp;"!A:A"),结果表!B19,INDIRECT("'"&amp;D4&amp;"'"&amp;"!B:B"))</f>
        <v>#REF!</v>
      </c>
      <c r="E19" s="267" t="s">
        <v>323</v>
      </c>
      <c r="F19" s="268" t="s">
        <v>322</v>
      </c>
      <c r="G19" s="271" t="e">
        <f ca="1">ROUND(C19*$C$18+D19*$D$18,0)</f>
        <v>#REF!</v>
      </c>
      <c r="H19" s="272" t="s">
        <v>324</v>
      </c>
      <c r="I19" s="310"/>
      <c r="J19" s="2012"/>
      <c r="K19" s="2012"/>
      <c r="L19" s="2012"/>
      <c r="M19" s="2012"/>
      <c r="N19" s="2012"/>
      <c r="O19" s="2012"/>
      <c r="P19" s="2012"/>
      <c r="Q19" s="2012"/>
      <c r="R19" s="2012"/>
      <c r="S19" s="2012"/>
      <c r="T19" s="2012"/>
      <c r="U19" s="2012"/>
      <c r="V19" s="2012"/>
    </row>
    <row r="20" spans="1:26" ht="15">
      <c r="A20" s="273"/>
      <c r="B20" s="274" t="s">
        <v>325</v>
      </c>
      <c r="C20" s="275" t="e">
        <f ca="1">SUMIF(INDIRECT("'"&amp;C4&amp;"'"&amp;"!A:A"),结果表!B20,INDIRECT("'"&amp;C4&amp;"'"&amp;"!B:B"))</f>
        <v>#REF!</v>
      </c>
      <c r="D20" s="276" t="e">
        <f ca="1">SUMIF(INDIRECT("'"&amp;D4&amp;"'"&amp;"!A:A"),结果表!B20,INDIRECT("'"&amp;D4&amp;"'"&amp;"!B:B"))</f>
        <v>#REF!</v>
      </c>
      <c r="E20" s="273"/>
      <c r="F20" s="274" t="s">
        <v>325</v>
      </c>
      <c r="G20" s="277" t="e">
        <f ca="1">ROUND(C20*$C$18+D20*$D$18,0)</f>
        <v>#REF!</v>
      </c>
      <c r="H20" s="278" t="s">
        <v>326</v>
      </c>
      <c r="I20" s="310"/>
      <c r="J20" s="2012"/>
      <c r="K20" s="2012"/>
      <c r="L20" s="2012"/>
      <c r="M20" s="2012"/>
      <c r="N20" s="2012"/>
      <c r="O20" s="2012"/>
      <c r="P20" s="2012"/>
      <c r="Q20" s="2012"/>
      <c r="R20" s="2012"/>
      <c r="S20" s="2012"/>
      <c r="T20" s="2012"/>
      <c r="U20" s="2012"/>
      <c r="V20" s="2012"/>
    </row>
    <row r="21" spans="1:26" ht="15" customHeight="1">
      <c r="A21" s="273"/>
      <c r="B21" s="279" t="s">
        <v>327</v>
      </c>
      <c r="C21" s="280" t="e">
        <f ca="1">SUMIF(INDIRECT("'"&amp;C4&amp;"'"&amp;"!A:A"),结果表!B21,INDIRECT("'"&amp;C4&amp;"'"&amp;"!B:B"))</f>
        <v>#REF!</v>
      </c>
      <c r="D21" s="151" t="e">
        <f ca="1">SUMIF(INDIRECT("'"&amp;D4&amp;"'"&amp;"!A:A"),结果表!B21,INDIRECT("'"&amp;D4&amp;"'"&amp;"!B:B"))</f>
        <v>#REF!</v>
      </c>
      <c r="E21" s="273"/>
      <c r="F21" s="279" t="s">
        <v>327</v>
      </c>
      <c r="G21" s="281" t="e">
        <f ca="1">ROUND(C21*$C$18+D21*$D$18,0)</f>
        <v>#REF!</v>
      </c>
      <c r="H21" s="1246" t="s">
        <v>326</v>
      </c>
      <c r="I21" s="310"/>
      <c r="J21" s="2012"/>
      <c r="K21" s="2012"/>
      <c r="L21" s="2012"/>
      <c r="M21" s="2012"/>
      <c r="N21" s="2012"/>
      <c r="O21" s="2012"/>
      <c r="P21" s="2012"/>
      <c r="Q21" s="2012"/>
      <c r="R21" s="2012"/>
      <c r="S21" s="2012"/>
      <c r="T21" s="2012"/>
      <c r="U21" s="2012"/>
      <c r="V21" s="2012"/>
    </row>
    <row r="22" spans="1:26" ht="15.75" thickBot="1">
      <c r="A22" s="126" t="s">
        <v>328</v>
      </c>
      <c r="B22" s="1247"/>
      <c r="C22" s="1248"/>
      <c r="D22" s="282" t="e">
        <f ca="1">IF(C19&lt;D19,D19/C19-1,C19/D19-1)</f>
        <v>#REF!</v>
      </c>
      <c r="E22" s="283"/>
      <c r="F22" s="284"/>
      <c r="G22" s="285" t="e">
        <f ca="1">ROUND(G19/('数据-汇总表'!D3/666.67),0)</f>
        <v>#REF!</v>
      </c>
      <c r="H22" s="286" t="s">
        <v>329</v>
      </c>
      <c r="I22" s="310"/>
      <c r="J22" s="2012"/>
      <c r="K22" s="2012"/>
      <c r="L22" s="2012"/>
      <c r="M22" s="2012"/>
      <c r="N22" s="2012"/>
      <c r="O22" s="2012"/>
      <c r="P22" s="2012"/>
      <c r="Q22" s="2012"/>
      <c r="R22" s="2012"/>
      <c r="S22" s="2012"/>
      <c r="T22" s="2012"/>
      <c r="U22" s="2012"/>
      <c r="V22" s="2012"/>
    </row>
    <row r="23" spans="1:26" ht="13.5" thickBot="1">
      <c r="A23" s="310"/>
      <c r="B23" s="310"/>
      <c r="C23" s="310"/>
      <c r="D23" s="310"/>
      <c r="E23" s="310"/>
      <c r="F23" s="310"/>
      <c r="G23" s="310"/>
      <c r="H23" s="310"/>
      <c r="I23" s="310"/>
      <c r="J23" s="2012"/>
      <c r="K23" s="2012"/>
      <c r="L23" s="2012"/>
      <c r="M23" s="2012"/>
      <c r="N23" s="2012"/>
      <c r="O23" s="2012"/>
      <c r="P23" s="2012"/>
      <c r="Q23" s="2012"/>
      <c r="R23" s="2012"/>
      <c r="S23" s="2012"/>
      <c r="T23" s="2012"/>
      <c r="U23" s="2012"/>
      <c r="V23" s="2012"/>
    </row>
    <row r="24" spans="1:26" ht="15" thickBot="1">
      <c r="A24" s="3385" t="s">
        <v>330</v>
      </c>
      <c r="B24" s="268" t="s">
        <v>322</v>
      </c>
      <c r="C24" s="287">
        <f>IF(B30=0,0,D30)</f>
        <v>0</v>
      </c>
      <c r="D24" s="288"/>
      <c r="E24" s="310"/>
      <c r="F24" s="310"/>
      <c r="G24" s="310"/>
      <c r="H24" s="310"/>
      <c r="I24" s="310"/>
      <c r="J24" s="2012"/>
      <c r="K24" s="2012"/>
      <c r="L24" s="2012"/>
      <c r="M24" s="2012"/>
      <c r="N24" s="2012"/>
      <c r="O24" s="2012"/>
      <c r="P24" s="2012"/>
      <c r="Q24" s="2012"/>
      <c r="R24" s="2012"/>
      <c r="S24" s="2012"/>
      <c r="T24" s="2012"/>
      <c r="U24" s="2012"/>
      <c r="V24" s="2012"/>
    </row>
    <row r="25" spans="1:26" ht="18">
      <c r="A25" s="3427"/>
      <c r="B25" s="1316" t="s">
        <v>331</v>
      </c>
      <c r="C25" s="289">
        <f>IF(B30=0,0,C30)</f>
        <v>0</v>
      </c>
      <c r="D25" s="290"/>
      <c r="E25" s="310"/>
      <c r="F25" s="310"/>
      <c r="G25" s="310"/>
      <c r="H25" s="310"/>
      <c r="I25" s="310"/>
      <c r="J25" s="2012"/>
      <c r="K25" s="1250" t="e">
        <f ca="1">项目基本情况!B16&amp;"国有建设用地使用权价格："&amp;O38&amp;"万元"</f>
        <v>#REF!</v>
      </c>
      <c r="L25" s="1251"/>
      <c r="M25" s="1251"/>
      <c r="N25" s="1251"/>
      <c r="O25" s="1252"/>
      <c r="P25" s="2012"/>
      <c r="Q25" s="2012"/>
      <c r="R25" s="2012"/>
      <c r="S25" s="2012"/>
      <c r="T25" s="2012"/>
      <c r="U25" s="2012"/>
      <c r="V25" s="2012"/>
    </row>
    <row r="26" spans="1:26" s="1249" customFormat="1" ht="18">
      <c r="A26" s="292" t="s">
        <v>332</v>
      </c>
      <c r="B26" s="293" t="s">
        <v>333</v>
      </c>
      <c r="C26" s="293" t="s">
        <v>334</v>
      </c>
      <c r="D26" s="294" t="s">
        <v>335</v>
      </c>
      <c r="E26" s="310"/>
      <c r="F26" s="310"/>
      <c r="G26" s="310"/>
      <c r="H26" s="310"/>
      <c r="I26" s="310"/>
      <c r="J26" s="2012"/>
      <c r="K26" s="1253" t="e">
        <f ca="1">"大写金额：人民币"&amp;NUMBERSTRING(INT(O38*10000),2)&amp;"元整"</f>
        <v>#REF!</v>
      </c>
      <c r="L26" s="1247"/>
      <c r="M26" s="1247"/>
      <c r="N26" s="1247"/>
      <c r="O26" s="1246"/>
      <c r="P26" s="2012"/>
      <c r="Q26" s="2012"/>
      <c r="R26" s="2012"/>
      <c r="S26" s="2012"/>
      <c r="T26" s="2012"/>
      <c r="U26" s="2012"/>
      <c r="V26" s="2012"/>
      <c r="W26" s="291"/>
      <c r="X26" s="291"/>
      <c r="Y26" s="291"/>
      <c r="Z26" s="291"/>
    </row>
    <row r="27" spans="1:26" ht="18">
      <c r="A27" s="292"/>
      <c r="B27" s="293"/>
      <c r="C27" s="293"/>
      <c r="D27" s="294"/>
      <c r="E27" s="310"/>
      <c r="F27" s="310"/>
      <c r="G27" s="310"/>
      <c r="H27" s="310"/>
      <c r="I27" s="310"/>
      <c r="J27" s="2012"/>
      <c r="K27" s="1253" t="e">
        <f ca="1">"单位面积地价："&amp;M38&amp;"元/平方米"</f>
        <v>#REF!</v>
      </c>
      <c r="L27" s="1247"/>
      <c r="M27" s="1247"/>
      <c r="N27" s="1247"/>
      <c r="O27" s="1246"/>
      <c r="P27" s="2012"/>
      <c r="Q27" s="2012"/>
      <c r="R27" s="2012"/>
      <c r="S27" s="2012"/>
      <c r="T27" s="2012"/>
      <c r="U27" s="2012"/>
      <c r="V27" s="2012"/>
    </row>
    <row r="28" spans="1:26" ht="18.75" customHeight="1">
      <c r="A28" s="292"/>
      <c r="B28" s="293"/>
      <c r="C28" s="293"/>
      <c r="D28" s="294"/>
      <c r="E28" s="310"/>
      <c r="F28" s="310"/>
      <c r="G28" s="310"/>
      <c r="H28" s="310"/>
      <c r="I28" s="310"/>
      <c r="J28" s="2012"/>
      <c r="K28" s="1253" t="e">
        <f ca="1">"楼面地价："&amp;N38&amp;"元/平方米"</f>
        <v>#REF!</v>
      </c>
      <c r="L28" s="1247"/>
      <c r="M28" s="1247"/>
      <c r="N28" s="1247"/>
      <c r="O28" s="1246"/>
      <c r="P28" s="2012"/>
      <c r="V28" s="2012"/>
    </row>
    <row r="29" spans="1:26" ht="18">
      <c r="A29" s="292"/>
      <c r="B29" s="293"/>
      <c r="C29" s="293"/>
      <c r="D29" s="294"/>
      <c r="E29" s="310"/>
      <c r="F29" s="310"/>
      <c r="G29" s="310"/>
      <c r="H29" s="310"/>
      <c r="I29" s="310"/>
      <c r="J29" s="2012"/>
      <c r="K29" s="1253" t="str">
        <f>IF(OR(项目基本情况!E8="抵押价格",项目基本情况!E8="已注销及未注销"),"抵押价格："&amp;O39&amp;"万元","——")</f>
        <v>——</v>
      </c>
      <c r="L29" s="1247"/>
      <c r="M29" s="1247"/>
      <c r="N29" s="1247"/>
      <c r="O29" s="1246"/>
      <c r="P29" s="2012"/>
      <c r="V29" s="2012"/>
    </row>
    <row r="30" spans="1:26" ht="18.75" thickBot="1">
      <c r="A30" s="2948" t="s">
        <v>336</v>
      </c>
      <c r="B30" s="308"/>
      <c r="C30" s="308"/>
      <c r="D30" s="309"/>
      <c r="E30" s="2949" t="s">
        <v>2964</v>
      </c>
      <c r="F30" s="310"/>
      <c r="G30" s="310"/>
      <c r="H30" s="310"/>
      <c r="I30" s="310"/>
      <c r="J30" s="2012"/>
      <c r="K30" s="1253" t="str">
        <f>IF(K29="——","——","大写金额：人民币"&amp;NUMBERSTRING(INT(O39*10000),2)&amp;"元整")</f>
        <v>——</v>
      </c>
      <c r="L30" s="1247"/>
      <c r="M30" s="1247"/>
      <c r="N30" s="1247"/>
      <c r="O30" s="1246"/>
      <c r="P30" s="2012"/>
      <c r="V30" s="2012"/>
    </row>
    <row r="31" spans="1:26" ht="24" customHeight="1" thickBot="1">
      <c r="A31" s="310"/>
      <c r="B31" s="310"/>
      <c r="C31" s="310"/>
      <c r="D31" s="310"/>
      <c r="E31" s="310"/>
      <c r="F31" s="310"/>
      <c r="G31" s="310"/>
      <c r="H31" s="310"/>
      <c r="I31" s="310"/>
      <c r="J31" s="2012"/>
      <c r="K31" s="2431" t="str">
        <f>IF(项目基本情况!E8="抵押价格","——","抵押担保权已注销时的抵押价格："&amp;O40&amp;"万元")</f>
        <v>抵押担保权已注销时的抵押价格：——万元</v>
      </c>
      <c r="L31" s="2427"/>
      <c r="M31" s="2427"/>
      <c r="N31" s="2427"/>
      <c r="O31" s="2428"/>
      <c r="P31" s="2012"/>
      <c r="V31" s="2012"/>
    </row>
    <row r="32" spans="1:26" ht="18.75" thickBot="1">
      <c r="A32" s="267" t="s">
        <v>337</v>
      </c>
      <c r="B32" s="1376" t="s">
        <v>1688</v>
      </c>
      <c r="C32" s="1377" t="e">
        <f ca="1">G19-C24</f>
        <v>#REF!</v>
      </c>
      <c r="D32" s="1378" t="s">
        <v>1689</v>
      </c>
      <c r="E32" s="310"/>
      <c r="F32" s="310"/>
      <c r="G32" s="310"/>
      <c r="H32" s="310"/>
      <c r="I32" s="310"/>
      <c r="J32" s="2012"/>
      <c r="K32" s="2426" t="e">
        <f>IF(K31="——","——","大写金额：人民币"&amp;NUMBERSTRING(INT(O40*10000),2)&amp;"元整")</f>
        <v>#VALUE!</v>
      </c>
      <c r="L32" s="2429"/>
      <c r="M32" s="2429"/>
      <c r="N32" s="2429"/>
      <c r="O32" s="2430"/>
      <c r="P32" s="2012"/>
      <c r="V32" s="2012"/>
    </row>
    <row r="33" spans="1:26" ht="18.75" thickBot="1">
      <c r="A33" s="297" t="s">
        <v>340</v>
      </c>
      <c r="B33" s="1379" t="s">
        <v>1690</v>
      </c>
      <c r="C33" s="263" t="e">
        <f ca="1">ROUND(C32*10000/'数据-汇总表'!E3,0)</f>
        <v>#REF!</v>
      </c>
      <c r="D33" s="1380" t="s">
        <v>1691</v>
      </c>
      <c r="E33" s="3385" t="s">
        <v>338</v>
      </c>
      <c r="F33" s="295" t="s">
        <v>339</v>
      </c>
      <c r="G33" s="296"/>
      <c r="H33" s="979"/>
      <c r="I33" s="1254"/>
      <c r="J33" s="2012"/>
      <c r="K33" s="1253" t="str">
        <f>IF(项目基本情况!E9="——","——","抵押净值："&amp;C46&amp;"万元")</f>
        <v>抵押净值：——万元</v>
      </c>
      <c r="L33" s="1247"/>
      <c r="M33" s="1247"/>
      <c r="N33" s="1247"/>
      <c r="O33" s="1246"/>
      <c r="P33" s="2012"/>
      <c r="V33" s="2012"/>
    </row>
    <row r="34" spans="1:26" s="1249" customFormat="1" ht="18.75" thickBot="1">
      <c r="A34" s="299"/>
      <c r="B34" s="1381" t="s">
        <v>1692</v>
      </c>
      <c r="C34" s="263" t="e">
        <f ca="1">ROUND(C32*10000/'数据-汇总表'!D3,0)</f>
        <v>#REF!</v>
      </c>
      <c r="D34" s="1382" t="s">
        <v>1691</v>
      </c>
      <c r="E34" s="3386"/>
      <c r="F34" s="127" t="s">
        <v>341</v>
      </c>
      <c r="G34" s="298"/>
      <c r="H34" s="105"/>
      <c r="I34" s="310"/>
      <c r="J34" s="2012"/>
      <c r="K34" s="1256" t="e">
        <f>IF(K33="——","——","大写金额：人民币"&amp;NUMBERSTRING(INT(O41*10000),2)&amp;"元整")</f>
        <v>#VALUE!</v>
      </c>
      <c r="L34" s="1257"/>
      <c r="M34" s="1257"/>
      <c r="N34" s="1257"/>
      <c r="O34" s="1258"/>
      <c r="P34" s="2012"/>
      <c r="Q34" s="291"/>
      <c r="R34" s="291"/>
      <c r="S34" s="291"/>
      <c r="T34" s="291"/>
      <c r="U34" s="291"/>
      <c r="V34" s="2012"/>
      <c r="W34" s="291"/>
      <c r="X34" s="291"/>
      <c r="Y34" s="291"/>
      <c r="Z34" s="291"/>
    </row>
    <row r="35" spans="1:26" ht="15.75" thickBot="1">
      <c r="A35" s="283"/>
      <c r="B35" s="1383"/>
      <c r="C35" s="1384" t="e">
        <f ca="1">ROUND(C32/('数据-汇总表'!D3/666.67),0)</f>
        <v>#REF!</v>
      </c>
      <c r="D35" s="1385" t="s">
        <v>1693</v>
      </c>
      <c r="E35" s="3387"/>
      <c r="F35" s="300" t="s">
        <v>342</v>
      </c>
      <c r="G35" s="981"/>
      <c r="H35" s="980" t="s">
        <v>343</v>
      </c>
      <c r="I35" s="310"/>
      <c r="J35" s="2012"/>
      <c r="K35" s="3391" t="s">
        <v>350</v>
      </c>
      <c r="L35" s="3391" t="s">
        <v>351</v>
      </c>
      <c r="M35" s="1259" t="s">
        <v>352</v>
      </c>
      <c r="N35" s="3391" t="s">
        <v>353</v>
      </c>
      <c r="O35" s="3391" t="s">
        <v>354</v>
      </c>
      <c r="P35" s="2012"/>
      <c r="V35" s="2012"/>
    </row>
    <row r="36" spans="1:26" ht="16.5" customHeight="1">
      <c r="A36" s="302" t="s">
        <v>344</v>
      </c>
      <c r="B36" s="303" t="s">
        <v>333</v>
      </c>
      <c r="C36" s="304" t="s">
        <v>345</v>
      </c>
      <c r="D36" s="304" t="s">
        <v>346</v>
      </c>
      <c r="E36" s="305" t="s">
        <v>347</v>
      </c>
      <c r="F36" s="310"/>
      <c r="G36" s="310"/>
      <c r="H36" s="310"/>
      <c r="I36" s="310"/>
      <c r="J36" s="2014"/>
      <c r="K36" s="3392"/>
      <c r="L36" s="3392"/>
      <c r="M36" s="1261" t="s">
        <v>355</v>
      </c>
      <c r="N36" s="3392"/>
      <c r="O36" s="3392"/>
      <c r="P36" s="2012"/>
      <c r="V36" s="2012"/>
    </row>
    <row r="37" spans="1:26" ht="16.5" customHeight="1" thickBot="1">
      <c r="A37" s="1255" t="s">
        <v>348</v>
      </c>
      <c r="B37" s="306"/>
      <c r="C37" s="293"/>
      <c r="D37" s="293"/>
      <c r="E37" s="294"/>
      <c r="F37" s="310"/>
      <c r="G37" s="310"/>
      <c r="H37" s="310"/>
      <c r="I37" s="310"/>
      <c r="J37" s="2014"/>
      <c r="K37" s="3393"/>
      <c r="L37" s="3393"/>
      <c r="M37" s="1262"/>
      <c r="N37" s="3393"/>
      <c r="O37" s="3393"/>
      <c r="P37" s="2012"/>
      <c r="V37" s="2012"/>
    </row>
    <row r="38" spans="1:26" ht="16.5" customHeight="1" thickBot="1">
      <c r="A38" s="1255" t="s">
        <v>349</v>
      </c>
      <c r="B38" s="306"/>
      <c r="C38" s="293"/>
      <c r="D38" s="293"/>
      <c r="E38" s="294"/>
      <c r="F38" s="310"/>
      <c r="G38" s="310"/>
      <c r="H38" s="310"/>
      <c r="I38" s="310"/>
      <c r="J38" s="2014"/>
      <c r="K38" s="1263">
        <f>'数据-汇总表'!D3</f>
        <v>798900</v>
      </c>
      <c r="L38" s="1264">
        <f>'数据-汇总表'!E3</f>
        <v>2347917.9900000002</v>
      </c>
      <c r="M38" s="1264" t="e">
        <f ca="1">C34</f>
        <v>#REF!</v>
      </c>
      <c r="N38" s="1264" t="e">
        <f ca="1">C33</f>
        <v>#REF!</v>
      </c>
      <c r="O38" s="1265" t="e">
        <f ca="1">C32</f>
        <v>#REF!</v>
      </c>
      <c r="P38" s="2012"/>
      <c r="V38" s="2012"/>
    </row>
    <row r="39" spans="1:26" ht="16.5" customHeight="1" thickBot="1">
      <c r="A39" s="1260"/>
      <c r="B39" s="307"/>
      <c r="C39" s="308"/>
      <c r="D39" s="308"/>
      <c r="E39" s="309"/>
      <c r="F39" s="310"/>
      <c r="G39" s="310"/>
      <c r="H39" s="310"/>
      <c r="I39" s="310"/>
      <c r="J39" s="2014"/>
      <c r="K39" s="3368" t="str">
        <f>MID(A44,3,LEN(A44)-2)</f>
        <v/>
      </c>
      <c r="L39" s="3369"/>
      <c r="M39" s="3369"/>
      <c r="N39" s="3370"/>
      <c r="O39" s="1387" t="str">
        <f>C44</f>
        <v>——</v>
      </c>
      <c r="P39" s="2012"/>
      <c r="V39" s="2012"/>
    </row>
    <row r="40" spans="1:26" ht="19.5" thickBot="1">
      <c r="A40" s="104" t="s">
        <v>873</v>
      </c>
      <c r="B40" s="310"/>
      <c r="C40" s="310"/>
      <c r="D40" s="310"/>
      <c r="E40" s="310"/>
      <c r="F40" s="310"/>
      <c r="G40" s="310"/>
      <c r="H40" s="310"/>
      <c r="I40" s="310"/>
      <c r="J40" s="2014"/>
      <c r="K40" s="3368" t="str">
        <f t="shared" ref="K40:K41" si="0">MID(A45,3,LEN(A45)-2)</f>
        <v/>
      </c>
      <c r="L40" s="3369"/>
      <c r="M40" s="3369"/>
      <c r="N40" s="3370"/>
      <c r="O40" s="1387" t="str">
        <f>C45</f>
        <v>——</v>
      </c>
      <c r="P40" s="2012"/>
      <c r="V40" s="2012"/>
    </row>
    <row r="41" spans="1:26" ht="16.5" thickBot="1">
      <c r="A41" s="311" t="s">
        <v>356</v>
      </c>
      <c r="B41" s="312"/>
      <c r="C41" s="313" t="s">
        <v>357</v>
      </c>
      <c r="D41" s="314" t="s">
        <v>358</v>
      </c>
      <c r="E41" s="314" t="s">
        <v>359</v>
      </c>
      <c r="F41" s="315" t="s">
        <v>360</v>
      </c>
      <c r="G41" s="310"/>
      <c r="H41" s="310"/>
      <c r="I41" s="310"/>
      <c r="J41" s="2014"/>
      <c r="K41" s="3368" t="str">
        <f t="shared" si="0"/>
        <v/>
      </c>
      <c r="L41" s="3369"/>
      <c r="M41" s="3369"/>
      <c r="N41" s="3370"/>
      <c r="O41" s="1387" t="str">
        <f>C46</f>
        <v>——</v>
      </c>
      <c r="P41" s="2012"/>
      <c r="V41" s="2012"/>
    </row>
    <row r="42" spans="1:26" ht="29.25">
      <c r="A42" s="3428" t="s">
        <v>2065</v>
      </c>
      <c r="B42" s="3429"/>
      <c r="C42" s="263" t="e">
        <f ca="1">C32</f>
        <v>#REF!</v>
      </c>
      <c r="D42" s="316" t="e">
        <f ca="1">C33</f>
        <v>#REF!</v>
      </c>
      <c r="E42" s="316" t="e">
        <f ca="1">C34</f>
        <v>#REF!</v>
      </c>
      <c r="F42" s="317" t="e">
        <f ca="1">C35</f>
        <v>#REF!</v>
      </c>
      <c r="G42" s="310"/>
      <c r="H42" s="310"/>
      <c r="I42" s="318"/>
      <c r="J42" s="2014"/>
      <c r="K42" s="1266" t="s">
        <v>361</v>
      </c>
      <c r="L42" s="2031" t="s">
        <v>362</v>
      </c>
      <c r="M42" s="1267" t="s">
        <v>363</v>
      </c>
      <c r="N42" s="2032" t="s">
        <v>364</v>
      </c>
      <c r="O42" s="2033" t="s">
        <v>365</v>
      </c>
      <c r="P42" s="2012"/>
      <c r="V42" s="2012"/>
    </row>
    <row r="43" spans="1:26" ht="18">
      <c r="A43" s="3438" t="s">
        <v>2726</v>
      </c>
      <c r="B43" s="3439"/>
      <c r="C43" s="263">
        <f>IF(H33="正常操作",G33+G34+G35,G34+G35)</f>
        <v>0</v>
      </c>
      <c r="D43" s="316" t="s">
        <v>43</v>
      </c>
      <c r="E43" s="316" t="s">
        <v>44</v>
      </c>
      <c r="F43" s="317" t="s">
        <v>44</v>
      </c>
      <c r="G43" s="2704" t="s">
        <v>952</v>
      </c>
      <c r="H43" s="310"/>
      <c r="I43" s="318"/>
      <c r="J43" s="2014"/>
      <c r="K43" s="1268">
        <f>C4</f>
        <v>0</v>
      </c>
      <c r="L43" s="1269" t="e">
        <f ca="1">IF(L42="估价结果/万元",C19,C20)</f>
        <v>#REF!</v>
      </c>
      <c r="M43" s="1270" t="e">
        <f>C18</f>
        <v>#DIV/0!</v>
      </c>
      <c r="N43" s="1271" t="e">
        <f ca="1">IF(N42="测算结果/万元",G19,G20)</f>
        <v>#REF!</v>
      </c>
      <c r="O43" s="1272" t="e">
        <f ca="1">IF(O42="最终结果/万元",C32,C33)</f>
        <v>#REF!</v>
      </c>
      <c r="P43" s="2012"/>
      <c r="V43" s="2012"/>
    </row>
    <row r="44" spans="1:26" ht="18.75" thickBot="1">
      <c r="A44" s="3428" t="str">
        <f>IF(OR(项目基本情况!E8="抵押价格",项目基本情况!E8="已注销及未注销"),"3.抵押价格","——")</f>
        <v>——</v>
      </c>
      <c r="B44" s="3429"/>
      <c r="C44" s="263" t="str">
        <f>IF(A44="——","——",C42-C43)</f>
        <v>——</v>
      </c>
      <c r="D44" s="316" t="e">
        <f>ROUND(C44*10000/'数据-汇总表'!E3,0)</f>
        <v>#VALUE!</v>
      </c>
      <c r="E44" s="316" t="e">
        <f>ROUND(C44*10000/'数据-汇总表'!D3,0)</f>
        <v>#VALUE!</v>
      </c>
      <c r="F44" s="317" t="e">
        <f>ROUND(C44/('数据-汇总表'!D3/666.67),0)</f>
        <v>#VALUE!</v>
      </c>
      <c r="G44" s="310"/>
      <c r="H44" s="310"/>
      <c r="I44" s="318"/>
      <c r="J44" s="2014"/>
      <c r="K44" s="1273">
        <f>D4</f>
        <v>0</v>
      </c>
      <c r="L44" s="1274" t="e">
        <f ca="1">IF(L42="估价结果/万元",D19,D20)</f>
        <v>#REF!</v>
      </c>
      <c r="M44" s="1275" t="e">
        <f>D18</f>
        <v>#DIV/0!</v>
      </c>
      <c r="N44" s="1276"/>
      <c r="O44" s="1277"/>
      <c r="P44" s="2012"/>
      <c r="V44" s="2012"/>
    </row>
    <row r="45" spans="1:26" ht="15">
      <c r="A45" s="3433" t="str">
        <f>IF(项目基本情况!E8="已注销及未注销","4.抵押担保权已注销时的抵押价格",IF(项目基本情况!E8="已注销","3.抵押担保权已注销时的抵押价格","——"))</f>
        <v>——</v>
      </c>
      <c r="B45" s="3434"/>
      <c r="C45" s="1787"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4"/>
      <c r="K45" s="2012"/>
      <c r="L45" s="2012"/>
      <c r="M45" s="2012"/>
      <c r="N45" s="2012"/>
      <c r="O45" s="2012"/>
      <c r="P45" s="2012"/>
      <c r="V45" s="2012"/>
    </row>
    <row r="46" spans="1:26" ht="15.75" thickBot="1">
      <c r="A46" s="3430" t="str">
        <f>IF(项目基本情况!E9="抵押净值",IF(A45="——","4.抵押净值","5.抵押净值"),"——")</f>
        <v>——</v>
      </c>
      <c r="B46" s="3431"/>
      <c r="C46" s="319" t="str">
        <f>IF(A46="——","——",O79)</f>
        <v>——</v>
      </c>
      <c r="D46" s="316" t="e">
        <f>ROUND(C46*10000/'数据-汇总表'!E3,0)</f>
        <v>#VALUE!</v>
      </c>
      <c r="E46" s="316" t="e">
        <f>ROUND(C46*10000/'数据-汇总表'!D3,0)</f>
        <v>#VALUE!</v>
      </c>
      <c r="F46" s="317" t="e">
        <f>ROUND(C46/('数据-汇总表'!D3/666.67),0)</f>
        <v>#VALUE!</v>
      </c>
      <c r="G46" s="310"/>
      <c r="H46" s="310"/>
      <c r="I46" s="318"/>
      <c r="J46" s="2014"/>
      <c r="K46" s="2012"/>
      <c r="L46" s="2012"/>
      <c r="M46" s="2012"/>
      <c r="N46" s="2012"/>
      <c r="O46" s="2012"/>
      <c r="P46" s="2012"/>
      <c r="Q46" s="2012"/>
      <c r="R46" s="2012"/>
      <c r="S46" s="2012"/>
      <c r="T46" s="2012"/>
      <c r="U46" s="2012"/>
      <c r="V46" s="2012"/>
    </row>
    <row r="47" spans="1:26" ht="15.75">
      <c r="A47" s="320" t="s">
        <v>366</v>
      </c>
      <c r="B47" s="1278"/>
      <c r="C47" s="321" t="s">
        <v>367</v>
      </c>
      <c r="D47" s="322"/>
      <c r="E47" s="322"/>
      <c r="F47" s="322"/>
      <c r="G47" s="323"/>
      <c r="H47" s="324"/>
      <c r="I47" s="325"/>
      <c r="J47" s="2014"/>
      <c r="K47" s="310"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6">
        <v>1</v>
      </c>
      <c r="B48" s="327"/>
      <c r="C48" s="327"/>
      <c r="D48" s="322"/>
      <c r="E48" s="322"/>
      <c r="F48" s="322"/>
      <c r="G48" s="322"/>
      <c r="H48" s="328"/>
      <c r="I48" s="329"/>
      <c r="J48" s="2014"/>
      <c r="K48" s="2012"/>
      <c r="L48" s="2012"/>
      <c r="M48" s="2012"/>
      <c r="N48" s="2012"/>
      <c r="O48" s="2012"/>
      <c r="P48" s="2012"/>
      <c r="Q48" s="2012"/>
      <c r="R48" s="2012"/>
      <c r="S48" s="2012"/>
      <c r="T48" s="2012"/>
      <c r="U48" s="2012"/>
      <c r="V48" s="2012"/>
    </row>
    <row r="49" spans="1:22" ht="12.75">
      <c r="A49" s="326">
        <v>2</v>
      </c>
      <c r="B49" s="327"/>
      <c r="C49" s="327"/>
      <c r="D49" s="322"/>
      <c r="E49" s="322"/>
      <c r="F49" s="322"/>
      <c r="G49" s="322"/>
      <c r="H49" s="328"/>
      <c r="I49" s="329"/>
      <c r="J49" s="2015"/>
      <c r="K49" s="2012"/>
      <c r="L49" s="2012"/>
      <c r="M49" s="2012"/>
      <c r="N49" s="2012"/>
      <c r="O49" s="2012"/>
      <c r="P49" s="2012"/>
      <c r="Q49" s="2012"/>
      <c r="R49" s="2012"/>
      <c r="S49" s="2012"/>
      <c r="T49" s="2012"/>
      <c r="U49" s="2012"/>
      <c r="V49" s="2012"/>
    </row>
    <row r="50" spans="1:22" ht="12.75">
      <c r="A50" s="326">
        <v>3</v>
      </c>
      <c r="B50" s="327"/>
      <c r="C50" s="327"/>
      <c r="D50" s="322"/>
      <c r="E50" s="322"/>
      <c r="F50" s="322"/>
      <c r="G50" s="322"/>
      <c r="H50" s="328"/>
      <c r="I50" s="329"/>
      <c r="J50" s="2015"/>
      <c r="K50" s="2012"/>
      <c r="L50" s="2012"/>
      <c r="M50" s="2012"/>
      <c r="N50" s="2012"/>
      <c r="O50" s="2012"/>
      <c r="P50" s="2012"/>
      <c r="Q50" s="2012"/>
      <c r="R50" s="2012"/>
      <c r="S50" s="2012"/>
      <c r="T50" s="2012"/>
      <c r="U50" s="2012"/>
      <c r="V50" s="2012"/>
    </row>
    <row r="51" spans="1:22" ht="12.75">
      <c r="A51" s="330"/>
      <c r="B51" s="331"/>
      <c r="C51" s="331"/>
      <c r="D51" s="332"/>
      <c r="E51" s="332"/>
      <c r="F51" s="332"/>
      <c r="G51" s="332"/>
      <c r="H51" s="333"/>
      <c r="I51" s="334"/>
      <c r="J51" s="2015"/>
      <c r="K51" s="2012"/>
      <c r="L51" s="2012"/>
      <c r="M51" s="2012"/>
      <c r="N51" s="2012"/>
      <c r="O51" s="2012"/>
      <c r="P51" s="2012"/>
      <c r="Q51" s="2012"/>
      <c r="R51" s="2012"/>
      <c r="S51" s="2012"/>
      <c r="T51" s="2012"/>
      <c r="U51" s="2012"/>
      <c r="V51" s="2012"/>
    </row>
    <row r="52" spans="1:22" ht="12.75">
      <c r="A52" s="327"/>
      <c r="B52" s="327"/>
      <c r="C52" s="327"/>
      <c r="D52" s="322"/>
      <c r="E52" s="322"/>
      <c r="F52" s="322"/>
      <c r="G52" s="322"/>
      <c r="H52" s="328"/>
      <c r="I52" s="256"/>
      <c r="J52" s="2015"/>
      <c r="K52" s="2012"/>
      <c r="L52" s="2012"/>
      <c r="M52" s="2012"/>
      <c r="N52" s="2012"/>
      <c r="O52" s="2012"/>
      <c r="P52" s="2012"/>
      <c r="Q52" s="2012"/>
      <c r="R52" s="2012"/>
      <c r="S52" s="2012"/>
      <c r="T52" s="2012"/>
      <c r="U52" s="2012"/>
      <c r="V52" s="2012"/>
    </row>
    <row r="53" spans="1:22" ht="12.75">
      <c r="A53" s="256"/>
      <c r="B53" s="256"/>
      <c r="C53" s="256"/>
      <c r="D53" s="256"/>
      <c r="E53" s="256"/>
      <c r="F53" s="335" t="s">
        <v>368</v>
      </c>
      <c r="G53" s="336"/>
      <c r="H53" s="336"/>
      <c r="I53" s="337" t="s">
        <v>369</v>
      </c>
      <c r="J53" s="2015"/>
      <c r="K53" s="2012"/>
      <c r="L53" s="2012"/>
      <c r="M53" s="2012"/>
      <c r="N53" s="2012"/>
      <c r="O53" s="2012"/>
      <c r="P53" s="2012"/>
      <c r="Q53" s="2012"/>
      <c r="R53" s="2012"/>
      <c r="S53" s="2012"/>
      <c r="T53" s="2012"/>
      <c r="U53" s="2012"/>
      <c r="V53" s="2012"/>
    </row>
    <row r="54" spans="1:22" ht="12.75">
      <c r="A54" s="256"/>
      <c r="B54" s="338" t="s">
        <v>370</v>
      </c>
      <c r="C54" s="256"/>
      <c r="D54" s="256"/>
      <c r="E54" s="256"/>
      <c r="F54" s="256"/>
      <c r="G54" s="256"/>
      <c r="H54" s="256"/>
      <c r="I54" s="256"/>
      <c r="J54" s="2015"/>
      <c r="K54" s="2012"/>
      <c r="L54" s="2012"/>
      <c r="M54" s="2012"/>
      <c r="N54" s="2012"/>
      <c r="O54" s="2012"/>
      <c r="P54" s="2012"/>
      <c r="Q54" s="2012"/>
      <c r="R54" s="2012"/>
      <c r="S54" s="2012"/>
      <c r="T54" s="2012"/>
      <c r="U54" s="2012"/>
      <c r="V54" s="2012"/>
    </row>
    <row r="55" spans="1:22" ht="12.75">
      <c r="A55" s="256"/>
      <c r="B55" s="256"/>
      <c r="C55" s="256"/>
      <c r="D55" s="256"/>
      <c r="E55" s="256"/>
      <c r="F55" s="256"/>
      <c r="G55" s="256"/>
      <c r="H55" s="256"/>
      <c r="I55" s="256"/>
      <c r="J55" s="2015"/>
      <c r="K55" s="2012"/>
      <c r="L55" s="2012"/>
      <c r="M55" s="2012"/>
      <c r="N55" s="2012"/>
      <c r="O55" s="2012"/>
      <c r="P55" s="2012"/>
      <c r="Q55" s="2012"/>
      <c r="R55" s="2012"/>
      <c r="S55" s="2012"/>
      <c r="T55" s="2012"/>
      <c r="U55" s="2012"/>
      <c r="V55" s="2012"/>
    </row>
    <row r="56" spans="1:22" ht="12.75">
      <c r="A56" s="256"/>
      <c r="B56" s="336"/>
      <c r="C56" s="336"/>
      <c r="D56" s="336"/>
      <c r="E56" s="336"/>
      <c r="F56" s="336"/>
      <c r="G56" s="336"/>
      <c r="H56" s="336"/>
      <c r="I56" s="337" t="s">
        <v>371</v>
      </c>
      <c r="J56" s="2015"/>
      <c r="K56" s="2012"/>
      <c r="L56" s="2012"/>
      <c r="M56" s="2012"/>
      <c r="N56" s="2012"/>
      <c r="O56" s="2012"/>
      <c r="P56" s="2012"/>
      <c r="Q56" s="2012"/>
      <c r="R56" s="2012"/>
      <c r="S56" s="2012"/>
      <c r="T56" s="2012"/>
      <c r="U56" s="2012"/>
      <c r="V56" s="2012"/>
    </row>
    <row r="57" spans="1:22" ht="12.75">
      <c r="A57" s="256"/>
      <c r="B57" s="338" t="s">
        <v>372</v>
      </c>
      <c r="C57" s="256"/>
      <c r="D57" s="256"/>
      <c r="E57" s="256"/>
      <c r="F57" s="256"/>
      <c r="G57" s="256"/>
      <c r="H57" s="256"/>
      <c r="I57" s="256"/>
      <c r="J57" s="2015"/>
      <c r="K57" s="2012"/>
      <c r="L57" s="2012"/>
      <c r="M57" s="2012"/>
      <c r="N57" s="2012"/>
      <c r="O57" s="2012"/>
      <c r="P57" s="2012"/>
      <c r="Q57" s="2012"/>
      <c r="R57" s="2012"/>
      <c r="S57" s="2012"/>
      <c r="T57" s="2012"/>
      <c r="U57" s="2012"/>
      <c r="V57" s="2012"/>
    </row>
    <row r="58" spans="1:22" ht="12.75">
      <c r="A58" s="256"/>
      <c r="B58" s="338"/>
      <c r="C58" s="256"/>
      <c r="D58" s="256"/>
      <c r="E58" s="256"/>
      <c r="F58" s="256"/>
      <c r="G58" s="256"/>
      <c r="H58" s="256"/>
      <c r="I58" s="256"/>
      <c r="J58" s="2015"/>
      <c r="K58" s="2012"/>
      <c r="L58" s="2012"/>
      <c r="M58" s="2012"/>
      <c r="N58" s="2012"/>
      <c r="O58" s="2012"/>
      <c r="P58" s="2012"/>
      <c r="Q58" s="2012"/>
      <c r="R58" s="2012"/>
      <c r="S58" s="2012"/>
      <c r="T58" s="2012"/>
      <c r="U58" s="2012"/>
      <c r="V58" s="2012"/>
    </row>
    <row r="59" spans="1:22" ht="12.75">
      <c r="A59" s="256"/>
      <c r="B59" s="336"/>
      <c r="C59" s="336"/>
      <c r="D59" s="336"/>
      <c r="E59" s="336"/>
      <c r="F59" s="336"/>
      <c r="G59" s="336"/>
      <c r="H59" s="336"/>
      <c r="I59" s="337" t="s">
        <v>371</v>
      </c>
      <c r="J59" s="2015"/>
      <c r="K59" s="2012"/>
      <c r="L59" s="2012"/>
      <c r="M59" s="2012"/>
      <c r="N59" s="2012"/>
      <c r="O59" s="2012"/>
      <c r="P59" s="2012"/>
      <c r="Q59" s="2012"/>
      <c r="R59" s="2012"/>
      <c r="S59" s="2012"/>
      <c r="T59" s="2012"/>
      <c r="U59" s="2012"/>
      <c r="V59" s="2012"/>
    </row>
    <row r="60" spans="1:22" ht="12.75">
      <c r="A60" s="256"/>
      <c r="B60" s="256"/>
      <c r="C60" s="256"/>
      <c r="D60" s="256"/>
      <c r="E60" s="256"/>
      <c r="F60" s="256"/>
      <c r="G60" s="256"/>
      <c r="H60" s="256"/>
      <c r="I60" s="256"/>
      <c r="J60" s="2015"/>
      <c r="K60" s="2012"/>
      <c r="L60" s="2012"/>
      <c r="M60" s="2012"/>
      <c r="N60" s="2012"/>
      <c r="O60" s="2012"/>
      <c r="P60" s="2012"/>
      <c r="Q60" s="2012"/>
      <c r="R60" s="2012"/>
      <c r="S60" s="2012"/>
      <c r="T60" s="2012"/>
      <c r="U60" s="2012"/>
      <c r="V60" s="2012"/>
    </row>
    <row r="61" spans="1:22" ht="12.75">
      <c r="A61" s="256"/>
      <c r="B61" s="338"/>
      <c r="C61" s="339"/>
      <c r="D61" s="216"/>
      <c r="E61" s="216"/>
      <c r="F61" s="252"/>
      <c r="G61" s="256"/>
      <c r="H61" s="256"/>
      <c r="I61" s="256"/>
      <c r="J61" s="2015"/>
      <c r="K61" s="2012"/>
      <c r="L61" s="2012"/>
      <c r="M61" s="2012"/>
      <c r="N61" s="2012"/>
      <c r="O61" s="2012"/>
      <c r="P61" s="2012"/>
      <c r="Q61" s="2012"/>
      <c r="R61" s="2012"/>
      <c r="S61" s="2012"/>
      <c r="T61" s="2012"/>
      <c r="U61" s="2012"/>
      <c r="V61" s="2012"/>
    </row>
    <row r="62" spans="1:22" ht="18.75">
      <c r="A62" s="1279" t="s">
        <v>373</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hidden="1" customHeight="1" thickBot="1">
      <c r="A63" s="3396" t="s">
        <v>374</v>
      </c>
      <c r="B63" s="3397"/>
      <c r="C63" s="3398"/>
      <c r="D63" s="340" t="e">
        <f ca="1">ROUND(C42*F63,0)</f>
        <v>#REF!</v>
      </c>
      <c r="E63" s="301" t="s">
        <v>375</v>
      </c>
      <c r="F63" s="341">
        <v>0.6</v>
      </c>
      <c r="G63" s="342" t="s">
        <v>376</v>
      </c>
      <c r="H63" s="310"/>
      <c r="I63" s="310"/>
      <c r="J63" s="2012"/>
      <c r="K63" s="2012"/>
      <c r="L63" s="2012"/>
      <c r="M63" s="2012"/>
      <c r="N63" s="2012"/>
      <c r="O63" s="2012"/>
      <c r="P63" s="310"/>
      <c r="Q63" s="2012"/>
      <c r="R63" s="2012"/>
      <c r="S63" s="2012"/>
      <c r="T63" s="2012"/>
      <c r="U63" s="2012"/>
      <c r="V63" s="2012"/>
    </row>
    <row r="64" spans="1:22" ht="14.25" hidden="1" customHeight="1">
      <c r="A64" s="3435" t="s">
        <v>378</v>
      </c>
      <c r="B64" s="3436"/>
      <c r="C64" s="3436"/>
      <c r="D64" s="3436"/>
      <c r="E64" s="3436"/>
      <c r="F64" s="3436"/>
      <c r="G64" s="3437"/>
      <c r="H64" s="1283"/>
      <c r="I64" s="947"/>
      <c r="J64" s="1974"/>
      <c r="K64" s="1546" t="s">
        <v>377</v>
      </c>
      <c r="L64" s="11"/>
      <c r="M64" s="11"/>
      <c r="N64" s="11"/>
      <c r="O64" s="11"/>
      <c r="P64" s="310"/>
      <c r="Q64" s="2012"/>
      <c r="R64" s="2012"/>
      <c r="S64" s="2012"/>
      <c r="T64" s="2012"/>
      <c r="U64" s="2012"/>
      <c r="V64" s="2012"/>
    </row>
    <row r="65" spans="1:22" ht="12" hidden="1" customHeight="1">
      <c r="A65" s="343" t="s">
        <v>380</v>
      </c>
      <c r="B65" s="344"/>
      <c r="C65" s="345"/>
      <c r="D65" s="346" t="s">
        <v>381</v>
      </c>
      <c r="E65" s="53" t="s">
        <v>382</v>
      </c>
      <c r="F65" s="347" t="s">
        <v>383</v>
      </c>
      <c r="G65" s="348" t="s">
        <v>384</v>
      </c>
      <c r="H65" s="1283"/>
      <c r="I65" s="947"/>
      <c r="J65" s="1974"/>
      <c r="K65" s="1284"/>
      <c r="L65" s="1285"/>
      <c r="M65" s="1285"/>
      <c r="N65" s="1317" t="s">
        <v>379</v>
      </c>
      <c r="O65" s="1318"/>
      <c r="P65" s="1319"/>
      <c r="Q65" s="2012"/>
      <c r="R65" s="2012"/>
      <c r="S65" s="2012"/>
      <c r="T65" s="2012"/>
      <c r="U65" s="2012"/>
      <c r="V65" s="2012"/>
    </row>
    <row r="66" spans="1:22" ht="25.5" hidden="1">
      <c r="A66" s="3432" t="s">
        <v>386</v>
      </c>
      <c r="B66" s="3403"/>
      <c r="C66" s="3403"/>
      <c r="D66" s="260" t="e">
        <f ca="1">IF(H66="情况1",0,IF(H66="情况2",D70,IF(H66="情况3",D71,IF(H66="情况4",D72))))</f>
        <v>#REF!</v>
      </c>
      <c r="E66" s="992" t="str">
        <f>IF(H66="情况4","(销售额-原购置价)×税（费）率","销售额×税（费）率")</f>
        <v>销售额×税（费）率</v>
      </c>
      <c r="F66" s="349">
        <f>IF(H66="情况1","免征",'数据-取费表'!B41)</f>
        <v>5.5000000000000007E-2</v>
      </c>
      <c r="G66" s="350" t="s">
        <v>387</v>
      </c>
      <c r="H66" s="191" t="s">
        <v>388</v>
      </c>
      <c r="I66" s="1283"/>
      <c r="J66" s="2018"/>
      <c r="K66" s="1286">
        <v>1</v>
      </c>
      <c r="L66" s="3372" t="s">
        <v>385</v>
      </c>
      <c r="M66" s="3373"/>
      <c r="N66" s="2421"/>
      <c r="O66" s="2422"/>
      <c r="P66" s="2423"/>
      <c r="Q66" s="2012"/>
      <c r="R66" s="2012"/>
      <c r="S66" s="2012"/>
      <c r="T66" s="2012"/>
      <c r="U66" s="2012"/>
      <c r="V66" s="2012"/>
    </row>
    <row r="67" spans="1:22" ht="25.5" hidden="1" customHeight="1">
      <c r="A67" s="351" t="s">
        <v>390</v>
      </c>
      <c r="B67" s="3415" t="s">
        <v>391</v>
      </c>
      <c r="C67" s="3415"/>
      <c r="D67" s="352">
        <v>0</v>
      </c>
      <c r="E67" s="41" t="s">
        <v>392</v>
      </c>
      <c r="F67" s="62" t="s">
        <v>21</v>
      </c>
      <c r="G67" s="3399"/>
      <c r="H67" s="310"/>
      <c r="I67" s="1287"/>
      <c r="J67" s="2019"/>
      <c r="K67" s="1960">
        <v>2</v>
      </c>
      <c r="L67" s="3371" t="s">
        <v>389</v>
      </c>
      <c r="M67" s="3371"/>
      <c r="N67" s="1320">
        <f>'数据-取费表'!B2</f>
        <v>44078</v>
      </c>
      <c r="O67" s="1320"/>
      <c r="P67" s="1320"/>
      <c r="Q67" s="2012"/>
      <c r="R67" s="2012"/>
      <c r="S67" s="2012"/>
      <c r="T67" s="2012"/>
      <c r="U67" s="2012"/>
      <c r="V67" s="2012"/>
    </row>
    <row r="68" spans="1:22" ht="25.5" hidden="1" customHeight="1">
      <c r="A68" s="353"/>
      <c r="B68" s="3415" t="s">
        <v>394</v>
      </c>
      <c r="C68" s="3415"/>
      <c r="D68" s="354"/>
      <c r="E68" s="77"/>
      <c r="F68" s="355"/>
      <c r="G68" s="3400"/>
      <c r="H68" s="310"/>
      <c r="I68" s="1287"/>
      <c r="J68" s="2019"/>
      <c r="K68" s="1960">
        <v>3</v>
      </c>
      <c r="L68" s="3371" t="s">
        <v>393</v>
      </c>
      <c r="M68" s="3371"/>
      <c r="N68" s="1288" t="e">
        <f ca="1">C42</f>
        <v>#REF!</v>
      </c>
      <c r="O68" s="1288"/>
      <c r="P68" s="1288"/>
      <c r="Q68" s="2012"/>
      <c r="R68" s="2012"/>
      <c r="S68" s="2012"/>
      <c r="T68" s="2012"/>
      <c r="U68" s="2012"/>
      <c r="V68" s="2012"/>
    </row>
    <row r="69" spans="1:22" ht="12" hidden="1" customHeight="1">
      <c r="A69" s="356"/>
      <c r="B69" s="3415" t="s">
        <v>395</v>
      </c>
      <c r="C69" s="3415"/>
      <c r="D69" s="357"/>
      <c r="E69" s="73"/>
      <c r="F69" s="355"/>
      <c r="G69" s="3401"/>
      <c r="H69" s="310"/>
      <c r="I69" s="1287"/>
      <c r="J69" s="2019"/>
      <c r="K69" s="1289">
        <v>4</v>
      </c>
      <c r="L69" s="3377" t="s">
        <v>2878</v>
      </c>
      <c r="M69" s="3378"/>
      <c r="N69" s="1290" t="str">
        <f>C44</f>
        <v>——</v>
      </c>
      <c r="O69" s="1290"/>
      <c r="P69" s="1290"/>
      <c r="Q69" s="2012"/>
      <c r="R69" s="2012"/>
      <c r="S69" s="2012"/>
      <c r="T69" s="2012"/>
      <c r="U69" s="2012"/>
      <c r="V69" s="2012"/>
    </row>
    <row r="70" spans="1:22" ht="24" hidden="1" customHeight="1">
      <c r="A70" s="358" t="s">
        <v>396</v>
      </c>
      <c r="B70" s="3415" t="s">
        <v>397</v>
      </c>
      <c r="C70" s="3415"/>
      <c r="D70" s="357" t="e">
        <f ca="1">ROUND(D63*'数据-取费表'!B41/(1+'数据-取费表'!C42),0)</f>
        <v>#REF!</v>
      </c>
      <c r="E70" s="17" t="s">
        <v>398</v>
      </c>
      <c r="F70" s="359">
        <f>'数据-取费表'!B41</f>
        <v>5.5000000000000007E-2</v>
      </c>
      <c r="G70" s="360"/>
      <c r="H70" s="310"/>
      <c r="I70" s="1287"/>
      <c r="J70" s="2019"/>
      <c r="K70" s="2889"/>
      <c r="L70" s="2890"/>
      <c r="M70" s="2890"/>
      <c r="N70" s="2891" t="s">
        <v>2883</v>
      </c>
      <c r="O70" s="2890"/>
      <c r="P70" s="2892"/>
      <c r="Q70" s="2012"/>
      <c r="R70" s="2012"/>
      <c r="S70" s="2012"/>
      <c r="T70" s="2012"/>
      <c r="U70" s="2012"/>
      <c r="V70" s="2012"/>
    </row>
    <row r="71" spans="1:22" ht="12" hidden="1" customHeight="1">
      <c r="A71" s="358" t="s">
        <v>404</v>
      </c>
      <c r="B71" s="3414" t="s">
        <v>405</v>
      </c>
      <c r="C71" s="3426"/>
      <c r="D71" s="357" t="e">
        <f ca="1">ROUND(D63*'数据-取费表'!B41/(1+'数据-取费表'!C42),0)</f>
        <v>#REF!</v>
      </c>
      <c r="E71" s="17" t="s">
        <v>398</v>
      </c>
      <c r="F71" s="359">
        <f>'数据-取费表'!B41</f>
        <v>5.5000000000000007E-2</v>
      </c>
      <c r="G71" s="360"/>
      <c r="H71" s="310"/>
      <c r="I71" s="1287"/>
      <c r="J71" s="2019"/>
      <c r="K71" s="2888" t="s">
        <v>399</v>
      </c>
      <c r="L71" s="3379" t="s">
        <v>400</v>
      </c>
      <c r="M71" s="3379"/>
      <c r="N71" s="2888" t="s">
        <v>401</v>
      </c>
      <c r="O71" s="2888" t="s">
        <v>402</v>
      </c>
      <c r="P71" s="2888" t="s">
        <v>403</v>
      </c>
      <c r="Q71" s="2012"/>
      <c r="R71" s="2012"/>
      <c r="S71" s="2012"/>
      <c r="T71" s="2012"/>
      <c r="U71" s="2012"/>
      <c r="V71" s="2012"/>
    </row>
    <row r="72" spans="1:22" ht="12" hidden="1" customHeight="1">
      <c r="A72" s="358" t="s">
        <v>407</v>
      </c>
      <c r="B72" s="3414" t="s">
        <v>408</v>
      </c>
      <c r="C72" s="3426"/>
      <c r="D72" s="357" t="e">
        <f ca="1">C86</f>
        <v>#REF!</v>
      </c>
      <c r="E72" s="73" t="s">
        <v>409</v>
      </c>
      <c r="F72" s="359">
        <f>'数据-取费表'!B41</f>
        <v>5.5000000000000007E-2</v>
      </c>
      <c r="G72" s="360"/>
      <c r="H72" s="1293"/>
      <c r="I72" s="1287"/>
      <c r="J72" s="2019"/>
      <c r="K72" s="1960">
        <v>1</v>
      </c>
      <c r="L72" s="3376" t="s">
        <v>406</v>
      </c>
      <c r="M72" s="3376"/>
      <c r="N72" s="1291" t="e">
        <f ca="1">D66</f>
        <v>#REF!</v>
      </c>
      <c r="O72" s="1843" t="str">
        <f>E66</f>
        <v>销售额×税（费）率</v>
      </c>
      <c r="P72" s="1292">
        <f>F66</f>
        <v>5.5000000000000007E-2</v>
      </c>
      <c r="Q72" s="2012"/>
      <c r="R72" s="2012"/>
      <c r="S72" s="2012"/>
      <c r="T72" s="2012"/>
      <c r="U72" s="2012"/>
      <c r="V72" s="2012"/>
    </row>
    <row r="73" spans="1:22" ht="24" hidden="1" customHeight="1">
      <c r="A73" s="3402" t="s">
        <v>411</v>
      </c>
      <c r="B73" s="3403"/>
      <c r="C73" s="3403"/>
      <c r="D73" s="361">
        <f>IF(H73="个人住宅",0,ROUND(D63*I73,0))</f>
        <v>0</v>
      </c>
      <c r="E73" s="17" t="s">
        <v>412</v>
      </c>
      <c r="F73" s="359" t="str">
        <f>IF(H73="正常",I73,"免征")</f>
        <v>免征</v>
      </c>
      <c r="G73" s="360"/>
      <c r="H73" s="191" t="s">
        <v>2452</v>
      </c>
      <c r="I73" s="359">
        <f>'数据-取费表'!B49</f>
        <v>5.0000000000000001E-4</v>
      </c>
      <c r="J73" s="2019"/>
      <c r="K73" s="1960">
        <v>2</v>
      </c>
      <c r="L73" s="3376" t="s">
        <v>410</v>
      </c>
      <c r="M73" s="3376"/>
      <c r="N73" s="1291">
        <f t="shared" ref="N73:P74" si="1">D73</f>
        <v>0</v>
      </c>
      <c r="O73" s="1843" t="str">
        <f t="shared" si="1"/>
        <v>销售额×税（费）率</v>
      </c>
      <c r="P73" s="1292" t="str">
        <f t="shared" si="1"/>
        <v>免征</v>
      </c>
      <c r="Q73" s="2012"/>
      <c r="R73" s="2012"/>
      <c r="S73" s="2012"/>
      <c r="T73" s="2012"/>
      <c r="U73" s="2012"/>
      <c r="V73" s="2012"/>
    </row>
    <row r="74" spans="1:22" ht="24.75" hidden="1">
      <c r="A74" s="3402" t="s">
        <v>415</v>
      </c>
      <c r="B74" s="3403"/>
      <c r="C74" s="3403"/>
      <c r="D74" s="361" t="e">
        <f ca="1">IF(H74="个人住宅",D75,D76)</f>
        <v>#REF!</v>
      </c>
      <c r="E74" s="17" t="s">
        <v>416</v>
      </c>
      <c r="F74" s="359" t="str">
        <f>IF(H74="正常",F76,"免征")</f>
        <v>——</v>
      </c>
      <c r="G74" s="982" t="s">
        <v>417</v>
      </c>
      <c r="H74" s="362" t="s">
        <v>413</v>
      </c>
      <c r="I74" s="42"/>
      <c r="J74" s="2019"/>
      <c r="K74" s="1960">
        <v>3</v>
      </c>
      <c r="L74" s="3376" t="s">
        <v>414</v>
      </c>
      <c r="M74" s="3376"/>
      <c r="N74" s="1291" t="e">
        <f t="shared" ca="1" si="1"/>
        <v>#REF!</v>
      </c>
      <c r="O74" s="1843" t="str">
        <f t="shared" si="1"/>
        <v>增值额×税（费）率</v>
      </c>
      <c r="P74" s="1294" t="str">
        <f t="shared" si="1"/>
        <v>——</v>
      </c>
      <c r="Q74" s="2012"/>
      <c r="R74" s="2012"/>
      <c r="S74" s="2012"/>
      <c r="T74" s="2012"/>
      <c r="U74" s="2012"/>
      <c r="V74" s="2012"/>
    </row>
    <row r="75" spans="1:22" ht="24" hidden="1">
      <c r="A75" s="358" t="s">
        <v>418</v>
      </c>
      <c r="B75" s="3383" t="s">
        <v>419</v>
      </c>
      <c r="C75" s="3384"/>
      <c r="D75" s="363">
        <v>0</v>
      </c>
      <c r="E75" s="41" t="s">
        <v>420</v>
      </c>
      <c r="F75" s="364"/>
      <c r="G75" s="360"/>
      <c r="H75" s="42"/>
      <c r="I75" s="42"/>
      <c r="J75" s="2019"/>
      <c r="K75" s="2881">
        <f>IF(H77="非个人房产","",4)</f>
        <v>4</v>
      </c>
      <c r="L75" s="3376" t="str">
        <f>IF(H77="非个人房产","——","个人所得税")</f>
        <v>个人所得税</v>
      </c>
      <c r="M75" s="3376"/>
      <c r="N75" s="1295" t="e">
        <f ca="1">D77</f>
        <v>#REF!</v>
      </c>
      <c r="O75" s="1856" t="str">
        <f>E77</f>
        <v>销售额×税（费）率</v>
      </c>
      <c r="P75" s="1296">
        <f>F77</f>
        <v>0.01</v>
      </c>
      <c r="Q75" s="2012"/>
      <c r="R75" s="2012"/>
      <c r="S75" s="2012"/>
      <c r="T75" s="2012"/>
      <c r="U75" s="2012"/>
      <c r="V75" s="2012"/>
    </row>
    <row r="76" spans="1:22" ht="24.75" hidden="1">
      <c r="A76" s="358" t="s">
        <v>396</v>
      </c>
      <c r="B76" s="3383" t="s">
        <v>422</v>
      </c>
      <c r="C76" s="3425"/>
      <c r="D76" s="361" t="e">
        <f ca="1">IF(H76="转让取得",C99,C115)</f>
        <v>#REF!</v>
      </c>
      <c r="E76" s="17" t="s">
        <v>423</v>
      </c>
      <c r="F76" s="53" t="s">
        <v>21</v>
      </c>
      <c r="G76" s="360"/>
      <c r="H76" s="362" t="s">
        <v>424</v>
      </c>
      <c r="I76" s="42"/>
      <c r="J76" s="2019"/>
      <c r="K76" s="2881" t="str">
        <f>IF(项目基本情况!K6="上海银行",IF(K75="",4,K75+1),"")</f>
        <v/>
      </c>
      <c r="L76" s="3364" t="str">
        <f>IF(项目基本情况!K6="上海银行","其他处置费用","")</f>
        <v/>
      </c>
      <c r="M76" s="3365"/>
      <c r="N76" s="1291" t="str">
        <f>IF(项目基本情况!K6="上海银行",N89,"")</f>
        <v/>
      </c>
      <c r="O76" s="3366" t="str">
        <f>IF(项目基本情况!K6="上海银行","包含处置中涉及的律师、诉讼、拍卖、评估等费用","")</f>
        <v/>
      </c>
      <c r="P76" s="3367"/>
      <c r="Q76" s="2012"/>
      <c r="R76" s="2012"/>
      <c r="S76" s="2012"/>
      <c r="T76" s="2012"/>
      <c r="U76" s="2012"/>
      <c r="V76" s="2012"/>
    </row>
    <row r="77" spans="1:22" ht="26.25" hidden="1" thickBot="1">
      <c r="A77" s="3394" t="s">
        <v>426</v>
      </c>
      <c r="B77" s="3395"/>
      <c r="C77" s="3395"/>
      <c r="D77" s="365" t="e">
        <f ca="1">IF(H77="非个人房产","——",IF(H77="个人住宅",0,ROUND(D63*I77,0)))</f>
        <v>#REF!</v>
      </c>
      <c r="E77" s="366" t="str">
        <f>IF(H77="非个人房产","——","销售额×税（费）率")</f>
        <v>销售额×税（费）率</v>
      </c>
      <c r="F77" s="367">
        <f>IF(H77="非个人房产","——",IF(H77="个人住宅","免征",I77))</f>
        <v>0.01</v>
      </c>
      <c r="G77" s="983" t="s">
        <v>417</v>
      </c>
      <c r="H77" s="362" t="s">
        <v>2879</v>
      </c>
      <c r="I77" s="368">
        <v>0.01</v>
      </c>
      <c r="J77" s="2019"/>
      <c r="K77" s="3390">
        <f>IF(AND(K75="",K76=""),4,IF(项目基本情况!K6="上海银行",K76+1,K75+1))</f>
        <v>5</v>
      </c>
      <c r="L77" s="3376" t="s">
        <v>2880</v>
      </c>
      <c r="M77" s="2887" t="s">
        <v>421</v>
      </c>
      <c r="N77" s="1297"/>
      <c r="O77" s="1298">
        <f ca="1">SUMIF(N72:N76,"&lt;9e307")</f>
        <v>0</v>
      </c>
      <c r="P77" s="1299"/>
      <c r="Q77" s="2885" t="e">
        <f ca="1">O77/N69</f>
        <v>#VALUE!</v>
      </c>
      <c r="R77" s="2012"/>
      <c r="S77" s="2012"/>
      <c r="T77" s="2012"/>
      <c r="U77" s="2012"/>
      <c r="V77" s="2012"/>
    </row>
    <row r="78" spans="1:22" ht="12" hidden="1" customHeight="1">
      <c r="A78" s="1300"/>
      <c r="B78" s="310"/>
      <c r="C78" s="310"/>
      <c r="D78" s="310"/>
      <c r="E78" s="42"/>
      <c r="F78" s="42"/>
      <c r="G78" s="42"/>
      <c r="H78" s="1002"/>
      <c r="I78" s="310"/>
      <c r="J78" s="2019"/>
      <c r="K78" s="3390"/>
      <c r="L78" s="3376"/>
      <c r="M78" s="2887" t="s">
        <v>425</v>
      </c>
      <c r="N78" s="1297"/>
      <c r="O78" s="1298" t="str">
        <f ca="1">NUMBERSTRING(INT(O77*10000),2)&amp;"元整"</f>
        <v>零元整</v>
      </c>
      <c r="P78" s="1299"/>
      <c r="Q78" s="2012"/>
      <c r="R78" s="2012"/>
      <c r="S78" s="2012"/>
      <c r="T78" s="2012"/>
      <c r="U78" s="2012"/>
      <c r="V78" s="2012"/>
    </row>
    <row r="79" spans="1:22" ht="13.5" hidden="1" thickBot="1">
      <c r="A79" s="3380" t="s">
        <v>427</v>
      </c>
      <c r="B79" s="3380"/>
      <c r="C79" s="3380"/>
      <c r="D79" s="3380"/>
      <c r="E79" s="3380"/>
      <c r="F79" s="42"/>
      <c r="G79" s="42"/>
      <c r="H79" s="1002"/>
      <c r="I79" s="310"/>
      <c r="J79" s="2019"/>
      <c r="K79" s="3374">
        <f>K77+1</f>
        <v>6</v>
      </c>
      <c r="L79" s="3376" t="s">
        <v>2881</v>
      </c>
      <c r="M79" s="2887" t="s">
        <v>421</v>
      </c>
      <c r="N79" s="1297"/>
      <c r="O79" s="1298" t="e">
        <f ca="1">N69-O77</f>
        <v>#VALUE!</v>
      </c>
      <c r="P79" s="1299"/>
      <c r="Q79" s="2012"/>
      <c r="R79" s="2012"/>
      <c r="S79" s="2012"/>
      <c r="T79" s="2012"/>
      <c r="U79" s="2012"/>
      <c r="V79" s="2012"/>
    </row>
    <row r="80" spans="1:22" ht="12.75" hidden="1">
      <c r="A80" s="3381" t="s">
        <v>428</v>
      </c>
      <c r="B80" s="3382"/>
      <c r="C80" s="993"/>
      <c r="D80" s="993" t="s">
        <v>429</v>
      </c>
      <c r="E80" s="369" t="s">
        <v>430</v>
      </c>
      <c r="F80" s="42"/>
      <c r="G80" s="42"/>
      <c r="H80" s="1002"/>
      <c r="I80" s="310"/>
      <c r="J80" s="2012"/>
      <c r="K80" s="3375"/>
      <c r="L80" s="3376"/>
      <c r="M80" s="2887" t="s">
        <v>425</v>
      </c>
      <c r="N80" s="1297"/>
      <c r="O80" s="1298" t="e">
        <f ca="1">NUMBERSTRING(INT(O79*10000),2)&amp;"元整"</f>
        <v>#VALUE!</v>
      </c>
      <c r="P80" s="1299"/>
      <c r="Q80" s="2012"/>
      <c r="R80" s="2012"/>
      <c r="S80" s="2012"/>
      <c r="T80" s="2012"/>
      <c r="U80" s="2012"/>
      <c r="V80" s="2012"/>
    </row>
    <row r="81" spans="1:26" ht="13.5" hidden="1" thickBot="1">
      <c r="A81" s="380" t="s">
        <v>1823</v>
      </c>
      <c r="B81" s="370" t="s">
        <v>431</v>
      </c>
      <c r="C81" s="371" t="e">
        <f ca="1">ROUND((C82+C83)/(1+'数据-取费表'!C42),0)</f>
        <v>#REF!</v>
      </c>
      <c r="D81" s="372"/>
      <c r="E81" s="373"/>
      <c r="F81" s="42"/>
      <c r="G81" s="42"/>
      <c r="H81" s="1002"/>
      <c r="I81" s="310"/>
      <c r="J81" s="2012"/>
      <c r="K81" s="2881">
        <f>K79+1</f>
        <v>7</v>
      </c>
      <c r="L81" s="3388" t="s">
        <v>2882</v>
      </c>
      <c r="M81" s="3389"/>
      <c r="N81" s="1301"/>
      <c r="O81" s="1302" t="e">
        <f ca="1">ROUND(O79*10000/'数据-汇总表'!E3,0)</f>
        <v>#VALUE!</v>
      </c>
      <c r="P81" s="1303"/>
      <c r="Q81" s="2012"/>
      <c r="R81" s="2012"/>
      <c r="S81" s="2012"/>
      <c r="T81" s="2012"/>
      <c r="U81" s="2012"/>
      <c r="V81" s="2012"/>
    </row>
    <row r="82" spans="1:26" ht="13.5" hidden="1" thickTop="1">
      <c r="A82" s="374" t="s">
        <v>1824</v>
      </c>
      <c r="B82" s="375" t="s">
        <v>432</v>
      </c>
      <c r="C82" s="376" t="e">
        <f ca="1">D63</f>
        <v>#REF!</v>
      </c>
      <c r="D82" s="377" t="s">
        <v>19</v>
      </c>
      <c r="E82" s="378"/>
      <c r="F82" s="42"/>
      <c r="G82" s="42"/>
      <c r="H82" s="1002"/>
      <c r="I82" s="310"/>
      <c r="J82" s="2012"/>
      <c r="K82" s="2012"/>
      <c r="L82" s="2012"/>
      <c r="M82" s="2012"/>
      <c r="N82" s="2012"/>
      <c r="O82" s="2012"/>
      <c r="P82" s="2012"/>
      <c r="Q82" s="2012"/>
      <c r="R82" s="2012"/>
      <c r="S82" s="2012"/>
      <c r="T82" s="2012"/>
      <c r="U82" s="2012"/>
      <c r="V82" s="2012"/>
    </row>
    <row r="83" spans="1:26" ht="12.75" hidden="1">
      <c r="A83" s="374" t="s">
        <v>1825</v>
      </c>
      <c r="B83" s="375" t="s">
        <v>433</v>
      </c>
      <c r="C83" s="379">
        <v>0</v>
      </c>
      <c r="D83" s="377"/>
      <c r="E83" s="378"/>
      <c r="F83" s="42"/>
      <c r="G83" s="42"/>
      <c r="H83" s="1002"/>
      <c r="I83" s="310"/>
      <c r="J83" s="2012"/>
      <c r="K83" s="3363" t="s">
        <v>2869</v>
      </c>
      <c r="L83" s="2893" t="s">
        <v>2870</v>
      </c>
      <c r="M83" s="2883" t="e">
        <f>IF(N69&gt;10000,N69*0.5%,IF(AND(N69&gt;1000,N69&lt;=10000),N69*1%,IF(AND(N69&gt;100,N69&lt;=1000),N69*3%,IF(AND(N69&gt;10,N69&lt;=100),N69*5%,N69*8%))))</f>
        <v>#VALUE!</v>
      </c>
      <c r="N83" s="53" t="e">
        <f>ROUND(M83,1)</f>
        <v>#VALUE!</v>
      </c>
      <c r="O83" s="2886"/>
      <c r="P83" s="2012"/>
      <c r="Q83" s="2012"/>
      <c r="R83" s="2012"/>
      <c r="S83" s="2012"/>
      <c r="T83" s="2012"/>
      <c r="U83" s="2012"/>
      <c r="V83" s="2012"/>
    </row>
    <row r="84" spans="1:26" ht="12.75" hidden="1">
      <c r="A84" s="380" t="s">
        <v>1826</v>
      </c>
      <c r="B84" s="381" t="s">
        <v>434</v>
      </c>
      <c r="C84" s="382">
        <v>2000</v>
      </c>
      <c r="D84" s="383" t="s">
        <v>19</v>
      </c>
      <c r="E84" s="2928" t="s">
        <v>2937</v>
      </c>
      <c r="F84" s="42"/>
      <c r="G84" s="42"/>
      <c r="H84" s="1002"/>
      <c r="I84" s="310"/>
      <c r="J84" s="2012"/>
      <c r="K84" s="3363"/>
      <c r="L84" s="2893" t="s">
        <v>2871</v>
      </c>
      <c r="M84" s="2883"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2" t="s">
        <v>2872</v>
      </c>
      <c r="P84" s="2012"/>
      <c r="Q84" s="2012"/>
      <c r="R84" s="2012"/>
      <c r="S84" s="2012"/>
      <c r="T84" s="2012"/>
      <c r="U84" s="2012"/>
      <c r="V84" s="2012"/>
    </row>
    <row r="85" spans="1:26" ht="12.75" hidden="1">
      <c r="A85" s="380" t="s">
        <v>1827</v>
      </c>
      <c r="B85" s="381" t="s">
        <v>435</v>
      </c>
      <c r="C85" s="384" t="e">
        <f ca="1">C81-C84</f>
        <v>#REF!</v>
      </c>
      <c r="D85" s="377" t="s">
        <v>19</v>
      </c>
      <c r="E85" s="378"/>
      <c r="F85" s="42"/>
      <c r="G85" s="42"/>
      <c r="H85" s="1002"/>
      <c r="I85" s="310"/>
      <c r="J85" s="2012"/>
      <c r="K85" s="3363"/>
      <c r="L85" s="2893" t="s">
        <v>2873</v>
      </c>
      <c r="M85" s="2883" t="e">
        <f>IF(N69&gt;1000,N69*0.1%,IF(AND(N69&gt;500,N69&lt;=1000),N69*0.5%,IF(AND(N69&gt;50,N69&lt;=500),N69*1%,IF(AND(N69&gt;1,N69&lt;=50),N69*1.5%))))</f>
        <v>#VALUE!</v>
      </c>
      <c r="N85" s="53" t="e">
        <f t="shared" si="2"/>
        <v>#VALUE!</v>
      </c>
      <c r="O85" s="2012" t="s">
        <v>2872</v>
      </c>
      <c r="P85" s="2012"/>
      <c r="Q85" s="2012"/>
      <c r="R85" s="2012"/>
      <c r="S85" s="2012"/>
      <c r="T85" s="2012"/>
      <c r="U85" s="2012"/>
      <c r="V85" s="2012"/>
    </row>
    <row r="86" spans="1:26" ht="13.5" hidden="1" thickBot="1">
      <c r="A86" s="385" t="s">
        <v>1828</v>
      </c>
      <c r="B86" s="386" t="s">
        <v>436</v>
      </c>
      <c r="C86" s="387" t="e">
        <f ca="1">IF(C85&lt;=0,0,ROUND(C85*D86,0))</f>
        <v>#REF!</v>
      </c>
      <c r="D86" s="388">
        <f>'数据-取费表'!B41</f>
        <v>5.5000000000000007E-2</v>
      </c>
      <c r="E86" s="389"/>
      <c r="F86" s="42"/>
      <c r="G86" s="42"/>
      <c r="H86" s="1002"/>
      <c r="I86" s="310"/>
      <c r="J86" s="2012"/>
      <c r="K86" s="3363"/>
      <c r="L86" s="2893" t="s">
        <v>2874</v>
      </c>
      <c r="M86" s="2883" t="e">
        <f>N69*0.5%</f>
        <v>#VALUE!</v>
      </c>
      <c r="N86" s="53" t="e">
        <f>IF(M86&gt;0.5,0.5,ROUND(M86,0))</f>
        <v>#VALUE!</v>
      </c>
      <c r="O86" s="2012" t="s">
        <v>2875</v>
      </c>
      <c r="P86" s="2012"/>
      <c r="Q86" s="2012"/>
      <c r="R86" s="2012"/>
      <c r="S86" s="2012"/>
      <c r="T86" s="2012"/>
      <c r="U86" s="2012"/>
      <c r="V86" s="2012"/>
    </row>
    <row r="87" spans="1:26" s="1249" customFormat="1" ht="14.25" hidden="1" customHeight="1">
      <c r="A87" s="1304"/>
      <c r="B87" s="1305"/>
      <c r="C87" s="1306"/>
      <c r="D87" s="1307"/>
      <c r="E87" s="1308"/>
      <c r="F87" s="42"/>
      <c r="G87" s="42"/>
      <c r="H87" s="1002"/>
      <c r="I87" s="310"/>
      <c r="J87" s="2012"/>
      <c r="K87" s="3363"/>
      <c r="L87" s="2893" t="s">
        <v>2876</v>
      </c>
      <c r="M87" s="288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886"/>
      <c r="P87" s="310"/>
      <c r="Q87" s="2012"/>
      <c r="R87" s="2012"/>
      <c r="S87" s="2012"/>
      <c r="T87" s="2012"/>
      <c r="U87" s="2012"/>
      <c r="V87" s="2012"/>
      <c r="W87" s="291"/>
      <c r="X87" s="291"/>
      <c r="Y87" s="291"/>
      <c r="Z87" s="291"/>
    </row>
    <row r="88" spans="1:26" s="1309" customFormat="1" ht="15" hidden="1" thickBot="1">
      <c r="A88" s="3417" t="s">
        <v>437</v>
      </c>
      <c r="B88" s="3418"/>
      <c r="C88" s="3418"/>
      <c r="D88" s="3418"/>
      <c r="E88" s="3418"/>
      <c r="F88" s="3418"/>
      <c r="G88" s="3418"/>
      <c r="H88" s="3418"/>
      <c r="I88" s="1310"/>
      <c r="J88" s="2020"/>
      <c r="K88" s="3363"/>
      <c r="L88" s="2893" t="s">
        <v>2877</v>
      </c>
      <c r="M88" s="2883" t="e">
        <f>IF(N69&gt;10000,N69*0.5%,IF(AND(N69&gt;5000,N69&lt;=10000),N69*1%,IF(AND(N69&gt;1000,N69&lt;=5000),N69*2%,IF(AND(N69&gt;200,N69&lt;=1000),N69*3%,N69*5%))))</f>
        <v>#VALUE!</v>
      </c>
      <c r="N88" s="53" t="e">
        <f>ROUND(M88,1)</f>
        <v>#VALUE!</v>
      </c>
      <c r="O88" s="2886"/>
      <c r="P88" s="11"/>
      <c r="Q88" s="2017"/>
      <c r="R88" s="2017"/>
      <c r="S88" s="2017"/>
      <c r="T88" s="2017"/>
      <c r="U88" s="2017"/>
      <c r="V88" s="2017"/>
      <c r="W88" s="2021"/>
      <c r="X88" s="2021"/>
      <c r="Y88" s="2021"/>
      <c r="Z88" s="2021"/>
    </row>
    <row r="89" spans="1:26" s="1309" customFormat="1" ht="14.25" hidden="1">
      <c r="A89" s="3381" t="s">
        <v>428</v>
      </c>
      <c r="B89" s="3382"/>
      <c r="C89" s="993"/>
      <c r="D89" s="993" t="s">
        <v>429</v>
      </c>
      <c r="E89" s="390" t="s">
        <v>438</v>
      </c>
      <c r="F89" s="391"/>
      <c r="G89" s="391"/>
      <c r="H89" s="392"/>
      <c r="I89" s="1311"/>
      <c r="J89" s="2022"/>
      <c r="K89" s="3363"/>
      <c r="L89" s="2893" t="s">
        <v>27</v>
      </c>
      <c r="M89" s="2884"/>
      <c r="N89" s="53" t="e">
        <f>ROUND(SUM(N83:N88),0)</f>
        <v>#VALUE!</v>
      </c>
      <c r="O89" s="2894" t="e">
        <f>N89/N69</f>
        <v>#VALUE!</v>
      </c>
      <c r="P89" s="2017"/>
      <c r="Q89" s="2017"/>
      <c r="R89" s="2017"/>
      <c r="S89" s="2017"/>
      <c r="T89" s="2017"/>
      <c r="U89" s="2017"/>
      <c r="V89" s="2017"/>
      <c r="W89" s="2021"/>
      <c r="X89" s="2021"/>
      <c r="Y89" s="2021"/>
      <c r="Z89" s="2021"/>
    </row>
    <row r="90" spans="1:26" s="1309" customFormat="1" ht="14.25" hidden="1">
      <c r="A90" s="380" t="s">
        <v>1823</v>
      </c>
      <c r="B90" s="381" t="s">
        <v>439</v>
      </c>
      <c r="C90" s="384" t="e">
        <f ca="1">ROUND(D63/(1+'数据-取费表'!C42),0)</f>
        <v>#REF!</v>
      </c>
      <c r="D90" s="377" t="s">
        <v>19</v>
      </c>
      <c r="E90" s="990"/>
      <c r="F90" s="989"/>
      <c r="G90" s="989"/>
      <c r="H90" s="393"/>
      <c r="I90" s="1311"/>
      <c r="J90" s="2022"/>
      <c r="K90" s="2017"/>
      <c r="L90" s="2017"/>
      <c r="M90" s="2017"/>
      <c r="N90" s="2017"/>
      <c r="O90" s="2017"/>
      <c r="P90" s="2017"/>
      <c r="Q90" s="2017"/>
      <c r="R90" s="2017"/>
      <c r="S90" s="2017"/>
      <c r="T90" s="2017"/>
      <c r="U90" s="2017"/>
      <c r="V90" s="2017"/>
      <c r="W90" s="2021"/>
      <c r="X90" s="2021"/>
      <c r="Y90" s="2021"/>
      <c r="Z90" s="2021"/>
    </row>
    <row r="91" spans="1:26" s="1309" customFormat="1" ht="14.25" hidden="1">
      <c r="A91" s="380" t="s">
        <v>1829</v>
      </c>
      <c r="B91" s="347" t="s">
        <v>440</v>
      </c>
      <c r="C91" s="384" t="e">
        <f ca="1">C92+C96</f>
        <v>#REF!</v>
      </c>
      <c r="D91" s="377" t="s">
        <v>19</v>
      </c>
      <c r="E91" s="990"/>
      <c r="F91" s="989"/>
      <c r="G91" s="989"/>
      <c r="H91" s="393"/>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hidden="1">
      <c r="A92" s="394" t="s">
        <v>1830</v>
      </c>
      <c r="B92" s="375" t="s">
        <v>441</v>
      </c>
      <c r="C92" s="377">
        <f>ROUND(IF(G95="2016年5月1日后购买",C93/(1+'数据-取费表'!C30)+C94+C95,C93+C94+C95),0)</f>
        <v>2561</v>
      </c>
      <c r="D92" s="377" t="s">
        <v>19</v>
      </c>
      <c r="E92" s="990"/>
      <c r="F92" s="989"/>
      <c r="G92" s="989"/>
      <c r="H92" s="393"/>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25" hidden="1">
      <c r="A93" s="394" t="s">
        <v>1831</v>
      </c>
      <c r="B93" s="375" t="s">
        <v>442</v>
      </c>
      <c r="C93" s="395">
        <v>2000</v>
      </c>
      <c r="D93" s="377" t="s">
        <v>19</v>
      </c>
      <c r="E93" s="396" t="s">
        <v>443</v>
      </c>
      <c r="F93" s="397" t="s">
        <v>444</v>
      </c>
      <c r="G93" s="396" t="s">
        <v>445</v>
      </c>
      <c r="H93" s="398">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hidden="1" customHeight="1">
      <c r="A94" s="394" t="s">
        <v>1832</v>
      </c>
      <c r="B94" s="399" t="s">
        <v>446</v>
      </c>
      <c r="C94" s="377">
        <f>IF(F93="购房发票",ROUND(C93*H93*5%,0),0)</f>
        <v>500</v>
      </c>
      <c r="D94" s="400">
        <v>0.05</v>
      </c>
      <c r="E94" s="3414" t="s">
        <v>447</v>
      </c>
      <c r="F94" s="3415"/>
      <c r="G94" s="3415"/>
      <c r="H94" s="3416"/>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hidden="1"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2426</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hidden="1" customHeight="1">
      <c r="A96" s="394" t="s">
        <v>1834</v>
      </c>
      <c r="B96" s="375" t="s">
        <v>450</v>
      </c>
      <c r="C96" s="404" t="e">
        <f ca="1">ROUND(D63*D96/(1+'数据-取费表'!C42),0)</f>
        <v>#REF!</v>
      </c>
      <c r="D96" s="405">
        <f>'数据-取费表'!B43</f>
        <v>5.000000000000001E-3</v>
      </c>
      <c r="E96" s="3404" t="s">
        <v>2425</v>
      </c>
      <c r="F96" s="3405"/>
      <c r="G96" s="3405"/>
      <c r="H96" s="3406"/>
      <c r="I96" s="1312"/>
      <c r="J96" s="2023"/>
      <c r="K96" s="2017"/>
      <c r="L96" s="2017"/>
      <c r="M96" s="2017"/>
      <c r="N96" s="2017"/>
      <c r="O96" s="2017"/>
      <c r="P96" s="2017"/>
      <c r="Q96" s="2017"/>
      <c r="R96" s="2017"/>
      <c r="S96" s="2017"/>
      <c r="T96" s="2017"/>
      <c r="U96" s="2017"/>
      <c r="V96" s="2017"/>
      <c r="W96" s="2021"/>
      <c r="X96" s="2021"/>
      <c r="Y96" s="2021"/>
      <c r="Z96" s="2021"/>
    </row>
    <row r="97" spans="1:26" s="1309" customFormat="1" ht="14.25" hidden="1">
      <c r="A97" s="1601" t="s">
        <v>1835</v>
      </c>
      <c r="B97" s="381" t="s">
        <v>451</v>
      </c>
      <c r="C97" s="384" t="e">
        <f ca="1">C90-C91</f>
        <v>#REF!</v>
      </c>
      <c r="D97" s="377" t="s">
        <v>19</v>
      </c>
      <c r="E97" s="990"/>
      <c r="F97" s="989"/>
      <c r="G97" s="989"/>
      <c r="H97" s="393"/>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hidden="1">
      <c r="A98" s="1601" t="s">
        <v>1836</v>
      </c>
      <c r="B98" s="381" t="s">
        <v>452</v>
      </c>
      <c r="C98" s="406" t="e">
        <f ca="1">IF(C97&lt;=0,0,C97/C91)</f>
        <v>#REF!</v>
      </c>
      <c r="D98" s="377" t="s">
        <v>19</v>
      </c>
      <c r="E98" s="26" t="e">
        <f ca="1">IF(C98&gt;=200%,"增值额超过扣除项目金额200%",IF(C98&gt;=100%,"增值额超过扣除项目金额100%，未超过200%",IF(C98&gt;=50%,"增值额超过扣除项目金额50%，未超过100%",IF(C98&lt;50%,"增值额未超过扣除项目金额50%"))))</f>
        <v>#REF!</v>
      </c>
      <c r="F98" s="989"/>
      <c r="G98" s="989"/>
      <c r="H98" s="393"/>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75" hidden="1" thickBot="1">
      <c r="A99" s="1602" t="s">
        <v>1837</v>
      </c>
      <c r="B99" s="386" t="s">
        <v>453</v>
      </c>
      <c r="C99" s="407" t="e">
        <f ca="1">ROUND(IF(C97&lt;=0,0,IF(C98&gt;=200%,C97*60%-C91*35%,IF(C98&gt;=100%,C97*50%-C91*15%,IF(C98&gt;=50%,C97*40%-C91*5%,IF(C98&lt;50%,C97*30%,0))))),0)</f>
        <v>#REF!</v>
      </c>
      <c r="D99" s="408" t="s">
        <v>19</v>
      </c>
      <c r="E99" s="409"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10"/>
      <c r="G99" s="410"/>
      <c r="H99" s="411"/>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hidden="1"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5" hidden="1" thickBot="1">
      <c r="A101" s="3417" t="s">
        <v>454</v>
      </c>
      <c r="B101" s="3418"/>
      <c r="C101" s="3418"/>
      <c r="D101" s="3418"/>
      <c r="E101" s="3418"/>
      <c r="F101" s="3418"/>
      <c r="G101" s="3418"/>
      <c r="H101" s="3418"/>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4.25" hidden="1">
      <c r="A102" s="3381" t="s">
        <v>428</v>
      </c>
      <c r="B102" s="3382"/>
      <c r="C102" s="993"/>
      <c r="D102" s="993" t="s">
        <v>429</v>
      </c>
      <c r="E102" s="390" t="s">
        <v>438</v>
      </c>
      <c r="F102" s="391"/>
      <c r="G102" s="391"/>
      <c r="H102" s="412"/>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4.25" hidden="1">
      <c r="A103" s="380" t="s">
        <v>1823</v>
      </c>
      <c r="B103" s="381" t="s">
        <v>439</v>
      </c>
      <c r="C103" s="384" t="e">
        <f ca="1">ROUND(D63/(1+'数据-取费表'!C42),0)</f>
        <v>#REF!</v>
      </c>
      <c r="D103" s="377" t="s">
        <v>19</v>
      </c>
      <c r="E103" s="990"/>
      <c r="F103" s="989"/>
      <c r="G103" s="989"/>
      <c r="H103" s="413"/>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4.25" hidden="1">
      <c r="A104" s="380" t="s">
        <v>1829</v>
      </c>
      <c r="B104" s="347" t="s">
        <v>440</v>
      </c>
      <c r="C104" s="384" t="e">
        <f ca="1">IF(H106="仅含出让金",C105+C108+C109+C110+C111+C112,C105+C109+C110+C111+C112)</f>
        <v>#REF!</v>
      </c>
      <c r="D104" s="414"/>
      <c r="E104" s="990"/>
      <c r="F104" s="989"/>
      <c r="G104" s="989"/>
      <c r="H104" s="413"/>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4.25" hidden="1">
      <c r="A105" s="394" t="s">
        <v>1830</v>
      </c>
      <c r="B105" s="375" t="s">
        <v>455</v>
      </c>
      <c r="C105" s="404">
        <f>C106+C107</f>
        <v>572</v>
      </c>
      <c r="D105" s="405"/>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14.25" hidden="1">
      <c r="A106" s="394" t="s">
        <v>1831</v>
      </c>
      <c r="B106" s="375" t="s">
        <v>456</v>
      </c>
      <c r="C106" s="415">
        <v>555</v>
      </c>
      <c r="D106" s="405"/>
      <c r="E106" s="416" t="s">
        <v>457</v>
      </c>
      <c r="F106" s="985"/>
      <c r="G106" s="417" t="s">
        <v>458</v>
      </c>
      <c r="H106" s="418" t="s">
        <v>2436</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4.25" hidden="1">
      <c r="A107" s="394" t="s">
        <v>1832</v>
      </c>
      <c r="B107" s="375" t="s">
        <v>448</v>
      </c>
      <c r="C107" s="404">
        <f>ROUND(C106*D107,0)</f>
        <v>17</v>
      </c>
      <c r="D107" s="405">
        <f>'数据-取费表'!B48+'数据-取费表'!B49</f>
        <v>3.0499999999999999E-2</v>
      </c>
      <c r="E107" s="416" t="s">
        <v>459</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4.25" hidden="1">
      <c r="A108" s="394" t="s">
        <v>1834</v>
      </c>
      <c r="B108" s="375" t="s">
        <v>460</v>
      </c>
      <c r="C108" s="415"/>
      <c r="D108" s="405"/>
      <c r="E108" s="416"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hidden="1" customHeight="1">
      <c r="A109" s="1603" t="s">
        <v>1838</v>
      </c>
      <c r="B109" s="375" t="s">
        <v>461</v>
      </c>
      <c r="C109" s="404">
        <f>IF(H109="——",IF(F1="现房",'剩余法-现房'!C18,'剩余法-住宅'!C18),I109)</f>
        <v>55</v>
      </c>
      <c r="D109" s="405"/>
      <c r="E109" s="3407" t="s">
        <v>462</v>
      </c>
      <c r="F109" s="3405"/>
      <c r="G109" s="3405"/>
      <c r="H109" s="1925" t="s">
        <v>2277</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hidden="1" customHeight="1">
      <c r="A110" s="1603" t="s">
        <v>1839</v>
      </c>
      <c r="B110" s="375" t="s">
        <v>463</v>
      </c>
      <c r="C110" s="404">
        <f>ROUND((C105+C108+C109)*D110,0)</f>
        <v>63</v>
      </c>
      <c r="D110" s="405">
        <v>0.1</v>
      </c>
      <c r="E110" s="3407" t="s">
        <v>464</v>
      </c>
      <c r="F110" s="3405"/>
      <c r="G110" s="3405"/>
      <c r="H110" s="3406"/>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hidden="1" customHeight="1">
      <c r="A111" s="1603" t="s">
        <v>1840</v>
      </c>
      <c r="B111" s="375" t="s">
        <v>450</v>
      </c>
      <c r="C111" s="404" t="e">
        <f ca="1">ROUND(D63*D111/(1+'数据-取费表'!C42),0)</f>
        <v>#REF!</v>
      </c>
      <c r="D111" s="405">
        <f>'数据-取费表'!B43</f>
        <v>5.000000000000001E-3</v>
      </c>
      <c r="E111" s="3404" t="s">
        <v>2425</v>
      </c>
      <c r="F111" s="3405"/>
      <c r="G111" s="3405"/>
      <c r="H111" s="3406"/>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hidden="1" customHeight="1">
      <c r="A112" s="1603" t="s">
        <v>1841</v>
      </c>
      <c r="B112" s="375" t="s">
        <v>465</v>
      </c>
      <c r="C112" s="404">
        <f>ROUND(C108*D112,0)</f>
        <v>0</v>
      </c>
      <c r="D112" s="405">
        <v>0.2</v>
      </c>
      <c r="E112" s="3407" t="s">
        <v>2450</v>
      </c>
      <c r="F112" s="3405"/>
      <c r="G112" s="3405"/>
      <c r="H112" s="3406"/>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4.25" hidden="1">
      <c r="A113" s="1601" t="s">
        <v>1835</v>
      </c>
      <c r="B113" s="381" t="s">
        <v>451</v>
      </c>
      <c r="C113" s="384" t="e">
        <f ca="1">ROUND(C103-C104,0)</f>
        <v>#REF!</v>
      </c>
      <c r="D113" s="377" t="s">
        <v>19</v>
      </c>
      <c r="E113" s="990"/>
      <c r="F113" s="989"/>
      <c r="G113" s="989"/>
      <c r="H113" s="413"/>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hidden="1">
      <c r="A114" s="1601" t="s">
        <v>1836</v>
      </c>
      <c r="B114" s="381" t="s">
        <v>452</v>
      </c>
      <c r="C114" s="406" t="e">
        <f ca="1">IF(C113&lt;=0,0,C113/C104)</f>
        <v>#REF!</v>
      </c>
      <c r="D114" s="377" t="s">
        <v>19</v>
      </c>
      <c r="E114" s="26" t="e">
        <f ca="1">IF(C114&gt;=200%,"增值额超过扣除项目金额200%",IF(C114&gt;=100%,"增值额超过扣除项目金额100%，未超过200%",IF(C114&gt;=50%,"增值额超过扣除项目金额50%，未超过100%",IF(C114&lt;50%,"增值额未超过扣除项目金额50%"))))</f>
        <v>#REF!</v>
      </c>
      <c r="F114" s="989"/>
      <c r="G114" s="989"/>
      <c r="H114" s="413"/>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75" hidden="1" thickBot="1">
      <c r="A115" s="1602" t="s">
        <v>1837</v>
      </c>
      <c r="B115" s="386" t="s">
        <v>453</v>
      </c>
      <c r="C115" s="407" t="e">
        <f ca="1">ROUND(IF(C113&lt;=0,0,IF(C114&gt;=200%,C113*60%-C104*35%,IF(C114&gt;=100%,C113*50%-C104*15%,IF(C114&gt;=50%,C113*40%-C104*5%,IF(C114&lt;50%,C113*30%,0))))),0)</f>
        <v>#REF!</v>
      </c>
      <c r="D115" s="408" t="s">
        <v>19</v>
      </c>
      <c r="E115" s="409"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10"/>
      <c r="G115" s="410"/>
      <c r="H115" s="419"/>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6" customFormat="1" ht="21.75" customHeight="1">
      <c r="K185" s="2025"/>
      <c r="L185" s="2025"/>
      <c r="M185" s="2025"/>
      <c r="N185" s="2025"/>
      <c r="O185" s="202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108">
    <cfRule type="expression" dxfId="169" priority="3" stopIfTrue="1">
      <formula>$H$106&lt;&gt;"仅含出让金"</formula>
    </cfRule>
  </conditionalFormatting>
  <conditionalFormatting sqref="C109">
    <cfRule type="expression" dxfId="168" priority="2" stopIfTrue="1">
      <formula>$H$109="由企业提供"</formula>
    </cfRule>
  </conditionalFormatting>
  <conditionalFormatting sqref="I33">
    <cfRule type="expression" dxfId="16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opLeftCell="A2" zoomScale="80" zoomScaleNormal="80" workbookViewId="0">
      <selection activeCell="C38" sqref="C38"/>
    </sheetView>
  </sheetViews>
  <sheetFormatPr defaultColWidth="12" defaultRowHeight="12"/>
  <cols>
    <col min="1" max="1" width="9.75" style="1399" customWidth="1"/>
    <col min="2" max="2" width="20.875" style="1514" customWidth="1"/>
    <col min="3" max="4" width="12" style="1400"/>
    <col min="5" max="5" width="14.625" style="1400" customWidth="1"/>
    <col min="6" max="6" width="18.125" style="1400" customWidth="1"/>
    <col min="7"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2423</v>
      </c>
      <c r="D1" s="1507">
        <f>SUM(D29:D30,D33:D39)</f>
        <v>2802518</v>
      </c>
      <c r="E1" s="1401" t="s">
        <v>2424</v>
      </c>
      <c r="F1" s="2415">
        <f>'数据-汇总表'!D3</f>
        <v>798900</v>
      </c>
      <c r="G1" s="1396"/>
      <c r="H1" s="1396"/>
      <c r="I1" s="1396"/>
      <c r="J1" s="1396"/>
      <c r="K1" s="1396"/>
      <c r="L1" s="1866" t="s">
        <v>2236</v>
      </c>
      <c r="M1" s="1867">
        <f>SUMPRODUCT((区片价!B5:B9=I2)*(区片价!C3:F3=E2)*(区片价!C5:F9))</f>
        <v>0</v>
      </c>
      <c r="N1" s="1868">
        <f>SUMPRODUCT((因素修正幅度!B5:B9=I2)*(因素修正幅度!C3:F3=E2)*(因素修正幅度!C5:F9))</f>
        <v>0</v>
      </c>
      <c r="O1" s="1396"/>
      <c r="P1" s="1396"/>
      <c r="Q1" s="2173"/>
      <c r="R1" s="2774" t="s">
        <v>2757</v>
      </c>
      <c r="S1" s="2774" t="s">
        <v>2758</v>
      </c>
      <c r="T1" s="2774" t="s">
        <v>2779</v>
      </c>
      <c r="U1" s="2774" t="s">
        <v>2780</v>
      </c>
      <c r="V1" s="2774" t="s">
        <v>2781</v>
      </c>
      <c r="W1" s="2173"/>
      <c r="X1" s="2173"/>
      <c r="Y1" s="2173"/>
      <c r="Z1" s="2173"/>
      <c r="AA1" s="2173"/>
      <c r="AB1" s="2173"/>
      <c r="AC1" s="2174"/>
    </row>
    <row r="2" spans="1:39" ht="15.75">
      <c r="A2" s="1401" t="s">
        <v>920</v>
      </c>
      <c r="B2" s="1037">
        <f ca="1">C26</f>
        <v>1329832</v>
      </c>
      <c r="C2" s="1402" t="s">
        <v>921</v>
      </c>
      <c r="D2" s="1403" t="s">
        <v>922</v>
      </c>
      <c r="E2" s="1404" t="s">
        <v>923</v>
      </c>
      <c r="F2" s="1403" t="s">
        <v>924</v>
      </c>
      <c r="G2" s="1636" t="str">
        <f>IF(E2="商业",项目基本情况!B43,IF(E2="办公",项目基本情况!C43,IF(E2="住宅",项目基本情况!D43,项目基本情况!E43)))</f>
        <v>七级</v>
      </c>
      <c r="H2" s="1403" t="s">
        <v>926</v>
      </c>
      <c r="I2" s="1637" t="str">
        <f>IF(E2="商业",项目基本情况!B44,IF(E2="办公",项目基本情况!C44,IF(E2="住宅",项目基本情况!D44,项目基本情况!E44)))</f>
        <v>Ⅶ-通1</v>
      </c>
      <c r="J2" s="1405"/>
      <c r="K2" s="1405"/>
      <c r="L2" s="1869" t="s">
        <v>2237</v>
      </c>
      <c r="M2" s="1870">
        <f>SUMPRODUCT((区片价!B10:B28=I2)*(区片价!C3:F3=E2)*(区片价!C10:F28))</f>
        <v>0</v>
      </c>
      <c r="N2" s="1871">
        <f>SUMPRODUCT((因素修正幅度!B10:B28=I2)*(因素修正幅度!C3:F3=E2)*(因素修正幅度!C10:F28))</f>
        <v>0</v>
      </c>
      <c r="O2" s="1405"/>
      <c r="P2" s="1396"/>
      <c r="Q2" s="2173"/>
      <c r="R2" s="2775">
        <v>1</v>
      </c>
      <c r="S2" s="2775">
        <f>ROUND(IF(G3&gt;1,IF(R2&lt;7,SUMPRODUCT((B93:B98=R2)*(C92:N92=G2)*(C93:N98)),SUMIF(C92:N92,G2,C100:N100)),IF(R2&lt;7,SUMPRODUCT((B102:B107=R2)*(C92:N92=G2)*(C102:N107)),SUMIF(C92:N92,G2,C109:N109))),4)</f>
        <v>1.8629</v>
      </c>
      <c r="T2" s="2775">
        <f ca="1">ROUND($C$5*$C$18*$C$19*$C$20*S2*$C$24,0)</f>
        <v>19881</v>
      </c>
      <c r="U2" s="2764"/>
      <c r="V2" s="2775">
        <f ca="1">ROUND(T2*U2/10000,0)</f>
        <v>0</v>
      </c>
      <c r="W2" s="2173"/>
      <c r="X2" s="2173"/>
      <c r="Y2" s="2173"/>
      <c r="Z2" s="2173"/>
      <c r="AA2" s="2173"/>
      <c r="AB2" s="2173"/>
      <c r="AC2" s="2174"/>
    </row>
    <row r="3" spans="1:39" ht="24">
      <c r="A3" s="1406" t="s">
        <v>1687</v>
      </c>
      <c r="B3" s="1037">
        <f ca="1">ROUND(B2*10000/D1,0)</f>
        <v>4745</v>
      </c>
      <c r="C3" s="1402" t="s">
        <v>927</v>
      </c>
      <c r="D3" s="1403" t="s">
        <v>928</v>
      </c>
      <c r="E3" s="1407" t="s">
        <v>3067</v>
      </c>
      <c r="F3" s="1408" t="s">
        <v>3081</v>
      </c>
      <c r="G3" s="1038">
        <f>IF(F3="宗地容积率",'数据-汇总表'!I4,IF(F3="估价对象容积率",'数据-汇总表'!I6,'数据-汇总表'!I7))</f>
        <v>1.9</v>
      </c>
      <c r="H3" s="1409" t="s">
        <v>929</v>
      </c>
      <c r="I3" s="1039">
        <v>1</v>
      </c>
      <c r="J3" s="1405" t="s">
        <v>930</v>
      </c>
      <c r="K3" s="1405"/>
      <c r="L3" s="1869" t="s">
        <v>2238</v>
      </c>
      <c r="M3" s="1870">
        <f>SUMPRODUCT((区片价!B29:B48=I2)*(区片价!C3:F3=E2)*(区片价!C29:F48))</f>
        <v>0</v>
      </c>
      <c r="N3" s="1871">
        <f>SUMPRODUCT((因素修正幅度!B29:B48=I2)*(因素修正幅度!C3:F3=E2)*(因素修正幅度!C29:F48))</f>
        <v>0</v>
      </c>
      <c r="O3" s="1405"/>
      <c r="P3" s="1396"/>
      <c r="Q3" s="2173"/>
      <c r="R3" s="2775">
        <v>2</v>
      </c>
      <c r="S3" s="2775">
        <f>ROUND(IF(G3&gt;1,IF(R3&lt;7,SUMPRODUCT((B93:B98=R3)*(C92:N92=G2)*(C93:N98)),SUMIF(C92:N92,G2,C100:N100)),IF(R3&lt;7,SUMPRODUCT((B102:B107=R3)*(C92:N92=G2)*(C102:N107)),SUMIF(C92:N92,G2,C109:N109))),4)</f>
        <v>1.3371999999999999</v>
      </c>
      <c r="T3" s="2775">
        <f t="shared" ref="T3:T16" ca="1" si="0">ROUND($C$5*$C$18*$C$19*$C$20*S3*$C$24,0)</f>
        <v>14271</v>
      </c>
      <c r="U3" s="2764"/>
      <c r="V3" s="2775">
        <f t="shared" ref="V3:V16" ca="1" si="1">ROUND(T3*U3/10000,0)</f>
        <v>0</v>
      </c>
      <c r="W3" s="2173"/>
      <c r="X3" s="2173"/>
      <c r="Y3" s="2173"/>
      <c r="Z3" s="2173"/>
      <c r="AA3" s="2173"/>
      <c r="AB3" s="2173"/>
      <c r="AC3" s="2174"/>
    </row>
    <row r="4" spans="1:39" ht="28.5">
      <c r="A4" s="1875" t="s">
        <v>2278</v>
      </c>
      <c r="B4" s="2416">
        <f ca="1">ROUND(B2*10000/F1,0)</f>
        <v>16646</v>
      </c>
      <c r="C4" s="1878" t="s">
        <v>2252</v>
      </c>
      <c r="D4" s="1878">
        <f ca="1">ROUND(B2/(F1/666.67),0)</f>
        <v>1110</v>
      </c>
      <c r="E4" s="1878" t="s">
        <v>2253</v>
      </c>
      <c r="F4" s="1876"/>
      <c r="G4" s="1876"/>
      <c r="H4" s="1876"/>
      <c r="I4" s="1876"/>
      <c r="J4" s="1877"/>
      <c r="K4" s="3000"/>
      <c r="L4" s="1869" t="s">
        <v>2239</v>
      </c>
      <c r="M4" s="1870">
        <f>SUMPRODUCT((区片价!B49:B75=I2)*(区片价!C3:F3=E2)*(区片价!C49:F75))</f>
        <v>0</v>
      </c>
      <c r="N4" s="1871">
        <f>SUMPRODUCT((因素修正幅度!B49:B75=I2)*(因素修正幅度!C3:F3=E2)*(因素修正幅度!C49:F75))</f>
        <v>0</v>
      </c>
      <c r="O4" s="3000"/>
      <c r="P4" s="1396"/>
      <c r="Q4" s="2173"/>
      <c r="R4" s="2775">
        <v>3</v>
      </c>
      <c r="S4" s="2775">
        <f>ROUND(IF(G3&gt;1,IF(R4&lt;7,SUMPRODUCT((B93:B98=R4)*(C92:N92=G2)*(C93:N98)),SUMIF(C92:N92,G2,C100:N100)),IF(R4&lt;7,SUMPRODUCT((B102:B107=R4)*(C92:N92=G2)*(C102:N107)),SUMIF(C92:N92,G2,C109:N109))),4)</f>
        <v>1.0788</v>
      </c>
      <c r="T4" s="2775">
        <f t="shared" ca="1" si="0"/>
        <v>11513</v>
      </c>
      <c r="U4" s="2764"/>
      <c r="V4" s="2775">
        <f t="shared" ca="1" si="1"/>
        <v>0</v>
      </c>
      <c r="W4" s="2173"/>
      <c r="X4" s="2173"/>
      <c r="Y4" s="2173"/>
      <c r="Z4" s="2173"/>
      <c r="AA4" s="2173"/>
      <c r="AB4" s="2173"/>
      <c r="AC4" s="2174"/>
    </row>
    <row r="5" spans="1:39" s="1416" customFormat="1" ht="15.75" thickBot="1">
      <c r="A5" s="1622" t="s">
        <v>1823</v>
      </c>
      <c r="B5" s="1410" t="s">
        <v>931</v>
      </c>
      <c r="C5" s="1040">
        <f>ROUND(IF(E2="商业",C6*C7+C16,(IF(E2="住宅",C6*C12+C16,C6+C16))),0)</f>
        <v>7500</v>
      </c>
      <c r="D5" s="2941">
        <f>ROUND(C6+C16,0)</f>
        <v>7500</v>
      </c>
      <c r="E5" s="2941"/>
      <c r="F5" s="1411"/>
      <c r="G5" s="1412"/>
      <c r="H5" s="1412"/>
      <c r="I5" s="1412"/>
      <c r="J5" s="1413"/>
      <c r="K5" s="3001"/>
      <c r="L5" s="1869" t="s">
        <v>2240</v>
      </c>
      <c r="M5" s="1870">
        <f>SUMPRODUCT((区片价!B76:B109=I2)*(区片价!C3:F3=E2)*(区片价!C76:F109))</f>
        <v>0</v>
      </c>
      <c r="N5" s="1871">
        <f>SUMPRODUCT((因素修正幅度!B76:B109=I2)*(因素修正幅度!C3:F3=E2)*(因素修正幅度!C76:F109))</f>
        <v>0</v>
      </c>
      <c r="O5" s="3001"/>
      <c r="P5" s="1579"/>
      <c r="Q5" s="2173"/>
      <c r="R5" s="2775">
        <v>4</v>
      </c>
      <c r="S5" s="2775">
        <f>ROUND(IF(G3&gt;1,IF(R5&lt;7,SUMPRODUCT((B93:B98=R5)*(C92:N92=G2)*(C93:N98)),SUMIF(C92:N92,G2,C100:N100)),IF(R5&lt;7,SUMPRODUCT((B102:B107=R5)*(C92:N92=G2)*(C102:N107)),SUMIF(C92:N92,G2,C109:N109))),4)</f>
        <v>0.86560000000000004</v>
      </c>
      <c r="T5" s="2775">
        <f t="shared" ca="1" si="0"/>
        <v>9238</v>
      </c>
      <c r="U5" s="2764"/>
      <c r="V5" s="2775">
        <f t="shared" ca="1" si="1"/>
        <v>0</v>
      </c>
      <c r="W5" s="2173"/>
      <c r="X5" s="2173"/>
      <c r="Y5" s="2173"/>
      <c r="Z5" s="2173"/>
      <c r="AA5" s="2173"/>
      <c r="AB5" s="2173"/>
      <c r="AC5" s="2175"/>
      <c r="AD5" s="1414"/>
      <c r="AE5" s="1414"/>
      <c r="AF5" s="1414"/>
      <c r="AG5" s="1414"/>
      <c r="AH5" s="1414"/>
      <c r="AI5" s="1414"/>
      <c r="AJ5" s="1415"/>
      <c r="AK5" s="1415"/>
      <c r="AL5" s="1415"/>
      <c r="AM5" s="1415"/>
    </row>
    <row r="6" spans="1:39" ht="15.75" thickBot="1">
      <c r="A6" s="1623" t="s">
        <v>1870</v>
      </c>
      <c r="B6" s="1417" t="s">
        <v>931</v>
      </c>
      <c r="C6" s="1041">
        <f>SUMIF(L1:L12,'基准地价-住宅'!G2,M1:M12)</f>
        <v>7500</v>
      </c>
      <c r="D6" s="1418" t="s">
        <v>1695</v>
      </c>
      <c r="E6" s="1419"/>
      <c r="F6" s="1419"/>
      <c r="G6" s="1420"/>
      <c r="H6" s="1420"/>
      <c r="I6" s="1420"/>
      <c r="J6" s="1421"/>
      <c r="K6" s="1451"/>
      <c r="L6" s="1869" t="s">
        <v>2241</v>
      </c>
      <c r="M6" s="1870">
        <f>SUMPRODUCT((区片价!B110:B157=I2)*(区片价!C3:F3=E2)*(区片价!C110:F157))</f>
        <v>0</v>
      </c>
      <c r="N6" s="1871">
        <f>SUMPRODUCT((因素修正幅度!B110:B157=I2)*(因素修正幅度!C3:F3=E2)*(因素修正幅度!C110:F157))</f>
        <v>0</v>
      </c>
      <c r="O6" s="1451"/>
      <c r="P6" s="1580"/>
      <c r="Q6" s="2173"/>
      <c r="R6" s="2775">
        <v>5</v>
      </c>
      <c r="S6" s="2775">
        <f>ROUND(IF(G3&gt;1,IF(R6&lt;7,SUMPRODUCT((B93:B98=R6)*(C92:N92=G2)*(C93:N98)),SUMIF(C92:N92,G2,C100:N100)),IF(R6&lt;7,SUMPRODUCT((B102:B107=R6)*(C92:N92=G2)*(C102:N107)),SUMIF(C92:N92,G2,C109:N109))),4)</f>
        <v>0.73709999999999998</v>
      </c>
      <c r="T6" s="2775">
        <f t="shared" ca="1" si="0"/>
        <v>7866</v>
      </c>
      <c r="U6" s="2764"/>
      <c r="V6" s="2775">
        <f t="shared" ca="1" si="1"/>
        <v>0</v>
      </c>
      <c r="W6" s="2173"/>
      <c r="X6" s="2173"/>
      <c r="Y6" s="2173"/>
      <c r="Z6" s="2173"/>
      <c r="AA6" s="2173"/>
      <c r="AB6" s="2173"/>
      <c r="AC6" s="2175"/>
      <c r="AD6" s="1414"/>
      <c r="AE6" s="1414"/>
      <c r="AF6" s="1414"/>
      <c r="AG6" s="1414"/>
      <c r="AH6" s="1414"/>
      <c r="AI6" s="1414"/>
      <c r="AJ6" s="1415"/>
    </row>
    <row r="7" spans="1:39" ht="24">
      <c r="A7" s="3441" t="str">
        <f>IF(E2="商业",IF(C8="不临58条商业街","",2),"")</f>
        <v/>
      </c>
      <c r="B7" s="1422" t="s">
        <v>932</v>
      </c>
      <c r="C7" s="1042">
        <f>IF(C8="不临58条商业街",1,ROUND(1+(1.6*E8+1.2*E9+0.8*E10+0.4*E11)*C9,4))</f>
        <v>1</v>
      </c>
      <c r="D7" s="1423" t="s">
        <v>933</v>
      </c>
      <c r="E7" s="1043">
        <v>6</v>
      </c>
      <c r="F7" s="1424"/>
      <c r="G7" s="1425"/>
      <c r="H7" s="1425"/>
      <c r="I7" s="1425"/>
      <c r="J7" s="1426"/>
      <c r="K7" s="1451"/>
      <c r="L7" s="1869" t="s">
        <v>2242</v>
      </c>
      <c r="M7" s="1870">
        <f>SUMPRODUCT((区片价!B158:B205=I2)*(区片价!C3:F3=E2)*(区片价!C158:F205))</f>
        <v>7500</v>
      </c>
      <c r="N7" s="1871">
        <f>SUMPRODUCT((因素修正幅度!B158:B205=I2)*(因素修正幅度!C3:F3=E2)*(因素修正幅度!C158:F205))</f>
        <v>0.13</v>
      </c>
      <c r="O7" s="1451"/>
      <c r="P7" s="1580"/>
      <c r="Q7" s="2173"/>
      <c r="R7" s="2775">
        <v>6</v>
      </c>
      <c r="S7" s="2775">
        <f>ROUND(IF(G3&gt;1,IF(R7&lt;7,SUMPRODUCT((B93:B98=R7)*(C92:N92=G2)*(C93:N98)),SUMIF(C92:N92,G2,C100:N100)),IF(R7&lt;7,SUMPRODUCT((B102:B107=R7)*(C92:N92=G2)*(C102:N107)),SUMIF(C92:N92,G2,C109:N109))),4)</f>
        <v>0.6482</v>
      </c>
      <c r="T7" s="2775">
        <f t="shared" ca="1" si="0"/>
        <v>6918</v>
      </c>
      <c r="U7" s="2764"/>
      <c r="V7" s="2775">
        <f t="shared" ca="1" si="1"/>
        <v>0</v>
      </c>
      <c r="W7" s="2773" t="s">
        <v>2760</v>
      </c>
      <c r="X7" s="2765" t="str">
        <f>G2</f>
        <v>七级</v>
      </c>
      <c r="Y7" s="2765" t="s">
        <v>2761</v>
      </c>
      <c r="Z7" s="2766">
        <f>G3</f>
        <v>1.9</v>
      </c>
      <c r="AA7" s="2176"/>
      <c r="AB7" s="2176"/>
      <c r="AC7" s="2177"/>
      <c r="AD7" s="2767"/>
      <c r="AE7" s="2767"/>
      <c r="AF7" s="2767"/>
      <c r="AG7" s="2767"/>
      <c r="AH7" s="2767"/>
      <c r="AI7" s="2767"/>
      <c r="AJ7" s="2768"/>
    </row>
    <row r="8" spans="1:39" ht="15">
      <c r="A8" s="3442"/>
      <c r="B8" s="1409" t="s">
        <v>934</v>
      </c>
      <c r="C8" s="1515"/>
      <c r="D8" s="1044" t="s">
        <v>935</v>
      </c>
      <c r="E8" s="1045">
        <f>ROUND(C11/E7,4)</f>
        <v>0</v>
      </c>
      <c r="F8" s="1427" t="s">
        <v>936</v>
      </c>
      <c r="G8" s="1428"/>
      <c r="H8" s="1428"/>
      <c r="I8" s="1428"/>
      <c r="J8" s="1429"/>
      <c r="K8" s="1451"/>
      <c r="L8" s="1869" t="s">
        <v>2243</v>
      </c>
      <c r="M8" s="1870">
        <f>SUMPRODUCT((区片价!B206:B244=I2)*(区片价!C3:F3=E2)*(区片价!C206:F244))</f>
        <v>0</v>
      </c>
      <c r="N8" s="1871">
        <f>SUMPRODUCT((因素修正幅度!B206:B244=I2)*(因素修正幅度!C3:F3=E2)*(因素修正幅度!C206:F244))</f>
        <v>0</v>
      </c>
      <c r="O8" s="1451"/>
      <c r="P8" s="1396"/>
      <c r="Q8" s="2173"/>
      <c r="R8" s="2775">
        <v>7</v>
      </c>
      <c r="S8" s="2764"/>
      <c r="T8" s="2775">
        <f t="shared" ca="1" si="0"/>
        <v>0</v>
      </c>
      <c r="U8" s="2764"/>
      <c r="V8" s="2775">
        <f t="shared" ca="1" si="1"/>
        <v>0</v>
      </c>
      <c r="W8" s="3452" t="s">
        <v>2778</v>
      </c>
      <c r="X8" s="3453"/>
      <c r="Y8" s="1833" t="s">
        <v>2762</v>
      </c>
      <c r="Z8" s="1833" t="s">
        <v>2763</v>
      </c>
      <c r="AA8" s="1833" t="s">
        <v>2764</v>
      </c>
      <c r="AB8" s="1833" t="s">
        <v>2765</v>
      </c>
      <c r="AC8" s="1833" t="s">
        <v>2766</v>
      </c>
      <c r="AD8" s="1833" t="s">
        <v>2767</v>
      </c>
      <c r="AE8" s="1833" t="s">
        <v>2768</v>
      </c>
      <c r="AF8" s="1833" t="s">
        <v>2769</v>
      </c>
      <c r="AG8" s="1833" t="s">
        <v>2770</v>
      </c>
      <c r="AH8" s="1833" t="s">
        <v>2771</v>
      </c>
      <c r="AI8" s="1833" t="s">
        <v>2772</v>
      </c>
      <c r="AJ8" s="1833" t="s">
        <v>2773</v>
      </c>
    </row>
    <row r="9" spans="1:39" ht="15">
      <c r="A9" s="3442"/>
      <c r="B9" s="1409" t="s">
        <v>937</v>
      </c>
      <c r="C9" s="1046">
        <f>SUMIF(修正!C59:C119,C8,修正!E59:E119)</f>
        <v>0</v>
      </c>
      <c r="D9" s="1047" t="s">
        <v>938</v>
      </c>
      <c r="E9" s="1047">
        <f>ROUND(C11/E7,4)</f>
        <v>0</v>
      </c>
      <c r="F9" s="1427" t="s">
        <v>939</v>
      </c>
      <c r="G9" s="1428"/>
      <c r="H9" s="1428"/>
      <c r="I9" s="1428"/>
      <c r="J9" s="1429"/>
      <c r="K9" s="1451"/>
      <c r="L9" s="1869" t="s">
        <v>2244</v>
      </c>
      <c r="M9" s="1870">
        <f>SUMPRODUCT((区片价!B245:B289=I2)*(区片价!C3:F3=E2)*(区片价!C245:F289))</f>
        <v>0</v>
      </c>
      <c r="N9" s="1871">
        <f>SUMPRODUCT((因素修正幅度!B245:B289=I2)*(因素修正幅度!C3:F3=E2)*(因素修正幅度!C245:F289))</f>
        <v>0</v>
      </c>
      <c r="O9" s="1451"/>
      <c r="P9" s="1396"/>
      <c r="Q9" s="2173"/>
      <c r="R9" s="2775">
        <v>8</v>
      </c>
      <c r="S9" s="2764"/>
      <c r="T9" s="2775">
        <f t="shared" ca="1" si="0"/>
        <v>0</v>
      </c>
      <c r="U9" s="2764"/>
      <c r="V9" s="2775">
        <f t="shared" ca="1" si="1"/>
        <v>0</v>
      </c>
      <c r="W9" s="3451" t="s">
        <v>2774</v>
      </c>
      <c r="X9" s="2769" t="s">
        <v>2775</v>
      </c>
      <c r="Y9" s="2926"/>
      <c r="Z9" s="2770">
        <f t="shared" ref="Z9:AJ9" si="2">$Y$9</f>
        <v>0</v>
      </c>
      <c r="AA9" s="2770">
        <f t="shared" si="2"/>
        <v>0</v>
      </c>
      <c r="AB9" s="2770">
        <f t="shared" si="2"/>
        <v>0</v>
      </c>
      <c r="AC9" s="2770">
        <f t="shared" si="2"/>
        <v>0</v>
      </c>
      <c r="AD9" s="2770">
        <f t="shared" si="2"/>
        <v>0</v>
      </c>
      <c r="AE9" s="2770">
        <f t="shared" si="2"/>
        <v>0</v>
      </c>
      <c r="AF9" s="2770">
        <f t="shared" si="2"/>
        <v>0</v>
      </c>
      <c r="AG9" s="2770">
        <f t="shared" si="2"/>
        <v>0</v>
      </c>
      <c r="AH9" s="2770">
        <f t="shared" si="2"/>
        <v>0</v>
      </c>
      <c r="AI9" s="2770">
        <f t="shared" si="2"/>
        <v>0</v>
      </c>
      <c r="AJ9" s="2770">
        <f t="shared" si="2"/>
        <v>0</v>
      </c>
    </row>
    <row r="10" spans="1:39" ht="15">
      <c r="A10" s="3442"/>
      <c r="B10" s="1409" t="s">
        <v>940</v>
      </c>
      <c r="C10" s="1047">
        <f>SUMIF(修正!C59:C119,C8,修正!F59:F119)</f>
        <v>0</v>
      </c>
      <c r="D10" s="1047" t="s">
        <v>941</v>
      </c>
      <c r="E10" s="1047">
        <f>ROUND(C11/E7,4)</f>
        <v>0</v>
      </c>
      <c r="F10" s="1427" t="s">
        <v>942</v>
      </c>
      <c r="G10" s="1428"/>
      <c r="H10" s="1428"/>
      <c r="I10" s="1428"/>
      <c r="J10" s="1429"/>
      <c r="K10" s="1451"/>
      <c r="L10" s="1869" t="s">
        <v>2245</v>
      </c>
      <c r="M10" s="1870">
        <f>SUMPRODUCT((区片价!B290:B316=I2)*(区片价!C3:F3=E2)*(区片价!C290:F316))</f>
        <v>0</v>
      </c>
      <c r="N10" s="1871">
        <f>SUMPRODUCT((因素修正幅度!B290:B316=I2)*(因素修正幅度!C3:F3=E2)*(因素修正幅度!C290:F316))</f>
        <v>0</v>
      </c>
      <c r="O10" s="1451"/>
      <c r="P10" s="1396"/>
      <c r="Q10" s="2173"/>
      <c r="R10" s="2775">
        <v>9</v>
      </c>
      <c r="S10" s="2764"/>
      <c r="T10" s="2775">
        <f t="shared" ca="1" si="0"/>
        <v>0</v>
      </c>
      <c r="U10" s="2764"/>
      <c r="V10" s="2775">
        <f t="shared" ca="1" si="1"/>
        <v>0</v>
      </c>
      <c r="W10" s="3451"/>
      <c r="X10" s="2769">
        <v>7</v>
      </c>
      <c r="Y10" s="2771">
        <f>(-0.163*(Y9^2)-0.59*Y9+7617)*(10^(-4))</f>
        <v>0.76170000000000004</v>
      </c>
      <c r="Z10" s="2771">
        <f>(-0.163*(Z9^2)-0.59*Z9+7617)*(10^(-4))</f>
        <v>0.76170000000000004</v>
      </c>
      <c r="AA10" s="2771">
        <f>(-0.161*(AA9^2)-7.509*AA9+6533)*(10^(-4))</f>
        <v>0.65329999999999999</v>
      </c>
      <c r="AB10" s="2771">
        <f>(-0.161*(AB9^2)-7.509*AB9+6533)*(10^(-4))</f>
        <v>0.65329999999999999</v>
      </c>
      <c r="AC10" s="2771">
        <f>(-0.161*(AC9^2)-7.509*AC9+6533)*(10^(-4))</f>
        <v>0.65329999999999999</v>
      </c>
      <c r="AD10" s="2771">
        <f>(-0.161*(AD9^2)-7.509*AD9+6533)*(10^(-4))</f>
        <v>0.65329999999999999</v>
      </c>
      <c r="AE10" s="2771">
        <f>(-0.161*(AE9^2)-7.509*AE9+6533)*(10^(-4))</f>
        <v>0.65329999999999999</v>
      </c>
      <c r="AF10" s="2771">
        <f>(-0.214*(AF9^2)-21.991*AF9+4665)*(10^(-4))</f>
        <v>0.46650000000000003</v>
      </c>
      <c r="AG10" s="2771">
        <f>(-0.214*(AG9^2)-21.991*AG9+4665)*(10^(-4))</f>
        <v>0.46650000000000003</v>
      </c>
      <c r="AH10" s="2771">
        <f>(-0.214*(AH9^2)-21.991*AH9+4665)*(10^(-4))</f>
        <v>0.46650000000000003</v>
      </c>
      <c r="AI10" s="2771">
        <f>(-0.214*(AI9^2)-21.991*AI9+4665)*(10^(-4))</f>
        <v>0.46650000000000003</v>
      </c>
      <c r="AJ10" s="2771">
        <f>(-0.214*(AJ9^2)-21.991*AJ9+4665)*(10^(-4))</f>
        <v>0.46650000000000003</v>
      </c>
    </row>
    <row r="11" spans="1:39" ht="15.75" customHeight="1" thickBot="1">
      <c r="A11" s="3442"/>
      <c r="B11" s="1430" t="s">
        <v>943</v>
      </c>
      <c r="C11" s="1048">
        <f>C10/4</f>
        <v>0</v>
      </c>
      <c r="D11" s="1048" t="s">
        <v>944</v>
      </c>
      <c r="E11" s="1048">
        <f>ROUND(C11/E7,4)</f>
        <v>0</v>
      </c>
      <c r="F11" s="1431" t="s">
        <v>945</v>
      </c>
      <c r="G11" s="1432"/>
      <c r="H11" s="1432"/>
      <c r="I11" s="1432"/>
      <c r="J11" s="1433"/>
      <c r="K11" s="1451"/>
      <c r="L11" s="1869" t="s">
        <v>2246</v>
      </c>
      <c r="M11" s="1870">
        <f>SUMPRODUCT((区片价!B317:B337=I2)*(区片价!C3:F3=E2)*(区片价!C317:F337))</f>
        <v>0</v>
      </c>
      <c r="N11" s="1871">
        <f>SUMPRODUCT((因素修正幅度!B317:B337=I2)*(因素修正幅度!C3:F3=E2)*(因素修正幅度!C317:F337))</f>
        <v>0</v>
      </c>
      <c r="O11" s="1451"/>
      <c r="P11" s="1396"/>
      <c r="Q11" s="2173"/>
      <c r="R11" s="2775">
        <v>10</v>
      </c>
      <c r="S11" s="2764"/>
      <c r="T11" s="2775">
        <f t="shared" ca="1" si="0"/>
        <v>0</v>
      </c>
      <c r="U11" s="2764"/>
      <c r="V11" s="2775">
        <f t="shared" ca="1" si="1"/>
        <v>0</v>
      </c>
      <c r="W11" s="3451" t="s">
        <v>2776</v>
      </c>
      <c r="X11" s="1047" t="s">
        <v>2761</v>
      </c>
      <c r="Y11" s="1637">
        <f>$G$3</f>
        <v>1.9</v>
      </c>
      <c r="Z11" s="1637">
        <f t="shared" ref="Z11:AJ11" si="3">$G$3</f>
        <v>1.9</v>
      </c>
      <c r="AA11" s="1637">
        <f t="shared" si="3"/>
        <v>1.9</v>
      </c>
      <c r="AB11" s="1637">
        <f t="shared" si="3"/>
        <v>1.9</v>
      </c>
      <c r="AC11" s="1637">
        <f t="shared" si="3"/>
        <v>1.9</v>
      </c>
      <c r="AD11" s="1637">
        <f t="shared" si="3"/>
        <v>1.9</v>
      </c>
      <c r="AE11" s="1637">
        <f t="shared" si="3"/>
        <v>1.9</v>
      </c>
      <c r="AF11" s="1637">
        <f t="shared" si="3"/>
        <v>1.9</v>
      </c>
      <c r="AG11" s="1637">
        <f t="shared" si="3"/>
        <v>1.9</v>
      </c>
      <c r="AH11" s="1637">
        <f t="shared" si="3"/>
        <v>1.9</v>
      </c>
      <c r="AI11" s="1637">
        <f t="shared" si="3"/>
        <v>1.9</v>
      </c>
      <c r="AJ11" s="1637">
        <f t="shared" si="3"/>
        <v>1.9</v>
      </c>
    </row>
    <row r="12" spans="1:39" ht="24.75" customHeight="1" thickBot="1">
      <c r="A12" s="3441" t="s">
        <v>1871</v>
      </c>
      <c r="B12" s="1434" t="s">
        <v>946</v>
      </c>
      <c r="C12" s="1042">
        <f>ROUND(C15*D15*E15*F15*G15*H15*I15*J15,4)</f>
        <v>1</v>
      </c>
      <c r="D12" s="1435" t="s">
        <v>947</v>
      </c>
      <c r="E12" s="1436"/>
      <c r="F12" s="1436"/>
      <c r="G12" s="1437"/>
      <c r="H12" s="1437"/>
      <c r="I12" s="1437"/>
      <c r="J12" s="1438"/>
      <c r="K12" s="1451"/>
      <c r="L12" s="1872" t="s">
        <v>2247</v>
      </c>
      <c r="M12" s="1873">
        <f>SUMPRODUCT((区片价!B338:B344=I2)*(区片价!C3:F3=E2)*(区片价!C338:F344))</f>
        <v>0</v>
      </c>
      <c r="N12" s="1874">
        <f>SUMPRODUCT((因素修正幅度!B338:B344=I2)*(因素修正幅度!C3:F3=E2)*(因素修正幅度!C338:F344))</f>
        <v>0</v>
      </c>
      <c r="O12" s="1451"/>
      <c r="P12" s="1396"/>
      <c r="Q12" s="2173"/>
      <c r="R12" s="2775">
        <v>11</v>
      </c>
      <c r="S12" s="2764"/>
      <c r="T12" s="2775">
        <f t="shared" ca="1" si="0"/>
        <v>0</v>
      </c>
      <c r="U12" s="2764"/>
      <c r="V12" s="2775">
        <f t="shared" ca="1" si="1"/>
        <v>0</v>
      </c>
      <c r="W12" s="3451"/>
      <c r="X12" s="2772" t="s">
        <v>2777</v>
      </c>
      <c r="Y12" s="2770">
        <f t="shared" ref="Y12:AJ12" si="4">Y9</f>
        <v>0</v>
      </c>
      <c r="Z12" s="2770">
        <f t="shared" si="4"/>
        <v>0</v>
      </c>
      <c r="AA12" s="2770">
        <f t="shared" si="4"/>
        <v>0</v>
      </c>
      <c r="AB12" s="2770">
        <f t="shared" si="4"/>
        <v>0</v>
      </c>
      <c r="AC12" s="2770">
        <f t="shared" si="4"/>
        <v>0</v>
      </c>
      <c r="AD12" s="2770">
        <f t="shared" si="4"/>
        <v>0</v>
      </c>
      <c r="AE12" s="2770">
        <f t="shared" si="4"/>
        <v>0</v>
      </c>
      <c r="AF12" s="2770">
        <f t="shared" si="4"/>
        <v>0</v>
      </c>
      <c r="AG12" s="2770">
        <f t="shared" si="4"/>
        <v>0</v>
      </c>
      <c r="AH12" s="2770">
        <f t="shared" si="4"/>
        <v>0</v>
      </c>
      <c r="AI12" s="2770">
        <f t="shared" si="4"/>
        <v>0</v>
      </c>
      <c r="AJ12" s="2770">
        <f t="shared" si="4"/>
        <v>0</v>
      </c>
    </row>
    <row r="13" spans="1:39" ht="15">
      <c r="A13" s="3443"/>
      <c r="B13" s="1439" t="s">
        <v>1696</v>
      </c>
      <c r="C13" s="1440" t="s">
        <v>1697</v>
      </c>
      <c r="D13" s="1084" t="s">
        <v>1698</v>
      </c>
      <c r="E13" s="1084" t="s">
        <v>1699</v>
      </c>
      <c r="F13" s="1441" t="s">
        <v>948</v>
      </c>
      <c r="G13" s="1442" t="s">
        <v>1642</v>
      </c>
      <c r="H13" s="1443" t="s">
        <v>1642</v>
      </c>
      <c r="I13" s="1444" t="s">
        <v>1642</v>
      </c>
      <c r="J13" s="1445" t="s">
        <v>1642</v>
      </c>
      <c r="K13" s="3016"/>
      <c r="L13" s="3016"/>
      <c r="M13" s="3016"/>
      <c r="N13" s="3016"/>
      <c r="O13" s="3016"/>
      <c r="P13" s="1396"/>
      <c r="Q13" s="2173"/>
      <c r="R13" s="2775">
        <v>12</v>
      </c>
      <c r="S13" s="2764"/>
      <c r="T13" s="2775">
        <f t="shared" ca="1" si="0"/>
        <v>0</v>
      </c>
      <c r="U13" s="2764"/>
      <c r="V13" s="2775">
        <f t="shared" ca="1" si="1"/>
        <v>0</v>
      </c>
      <c r="W13" s="3451"/>
      <c r="X13" s="2772"/>
      <c r="Y13" s="2771">
        <f>(-0.163*(Y12^2)-0.59*Y12+7617)*(10^(-4))/Y11</f>
        <v>0.4008947368421053</v>
      </c>
      <c r="Z13" s="2771">
        <f t="shared" ref="Z13:AJ13" si="5">(-0.163*(Z12^2)-0.59*Z12+7617)*(10^(-4))/Z11</f>
        <v>0.4008947368421053</v>
      </c>
      <c r="AA13" s="2771">
        <f t="shared" si="5"/>
        <v>0.4008947368421053</v>
      </c>
      <c r="AB13" s="2771">
        <f t="shared" si="5"/>
        <v>0.4008947368421053</v>
      </c>
      <c r="AC13" s="2771">
        <f t="shared" si="5"/>
        <v>0.4008947368421053</v>
      </c>
      <c r="AD13" s="2771">
        <f t="shared" si="5"/>
        <v>0.4008947368421053</v>
      </c>
      <c r="AE13" s="2771">
        <f t="shared" si="5"/>
        <v>0.4008947368421053</v>
      </c>
      <c r="AF13" s="2771">
        <f t="shared" si="5"/>
        <v>0.4008947368421053</v>
      </c>
      <c r="AG13" s="2771">
        <f t="shared" si="5"/>
        <v>0.4008947368421053</v>
      </c>
      <c r="AH13" s="2771">
        <f t="shared" si="5"/>
        <v>0.4008947368421053</v>
      </c>
      <c r="AI13" s="2771">
        <f t="shared" si="5"/>
        <v>0.4008947368421053</v>
      </c>
      <c r="AJ13" s="2771">
        <f t="shared" si="5"/>
        <v>0.4008947368421053</v>
      </c>
    </row>
    <row r="14" spans="1:39" ht="12.75" customHeight="1">
      <c r="A14" s="3443"/>
      <c r="B14" s="1446"/>
      <c r="C14" s="1447" t="s">
        <v>3068</v>
      </c>
      <c r="D14" s="1448" t="s">
        <v>3068</v>
      </c>
      <c r="E14" s="1448" t="s">
        <v>3068</v>
      </c>
      <c r="F14" s="1449" t="s">
        <v>3069</v>
      </c>
      <c r="G14" s="1450" t="s">
        <v>949</v>
      </c>
      <c r="H14" s="1451"/>
      <c r="I14" s="1452"/>
      <c r="J14" s="1453"/>
      <c r="K14" s="3002"/>
      <c r="L14" s="3002"/>
      <c r="M14" s="3002"/>
      <c r="N14" s="3002"/>
      <c r="O14" s="3002"/>
      <c r="P14" s="1396"/>
      <c r="Q14" s="2173"/>
      <c r="R14" s="2775">
        <v>13</v>
      </c>
      <c r="S14" s="2764"/>
      <c r="T14" s="2775">
        <f t="shared" ca="1" si="0"/>
        <v>0</v>
      </c>
      <c r="U14" s="2764"/>
      <c r="V14" s="2775">
        <f t="shared" ca="1" si="1"/>
        <v>0</v>
      </c>
      <c r="W14" s="2173"/>
      <c r="X14" s="2173"/>
      <c r="Y14" s="2173"/>
      <c r="Z14" s="2173"/>
      <c r="AA14" s="2173"/>
      <c r="AB14" s="2173"/>
      <c r="AC14" s="2174"/>
    </row>
    <row r="15" spans="1:39" ht="13.5" customHeight="1" thickBot="1">
      <c r="A15" s="3444"/>
      <c r="B15" s="3021" t="s">
        <v>1700</v>
      </c>
      <c r="C15" s="1048">
        <f>IF(C14="有",1.1,1)</f>
        <v>1</v>
      </c>
      <c r="D15" s="1048">
        <f>IF(D14="有",1.1,1)</f>
        <v>1</v>
      </c>
      <c r="E15" s="1048">
        <f>IF(E14="有",1.1,1)</f>
        <v>1</v>
      </c>
      <c r="F15" s="1048">
        <f>IF(F14="500米范围内",1.2,IF(F14="500-1000米",1.1,1))</f>
        <v>1</v>
      </c>
      <c r="G15" s="3013">
        <v>1</v>
      </c>
      <c r="H15" s="3013">
        <v>1</v>
      </c>
      <c r="I15" s="3013">
        <v>1</v>
      </c>
      <c r="J15" s="3014">
        <v>1</v>
      </c>
      <c r="K15" s="3017"/>
      <c r="L15" s="3017"/>
      <c r="M15" s="3017"/>
      <c r="N15" s="3017"/>
      <c r="O15" s="3017"/>
      <c r="P15" s="1396"/>
      <c r="Q15" s="2173"/>
      <c r="R15" s="2775">
        <v>14</v>
      </c>
      <c r="S15" s="2764"/>
      <c r="T15" s="2775">
        <f t="shared" ca="1" si="0"/>
        <v>0</v>
      </c>
      <c r="U15" s="2764"/>
      <c r="V15" s="2775">
        <f t="shared" ca="1" si="1"/>
        <v>0</v>
      </c>
      <c r="W15" s="2173"/>
      <c r="X15" s="2173"/>
      <c r="Y15" s="2173"/>
      <c r="Z15" s="2173"/>
      <c r="AA15" s="2173"/>
      <c r="AB15" s="2173"/>
      <c r="AC15" s="2174"/>
    </row>
    <row r="16" spans="1:39" ht="24.6" customHeight="1">
      <c r="A16" s="3441" t="s">
        <v>1838</v>
      </c>
      <c r="B16" s="1422" t="s">
        <v>950</v>
      </c>
      <c r="C16" s="1051">
        <f>ROUND(IF(F17="与级别开发程度一致",0,(G17-E17)/C17),0)</f>
        <v>0</v>
      </c>
      <c r="D16" s="3459" t="s">
        <v>954</v>
      </c>
      <c r="E16" s="3460"/>
      <c r="F16" s="3459" t="s">
        <v>951</v>
      </c>
      <c r="G16" s="3460"/>
      <c r="H16" s="1454" t="s">
        <v>3009</v>
      </c>
      <c r="I16" s="1454" t="s">
        <v>3010</v>
      </c>
      <c r="J16" s="1454" t="s">
        <v>3011</v>
      </c>
      <c r="K16" s="1454" t="s">
        <v>3012</v>
      </c>
      <c r="L16" s="1454" t="s">
        <v>3013</v>
      </c>
      <c r="M16" s="1454" t="s">
        <v>3070</v>
      </c>
      <c r="N16" s="1454" t="s">
        <v>3071</v>
      </c>
      <c r="O16" s="3026" t="s">
        <v>3014</v>
      </c>
      <c r="P16" s="1396"/>
      <c r="Q16" s="2176"/>
      <c r="R16" s="2775">
        <v>15</v>
      </c>
      <c r="S16" s="2764"/>
      <c r="T16" s="2775">
        <f t="shared" ca="1" si="0"/>
        <v>0</v>
      </c>
      <c r="U16" s="2764"/>
      <c r="V16" s="2775">
        <f t="shared" ca="1" si="1"/>
        <v>0</v>
      </c>
      <c r="W16" s="2176"/>
      <c r="X16" s="2176"/>
      <c r="Y16" s="2176"/>
      <c r="Z16" s="2176"/>
      <c r="AA16" s="2176"/>
      <c r="AB16" s="2176"/>
      <c r="AC16" s="2177"/>
    </row>
    <row r="17" spans="1:40" ht="13.5" thickBot="1">
      <c r="A17" s="3445"/>
      <c r="B17" s="3027" t="s">
        <v>953</v>
      </c>
      <c r="C17" s="3028">
        <f>SUMPRODUCT((修正!A2:A5=E2)*(修正!B1:M1=G2)*(修正!B2:M5))</f>
        <v>2.5</v>
      </c>
      <c r="D17" s="3029" t="str">
        <f>IF(OR(G2="八级",G2="九级",G2="十级",G2="十一级",G2="十二级"),"五通一平","七通一平")</f>
        <v>七通一平</v>
      </c>
      <c r="E17" s="3019">
        <f>SUMPRODUCT((修正!B1:M1=G2)*(修正!B15:M15))</f>
        <v>300</v>
      </c>
      <c r="F17" s="3020" t="s">
        <v>3072</v>
      </c>
      <c r="G17" s="3019">
        <f>SUM(H17:O17)</f>
        <v>300</v>
      </c>
      <c r="H17" s="1050">
        <f>SUMPRODUCT((七通一平=H16)*(修正!B1:M1=G2)*(修正!B6:M14))</f>
        <v>65</v>
      </c>
      <c r="I17" s="1050">
        <f>SUMPRODUCT((七通一平=I16)*(修正!B1:M1=G2)*(修正!B6:M14))</f>
        <v>55</v>
      </c>
      <c r="J17" s="1050">
        <f>SUMPRODUCT((七通一平=J16)*(修正!B1:M1=G2)*(修正!B6:M14))</f>
        <v>15</v>
      </c>
      <c r="K17" s="1050">
        <f>SUMPRODUCT((七通一平=K16)*(修正!B1:M1=G2)*(修正!B6:M14))</f>
        <v>25</v>
      </c>
      <c r="L17" s="1050">
        <f>SUMPRODUCT((七通一平=L16)*(修正!B1:M1=G2)*(修正!B6:M14))</f>
        <v>35</v>
      </c>
      <c r="M17" s="1050">
        <f>SUMPRODUCT((七通一平=M16)*(修正!B1:M1=G2)*(修正!B6:M14))</f>
        <v>50</v>
      </c>
      <c r="N17" s="1050">
        <f>SUMPRODUCT((七通一平=N16)*(修正!B1:M1=G2)*(修正!B6:M14))</f>
        <v>40</v>
      </c>
      <c r="O17" s="3030">
        <f>SUMPRODUCT((七通一平=O16)*(修正!B1:M1=G2)*(修正!B6:M14))</f>
        <v>15</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618" t="s">
        <v>1829</v>
      </c>
      <c r="B18" s="3022" t="s">
        <v>955</v>
      </c>
      <c r="C18" s="3023">
        <f>SUMIF(修正!C18:C39,E3,修正!E18:E39)</f>
        <v>1</v>
      </c>
      <c r="D18" s="3024"/>
      <c r="E18" s="3025"/>
      <c r="F18" s="3007"/>
      <c r="G18" s="3001"/>
      <c r="H18" s="3001"/>
      <c r="I18" s="3001"/>
      <c r="J18" s="3015"/>
      <c r="K18" s="3001"/>
      <c r="L18" s="3001"/>
      <c r="M18" s="3001"/>
      <c r="N18" s="3001"/>
      <c r="O18" s="3001"/>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1835</v>
      </c>
      <c r="B19" s="1457" t="s">
        <v>956</v>
      </c>
      <c r="C19" s="1052">
        <f>地价!Z7</f>
        <v>1.3895999999999999</v>
      </c>
      <c r="D19" s="1461" t="s">
        <v>957</v>
      </c>
      <c r="E19" s="1053">
        <v>41640</v>
      </c>
      <c r="F19" s="1461" t="s">
        <v>958</v>
      </c>
      <c r="G19" s="1054">
        <f>'数据-取费表'!B2</f>
        <v>44078</v>
      </c>
      <c r="H19" s="1462" t="s">
        <v>2987</v>
      </c>
      <c r="I19" s="2624" t="str">
        <f>IF(H19="季度增幅（自定义）",SUMIF(N21:N24,E2,O21:O24),"")</f>
        <v/>
      </c>
      <c r="J19" s="1458"/>
      <c r="K19" s="3001"/>
      <c r="L19" s="2874" t="s">
        <v>2836</v>
      </c>
      <c r="M19" s="2875">
        <f>ROUND(SUMIF(地价!B2:F2,E2,地价!B31:F31),0)</f>
        <v>423</v>
      </c>
      <c r="N19" s="2626" t="s">
        <v>1676</v>
      </c>
      <c r="O19" s="2625">
        <f>ROUNDDOWN(DATEDIF(E19,G19,"M")/3,0)</f>
        <v>26</v>
      </c>
      <c r="P19" s="1581"/>
      <c r="Q19" s="2763"/>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618" t="s">
        <v>1836</v>
      </c>
      <c r="B20" s="2619" t="s">
        <v>971</v>
      </c>
      <c r="C20" s="2620">
        <f ca="1">ROUND(POWER(1+G20,J20-I20)*(POWER(1+G20,I20)-1)/(POWER(1+G20,J20)-1),4)</f>
        <v>1</v>
      </c>
      <c r="D20" s="2621" t="s">
        <v>972</v>
      </c>
      <c r="E20" s="2923">
        <f ca="1">存贷款利率!I4/100</f>
        <v>4.3499999999999997E-2</v>
      </c>
      <c r="F20" s="2621" t="s">
        <v>973</v>
      </c>
      <c r="G20" s="2622">
        <f ca="1">SUMIF(M26:P26,E2,M28:P28)</f>
        <v>0.05</v>
      </c>
      <c r="H20" s="2621" t="s">
        <v>974</v>
      </c>
      <c r="I20" s="2617">
        <f>SUMIF('数据-取费表'!C6:C15,E2,'数据-取费表'!F6:F15)/COUNTIF('数据-取费表'!C6:C15,E2)</f>
        <v>70</v>
      </c>
      <c r="J20" s="2623">
        <f>IF(E2="住宅",70,IF(E2="商业",40,50))</f>
        <v>70</v>
      </c>
      <c r="K20" s="3003"/>
      <c r="L20" s="2876" t="s">
        <v>2837</v>
      </c>
      <c r="M20" s="3010">
        <f>ROUND(SUMPRODUCT((地价!A4:A31=YEAR(G19)&amp;"-"&amp;ROUNDUP(MONTH(G19)/3,0))*(地价!B2:F2=E2)*(地价!B4:F31)),0)</f>
        <v>691</v>
      </c>
      <c r="N20" s="2629" t="s">
        <v>2641</v>
      </c>
      <c r="O20" s="2627" t="s">
        <v>2640</v>
      </c>
      <c r="P20" s="2628" t="s">
        <v>2646</v>
      </c>
      <c r="Q20" s="2763"/>
      <c r="R20" s="2179"/>
      <c r="S20" s="2179"/>
      <c r="T20" s="2179"/>
      <c r="U20" s="2179"/>
      <c r="V20" s="2179"/>
      <c r="W20" s="2179"/>
      <c r="X20" s="2179"/>
      <c r="Y20" s="1459"/>
      <c r="Z20" s="1459"/>
      <c r="AA20" s="1459"/>
      <c r="AB20" s="1459"/>
      <c r="AC20" s="1459"/>
      <c r="AD20" s="1459"/>
    </row>
    <row r="21" spans="1:40" s="1416" customFormat="1" ht="14.25">
      <c r="A21" s="1626" t="s">
        <v>1837</v>
      </c>
      <c r="B21" s="1467" t="s">
        <v>3015</v>
      </c>
      <c r="C21" s="1153">
        <f>IF(B21="容积率修正",IF(G3&lt;=10,D22,J22),C23)</f>
        <v>1.0741000000000001</v>
      </c>
      <c r="D21" s="1468"/>
      <c r="E21" s="1468"/>
      <c r="F21" s="1468"/>
      <c r="G21" s="1468"/>
      <c r="H21" s="1468"/>
      <c r="I21" s="1468"/>
      <c r="J21" s="1469"/>
      <c r="K21" s="3001"/>
      <c r="L21" s="1468"/>
      <c r="M21" s="1468"/>
      <c r="N21" s="1465" t="s">
        <v>975</v>
      </c>
      <c r="O21" s="1528"/>
      <c r="P21" s="2616">
        <f>SUMPRODUCT((地价!A3:A31=YEAR(G19)&amp;"-"&amp;ROUNDUP(MONTH(G19)/3,0))*(地价!AD2:AH2=N21)*(地价!AD3:AH31))</f>
        <v>1.2E-2</v>
      </c>
      <c r="Q21" s="2763"/>
      <c r="R21" s="2179"/>
      <c r="S21" s="2179"/>
      <c r="T21" s="2179"/>
      <c r="U21" s="2179"/>
      <c r="V21" s="2179"/>
      <c r="W21" s="2179"/>
      <c r="X21" s="2179"/>
      <c r="Y21" s="1398"/>
      <c r="Z21" s="1398"/>
      <c r="AA21" s="1398"/>
      <c r="AB21" s="1398"/>
      <c r="AC21" s="1459"/>
      <c r="AD21" s="1459"/>
    </row>
    <row r="22" spans="1:40" s="1416" customFormat="1" ht="14.25">
      <c r="A22" s="1627" t="s">
        <v>1870</v>
      </c>
      <c r="B22" s="1470" t="s">
        <v>976</v>
      </c>
      <c r="C22" s="1055" t="s">
        <v>1702</v>
      </c>
      <c r="D22" s="1055">
        <f>IF(E22=G22,F22,IF(G3&lt;=10,ROUND(F22+(H22-F22)*(G3-E22)/(G22-E22),4),"——"))</f>
        <v>1.0741000000000001</v>
      </c>
      <c r="E22" s="1038">
        <f>ROUNDDOWN(G3,1)</f>
        <v>1.9</v>
      </c>
      <c r="F22" s="105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1.0741000000000001</v>
      </c>
      <c r="G22" s="1038">
        <f>ROUNDUP(G3,1)</f>
        <v>1.9</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1.0741000000000001</v>
      </c>
      <c r="I22" s="1055" t="s">
        <v>977</v>
      </c>
      <c r="J22" s="1055" t="str">
        <f>IF(G3&gt;10,D113,"——")</f>
        <v>——</v>
      </c>
      <c r="K22" s="3004"/>
      <c r="L22" s="1468"/>
      <c r="M22" s="1468"/>
      <c r="N22" s="1465" t="s">
        <v>978</v>
      </c>
      <c r="O22" s="1528"/>
      <c r="P22" s="2616">
        <f>SUMPRODUCT((地价!A3:A31=YEAR(G19)&amp;"-"&amp;ROUNDUP(MONTH(G19)/3,0))*(地价!AD2:AH2=N22)*(地价!AD3:AH31))</f>
        <v>1.2E-2</v>
      </c>
      <c r="Q22" s="2763"/>
      <c r="R22" s="2179"/>
      <c r="S22" s="2179"/>
      <c r="T22" s="2179"/>
      <c r="U22" s="2179"/>
      <c r="V22" s="2179"/>
      <c r="W22" s="2179"/>
      <c r="X22" s="2179"/>
      <c r="Y22" s="1459"/>
      <c r="Z22" s="1459"/>
      <c r="AA22" s="1459"/>
      <c r="AB22" s="1459"/>
      <c r="AC22" s="1459"/>
      <c r="AD22" s="1459"/>
    </row>
    <row r="23" spans="1:40" ht="15.75" thickBot="1">
      <c r="A23" s="1627" t="s">
        <v>1871</v>
      </c>
      <c r="B23" s="1470" t="s">
        <v>979</v>
      </c>
      <c r="C23" s="1056">
        <f>ROUND(IF(G3&gt;1,IF(I3&lt;7,SUMPRODUCT((B93:B98=I3)*(C92:N92=G2)*(C93:N98)),SUMIF(C92:N92,G2,C100:N100)),IF(I3&lt;7,SUMPRODUCT((B102:B107=I3)*(C92:N92=G2)*(C102:N107)),SUMIF(C92:N92,G2,C109:N109))),4)</f>
        <v>1.8629</v>
      </c>
      <c r="D23" s="1516"/>
      <c r="E23" s="1516"/>
      <c r="F23" s="1517"/>
      <c r="G23" s="1518"/>
      <c r="H23" s="1519"/>
      <c r="I23" s="1520"/>
      <c r="J23" s="1520"/>
      <c r="K23" s="3005"/>
      <c r="L23" s="1396"/>
      <c r="M23" s="1396"/>
      <c r="N23" s="1465" t="s">
        <v>923</v>
      </c>
      <c r="O23" s="1528"/>
      <c r="P23" s="2616">
        <f>SUMPRODUCT((地价!A3:A31=YEAR(G19)&amp;"-"&amp;ROUNDUP(MONTH(G19)/3,0))*(地价!AD2:AH2=N23)*(地价!AD3:AH31))</f>
        <v>1.9699999999999999E-2</v>
      </c>
      <c r="Q23" s="2763"/>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7">
        <f>SUMIF(A44:A87,E2,B44:B87)</f>
        <v>1.024</v>
      </c>
      <c r="D24" s="1521"/>
      <c r="E24" s="1522"/>
      <c r="F24" s="1522"/>
      <c r="G24" s="1522"/>
      <c r="H24" s="1522"/>
      <c r="I24" s="1522"/>
      <c r="J24" s="1522"/>
      <c r="K24" s="3005"/>
      <c r="L24" s="1468"/>
      <c r="M24" s="1468"/>
      <c r="N24" s="1465" t="s">
        <v>981</v>
      </c>
      <c r="O24" s="3009"/>
      <c r="P24" s="2616">
        <f>SUMPRODUCT((地价!A3:A31=YEAR(G19)&amp;"-"&amp;ROUNDUP(MONTH(G19)/3,0))*(地价!AD2:AH2=N24)*(地价!AD3:AH31))</f>
        <v>1.2699999999999999E-2</v>
      </c>
      <c r="Q24" s="2763"/>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011" t="s">
        <v>2644</v>
      </c>
      <c r="O25" s="3012"/>
      <c r="P25" s="2410">
        <f>SUMPRODUCT((地价!A3:A31=YEAR(G19)&amp;"-"&amp;ROUNDUP(MONTH(G19)/3,0))*(地价!AD2:AH2=N25)*(地价!AD3:AH31))</f>
        <v>1.7899999999999999E-2</v>
      </c>
      <c r="Q25" s="2763"/>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986</v>
      </c>
      <c r="C26" s="1058">
        <f ca="1">E29+SUM(E33:E39)</f>
        <v>1329832</v>
      </c>
      <c r="D26" s="1476"/>
      <c r="E26" s="1451"/>
      <c r="F26" s="1477"/>
      <c r="G26" s="1451"/>
      <c r="H26" s="1451"/>
      <c r="I26" s="1451"/>
      <c r="J26" s="1478"/>
      <c r="K26" s="1451"/>
      <c r="L26" s="1582" t="s">
        <v>898</v>
      </c>
      <c r="M26" s="1423" t="s">
        <v>983</v>
      </c>
      <c r="N26" s="1423" t="s">
        <v>984</v>
      </c>
      <c r="O26" s="1423" t="s">
        <v>902</v>
      </c>
      <c r="P26" s="1463" t="s">
        <v>985</v>
      </c>
      <c r="Q26" s="2763"/>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59">
        <f ca="1">E30+SUM(I33:I39)</f>
        <v>332504</v>
      </c>
      <c r="D27" s="1480"/>
      <c r="E27" s="1481"/>
      <c r="F27" s="1482"/>
      <c r="G27" s="1481"/>
      <c r="H27" s="1481"/>
      <c r="I27" s="1481"/>
      <c r="J27" s="1483"/>
      <c r="K27" s="1451"/>
      <c r="L27" s="1455" t="s">
        <v>987</v>
      </c>
      <c r="M27" s="1046">
        <v>0.25</v>
      </c>
      <c r="N27" s="1046">
        <v>0.2</v>
      </c>
      <c r="O27" s="1046">
        <v>0.15</v>
      </c>
      <c r="P27" s="1525">
        <v>0.1</v>
      </c>
      <c r="Q27" s="2179"/>
      <c r="R27" s="2763"/>
      <c r="S27" s="2763"/>
      <c r="T27" s="2763"/>
      <c r="U27" s="2763"/>
      <c r="V27" s="2763"/>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763"/>
      <c r="S28" s="2763"/>
      <c r="T28" s="2763"/>
      <c r="U28" s="2763"/>
      <c r="V28" s="2763"/>
      <c r="W28" s="2179"/>
      <c r="X28" s="2179"/>
      <c r="Y28" s="2179"/>
      <c r="Z28" s="2179"/>
      <c r="AA28" s="2179"/>
      <c r="AB28" s="2179"/>
      <c r="AC28" s="2179"/>
      <c r="AD28" s="1459"/>
      <c r="AE28" s="1459"/>
      <c r="AF28" s="1459"/>
      <c r="AG28" s="1459"/>
    </row>
    <row r="29" spans="1:40" ht="32.25" customHeight="1">
      <c r="A29" s="1488"/>
      <c r="B29" s="1489" t="s">
        <v>993</v>
      </c>
      <c r="C29" s="1058">
        <f ca="1">ROUND(C5*C18*C19*C20*C21*C24,0)</f>
        <v>11463</v>
      </c>
      <c r="D29" s="1490">
        <f>'数据-汇总表'!F19</f>
        <v>986259</v>
      </c>
      <c r="E29" s="1833">
        <f ca="1">ROUND(C29*D29/10000,0)</f>
        <v>1130549</v>
      </c>
      <c r="F29" s="1491" t="s">
        <v>1701</v>
      </c>
      <c r="G29" s="1492"/>
      <c r="H29" s="1492"/>
      <c r="I29" s="1492"/>
      <c r="J29" s="1493"/>
      <c r="K29" s="3006"/>
      <c r="L29" s="3006"/>
      <c r="M29" s="3006"/>
      <c r="N29" s="3006"/>
      <c r="O29" s="3006"/>
      <c r="P29" s="1396"/>
      <c r="Q29" s="2179"/>
      <c r="R29" s="2179"/>
      <c r="S29" s="2179"/>
      <c r="T29" s="2179"/>
      <c r="U29" s="2179"/>
      <c r="V29" s="2179"/>
      <c r="W29" s="2763"/>
      <c r="X29" s="2763"/>
      <c r="Y29" s="2763"/>
      <c r="Z29" s="2763"/>
      <c r="AA29" s="2763"/>
      <c r="AB29" s="2179"/>
      <c r="AC29" s="2179"/>
      <c r="AD29" s="2179"/>
      <c r="AE29" s="2179"/>
      <c r="AF29" s="2179"/>
      <c r="AG29" s="2179"/>
      <c r="AH29" s="2179"/>
      <c r="AJ29" s="1398"/>
      <c r="AK29" s="1398"/>
      <c r="AL29" s="1398"/>
      <c r="AM29" s="1397"/>
      <c r="AN29" s="1397"/>
    </row>
    <row r="30" spans="1:40" ht="24.75" thickBot="1">
      <c r="A30" s="1494"/>
      <c r="B30" s="1495" t="s">
        <v>994</v>
      </c>
      <c r="C30" s="1050">
        <f ca="1">ROUND(IF(E2="工业",C29*M39,C29*M38),0)</f>
        <v>2866</v>
      </c>
      <c r="D30" s="1496">
        <f>D29</f>
        <v>986259</v>
      </c>
      <c r="E30" s="1833">
        <f ca="1">ROUND(C30*D30/10000,0)</f>
        <v>282662</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007"/>
      <c r="L32" s="3007"/>
      <c r="M32" s="3007"/>
      <c r="N32" s="3007"/>
      <c r="O32" s="3007"/>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48" t="s">
        <v>2957</v>
      </c>
      <c r="B33" s="1510" t="s">
        <v>999</v>
      </c>
      <c r="C33" s="1058">
        <f ca="1">ROUND(D5*C19*C20*C24*F33,0)</f>
        <v>7470</v>
      </c>
      <c r="D33" s="1523"/>
      <c r="E33" s="1047">
        <f ca="1">ROUND(C33*D33/10000,0)</f>
        <v>0</v>
      </c>
      <c r="F33" s="1047">
        <f>SUMIF(修正!A45:A56,G2,修正!B45:B56)</f>
        <v>0.7</v>
      </c>
      <c r="G33" s="1047">
        <f t="shared" ref="G33" ca="1" si="6">ROUND(IF(E2="工业",C33*$M$39,C33*$M$38),0)</f>
        <v>1868</v>
      </c>
      <c r="H33" s="1047">
        <f>D33</f>
        <v>0</v>
      </c>
      <c r="I33" s="1047">
        <f ca="1">ROUND(G33*H33/10000,0)</f>
        <v>0</v>
      </c>
      <c r="J33" s="1511"/>
      <c r="K33" s="3008"/>
      <c r="L33" s="3008"/>
      <c r="M33" s="3008"/>
      <c r="N33" s="3008"/>
      <c r="O33" s="3008"/>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49"/>
      <c r="B34" s="1440" t="s">
        <v>1000</v>
      </c>
      <c r="C34" s="1058">
        <f ca="1">ROUND(D5*C19*C20*C24*F34,0)</f>
        <v>4269</v>
      </c>
      <c r="D34" s="1523"/>
      <c r="E34" s="1047">
        <f t="shared" ref="E34:E39" ca="1" si="7">ROUND(C34*D34/10000,0)</f>
        <v>0</v>
      </c>
      <c r="F34" s="1047">
        <f>SUMIF(修正!A45:A56,G2,修正!C45:C56)</f>
        <v>0.4</v>
      </c>
      <c r="G34" s="1047">
        <f ca="1">ROUND(IF(E2="工业",C34*$M$39,C34*$M$38),0)</f>
        <v>1067</v>
      </c>
      <c r="H34" s="1047">
        <f t="shared" ref="H34:H39" si="8">D34</f>
        <v>0</v>
      </c>
      <c r="I34" s="1047">
        <f t="shared" ref="I34:I39" ca="1" si="9">ROUND(G34*H34/10000,0)</f>
        <v>0</v>
      </c>
      <c r="J34" s="1511"/>
      <c r="K34" s="3008"/>
      <c r="L34" s="3008"/>
      <c r="M34" s="3008"/>
      <c r="N34" s="3008"/>
      <c r="O34" s="3008"/>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49"/>
      <c r="B35" s="1440" t="s">
        <v>1001</v>
      </c>
      <c r="C35" s="1058">
        <f ca="1">ROUND(D5*C19*C20*C24*F35,0)</f>
        <v>2988</v>
      </c>
      <c r="D35" s="1523"/>
      <c r="E35" s="1047">
        <f t="shared" ca="1" si="7"/>
        <v>0</v>
      </c>
      <c r="F35" s="1047">
        <f>SUMIF(修正!A45:A56,G2,修正!D45:D56)</f>
        <v>0.28000000000000003</v>
      </c>
      <c r="G35" s="1047">
        <f ca="1">ROUND(IF(E2="工业",C35*$M$39,C35*$M$38),0)</f>
        <v>747</v>
      </c>
      <c r="H35" s="1047">
        <f t="shared" si="8"/>
        <v>0</v>
      </c>
      <c r="I35" s="1047">
        <f t="shared" ca="1" si="9"/>
        <v>0</v>
      </c>
      <c r="J35" s="1511"/>
      <c r="K35" s="3008"/>
      <c r="L35" s="3008"/>
      <c r="M35" s="3008"/>
      <c r="N35" s="3008"/>
      <c r="O35" s="3008"/>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50"/>
      <c r="B36" s="1440" t="s">
        <v>1002</v>
      </c>
      <c r="C36" s="1058">
        <f ca="1">ROUND(D5*C19*C20*C24*F36,0)</f>
        <v>2668</v>
      </c>
      <c r="D36" s="1523"/>
      <c r="E36" s="1047">
        <f t="shared" ca="1" si="7"/>
        <v>0</v>
      </c>
      <c r="F36" s="1047">
        <f>SUMIF(修正!A45:A56,G2,修正!E45:E56)</f>
        <v>0.25</v>
      </c>
      <c r="G36" s="1047">
        <f ca="1">ROUND(IF(E2="工业",C36*$M$39,C36*$M$38),0)</f>
        <v>667</v>
      </c>
      <c r="H36" s="1047">
        <f t="shared" si="8"/>
        <v>0</v>
      </c>
      <c r="I36" s="1047">
        <f t="shared" ca="1" si="9"/>
        <v>0</v>
      </c>
      <c r="J36" s="1511"/>
      <c r="K36" s="3008"/>
      <c r="L36" s="3008"/>
      <c r="M36" s="3008"/>
      <c r="N36" s="3008"/>
      <c r="O36" s="3008"/>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1003</v>
      </c>
      <c r="C37" s="1047">
        <f ca="1">ROUND(D5*C19*C20*C24*F37,0)</f>
        <v>2668</v>
      </c>
      <c r="D37" s="1523"/>
      <c r="E37" s="1047">
        <f t="shared" ca="1" si="7"/>
        <v>0</v>
      </c>
      <c r="F37" s="1058">
        <f>SUMIF(修正!A45:A56,G2,修正!F45:F56)</f>
        <v>0.25</v>
      </c>
      <c r="G37" s="1047">
        <f ca="1">ROUND(IF(E2="工业",C37*$M$39,C37*$M$38),0)</f>
        <v>667</v>
      </c>
      <c r="H37" s="1047">
        <f t="shared" si="8"/>
        <v>0</v>
      </c>
      <c r="I37" s="1047">
        <f t="shared" ca="1" si="9"/>
        <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1004</v>
      </c>
      <c r="C38" s="1047">
        <f ca="1">ROUND(D5*C19*C41*C24*F38,0)</f>
        <v>2668</v>
      </c>
      <c r="D38" s="1523">
        <f>'数据-汇总表'!G22</f>
        <v>415000</v>
      </c>
      <c r="E38" s="1047">
        <f t="shared" ca="1" si="7"/>
        <v>110722</v>
      </c>
      <c r="F38" s="1058">
        <f>SUMIF(修正!A45:A56,G2,修正!G45:G56)</f>
        <v>0.25</v>
      </c>
      <c r="G38" s="1047">
        <f ca="1">ROUND(IF(E2="工业",C38*$M$39,C38*$M$38),0)</f>
        <v>667</v>
      </c>
      <c r="H38" s="1047">
        <f t="shared" si="8"/>
        <v>415000</v>
      </c>
      <c r="I38" s="1047">
        <f t="shared" ca="1" si="9"/>
        <v>27681</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1005</v>
      </c>
      <c r="C39" s="1050">
        <f ca="1">ROUND(D5*C19*C41*C24*F39,0)</f>
        <v>2134</v>
      </c>
      <c r="D39" s="1524">
        <f>'数据-汇总表'!G23</f>
        <v>415000</v>
      </c>
      <c r="E39" s="1050">
        <f t="shared" ca="1" si="7"/>
        <v>88561</v>
      </c>
      <c r="F39" s="1060">
        <f>SUMIF(修正!A45:A56,G2,修正!H45:H56)</f>
        <v>0.2</v>
      </c>
      <c r="G39" s="1050">
        <f ca="1">ROUND(IF(E2="工业",C39*$M$39,C39*$M$38),0)</f>
        <v>534</v>
      </c>
      <c r="H39" s="1050">
        <f t="shared" si="8"/>
        <v>415000</v>
      </c>
      <c r="I39" s="1050">
        <f t="shared" ca="1" si="9"/>
        <v>22161</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2999" t="s">
        <v>2981</v>
      </c>
      <c r="C41" s="838">
        <f ca="1">ROUND(POWER(1+E41,H41-G41)*(POWER(1+E41,G41)-1)/(POWER(1+E41,H41)-1),4)</f>
        <v>1</v>
      </c>
      <c r="D41" s="377" t="s">
        <v>2979</v>
      </c>
      <c r="E41" s="2998">
        <f ca="1">G20</f>
        <v>0.05</v>
      </c>
      <c r="F41" s="377" t="s">
        <v>2980</v>
      </c>
      <c r="G41" s="395">
        <v>50</v>
      </c>
      <c r="H41" s="377">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hidden="1">
      <c r="A45" s="2387" t="s">
        <v>1007</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hidden="1">
      <c r="A46" s="1062" t="s">
        <v>1008</v>
      </c>
      <c r="B46" s="2371" t="s">
        <v>1009</v>
      </c>
      <c r="C46" s="2393" t="s">
        <v>1010</v>
      </c>
      <c r="D46" s="2394" t="s">
        <v>1011</v>
      </c>
      <c r="E46" s="2395" t="s">
        <v>1013</v>
      </c>
      <c r="F46" s="2396" t="s">
        <v>2248</v>
      </c>
      <c r="G46" s="2394" t="s">
        <v>1014</v>
      </c>
      <c r="H46" s="2377" t="s">
        <v>2415</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hidden="1">
      <c r="A47" s="1062" t="s">
        <v>1020</v>
      </c>
      <c r="B47" s="2374" t="str">
        <f>估价对象房地状况!C16</f>
        <v>估价对象位于XX商圈，周边商业氛围成熟，人流量大，商业繁华度好</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hidden="1">
      <c r="A48" s="1062" t="s">
        <v>1021</v>
      </c>
      <c r="B48" s="2371" t="str">
        <f>估价对象房地状况!C18</f>
        <v>估价对象周边道路状况、公共交通通达情况、停车便捷程度，综合评价交通便捷度较好</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hidden="1">
      <c r="A49" s="1062" t="s">
        <v>1022</v>
      </c>
      <c r="B49" s="2371">
        <f>估价对象房地状况!C19</f>
        <v>0</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hidden="1">
      <c r="A50" s="1062" t="s">
        <v>1023</v>
      </c>
      <c r="B50" s="2925" t="s">
        <v>2934</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hidden="1">
      <c r="A51" s="1062" t="s">
        <v>1024</v>
      </c>
      <c r="B51" s="2371">
        <f>估价对象房地状况!C24</f>
        <v>0</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hidden="1">
      <c r="A52" s="1062" t="s">
        <v>1025</v>
      </c>
      <c r="B52" s="2924" t="s">
        <v>2933</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hidden="1">
      <c r="A53" s="2403" t="s">
        <v>1026</v>
      </c>
      <c r="B53" s="2372" t="str">
        <f>估价对象房地状况!C21</f>
        <v>估价对象所在区域公共配套设施齐备情况</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hidden="1">
      <c r="A54" s="2403" t="s">
        <v>1027</v>
      </c>
      <c r="B54" s="2371" t="str">
        <f>估价对象房地状况!C22</f>
        <v>估价对象所在区域基础设施水平</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hidden="1" thickBot="1">
      <c r="A55" s="2404" t="s">
        <v>1028</v>
      </c>
      <c r="B55" s="2375" t="str">
        <f>估价对象房地状况!C20</f>
        <v>区域自然环境：；人文环境；综合评价环境状况一般</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hidden="1">
      <c r="A56" s="2387" t="s">
        <v>1029</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hidden="1">
      <c r="A57" s="1062" t="s">
        <v>1008</v>
      </c>
      <c r="B57" s="2371"/>
      <c r="C57" s="2393" t="s">
        <v>1010</v>
      </c>
      <c r="D57" s="2394" t="s">
        <v>1011</v>
      </c>
      <c r="E57" s="2395" t="s">
        <v>1013</v>
      </c>
      <c r="F57" s="2396" t="s">
        <v>2249</v>
      </c>
      <c r="G57" s="2394" t="s">
        <v>1014</v>
      </c>
      <c r="H57" s="2377" t="s">
        <v>2415</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hidden="1">
      <c r="A58" s="1062" t="s">
        <v>1030</v>
      </c>
      <c r="B58" s="2374" t="str">
        <f>估价对象房地状况!C17</f>
        <v>估价对象位于XX商圈，周边办公楼项目较多，入驻率高，办公集聚程度较好</v>
      </c>
      <c r="C58" s="1049"/>
      <c r="D58" s="2380">
        <f t="shared" ref="D58:D66" si="15">SUMIF($J$57:$N$57,C58,J58:N58)</f>
        <v>0</v>
      </c>
      <c r="E58" s="2399">
        <f>ROUND(SUM(D58:D66),4)</f>
        <v>0</v>
      </c>
      <c r="F58" s="2400" t="str">
        <f>IF(E2="办公",SUMIF(L1:L12,G2,N1:N12),"——")</f>
        <v>——</v>
      </c>
      <c r="G58" s="2378" t="str">
        <f>H58</f>
        <v>——</v>
      </c>
      <c r="H58" s="2424" t="str">
        <f>IFERROR(ROUNDDOWN($F$58*I58/2,4),"——")</f>
        <v>——</v>
      </c>
      <c r="I58" s="2398">
        <v>0.24</v>
      </c>
      <c r="J58" s="2401" t="e">
        <f t="shared" ref="J58:J66" si="16">K58+$G58</f>
        <v>#VALUE!</v>
      </c>
      <c r="K58" s="2401" t="e">
        <f t="shared" ref="K58:K66" si="17">$L58+$G58</f>
        <v>#VALUE!</v>
      </c>
      <c r="L58" s="2401">
        <v>0</v>
      </c>
      <c r="M58" s="2401" t="e">
        <f t="shared" ref="M58:N66" si="18">L58-$G58</f>
        <v>#VALUE!</v>
      </c>
      <c r="N58" s="2401" t="e">
        <f t="shared" si="18"/>
        <v>#VALUE!</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hidden="1">
      <c r="A59" s="1062" t="s">
        <v>1021</v>
      </c>
      <c r="B59" s="2371" t="str">
        <f>估价对象房地状况!C18</f>
        <v>估价对象周边道路状况、公共交通通达情况、停车便捷程度，综合评价交通便捷度较好</v>
      </c>
      <c r="C59" s="1049"/>
      <c r="D59" s="2380">
        <f t="shared" si="15"/>
        <v>0</v>
      </c>
      <c r="E59" s="2402"/>
      <c r="F59" s="2400"/>
      <c r="G59" s="2378" t="str">
        <f t="shared" ref="G59:G66" si="19">H59</f>
        <v>——</v>
      </c>
      <c r="H59" s="2379" t="str">
        <f t="shared" ref="H59:H66" si="20">IFERROR($F$58*I59/2,"——")</f>
        <v>——</v>
      </c>
      <c r="I59" s="2398">
        <v>0.3</v>
      </c>
      <c r="J59" s="2401" t="e">
        <f t="shared" si="16"/>
        <v>#VALUE!</v>
      </c>
      <c r="K59" s="2401" t="e">
        <f t="shared" si="17"/>
        <v>#VALUE!</v>
      </c>
      <c r="L59" s="2401">
        <v>0</v>
      </c>
      <c r="M59" s="2401" t="e">
        <f t="shared" si="18"/>
        <v>#VALUE!</v>
      </c>
      <c r="N59" s="2401" t="e">
        <f t="shared" si="18"/>
        <v>#VALUE!</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hidden="1">
      <c r="A60" s="1062" t="s">
        <v>1022</v>
      </c>
      <c r="B60" s="2371">
        <f>估价对象房地状况!C19</f>
        <v>0</v>
      </c>
      <c r="C60" s="1049"/>
      <c r="D60" s="2380">
        <f t="shared" si="15"/>
        <v>0</v>
      </c>
      <c r="E60" s="2402"/>
      <c r="F60" s="2400"/>
      <c r="G60" s="2378" t="str">
        <f t="shared" si="19"/>
        <v>——</v>
      </c>
      <c r="H60" s="2379" t="str">
        <f t="shared" si="20"/>
        <v>——</v>
      </c>
      <c r="I60" s="2398">
        <v>0.08</v>
      </c>
      <c r="J60" s="2401" t="e">
        <f t="shared" si="16"/>
        <v>#VALUE!</v>
      </c>
      <c r="K60" s="2401" t="e">
        <f t="shared" si="17"/>
        <v>#VALUE!</v>
      </c>
      <c r="L60" s="2401">
        <v>0</v>
      </c>
      <c r="M60" s="2401" t="e">
        <f t="shared" si="18"/>
        <v>#VALUE!</v>
      </c>
      <c r="N60" s="2401" t="e">
        <f t="shared" si="18"/>
        <v>#VALUE!</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hidden="1">
      <c r="A61" s="1062" t="s">
        <v>1023</v>
      </c>
      <c r="B61" s="2925" t="s">
        <v>2935</v>
      </c>
      <c r="C61" s="1049"/>
      <c r="D61" s="2380">
        <f t="shared" si="15"/>
        <v>0</v>
      </c>
      <c r="E61" s="2402"/>
      <c r="F61" s="2400"/>
      <c r="G61" s="2378" t="str">
        <f t="shared" si="19"/>
        <v>——</v>
      </c>
      <c r="H61" s="2379" t="str">
        <f t="shared" si="20"/>
        <v>——</v>
      </c>
      <c r="I61" s="2398">
        <v>0.04</v>
      </c>
      <c r="J61" s="2401" t="e">
        <f t="shared" si="16"/>
        <v>#VALUE!</v>
      </c>
      <c r="K61" s="2401" t="e">
        <f t="shared" si="17"/>
        <v>#VALUE!</v>
      </c>
      <c r="L61" s="2401">
        <v>0</v>
      </c>
      <c r="M61" s="2401" t="e">
        <f t="shared" si="18"/>
        <v>#VALUE!</v>
      </c>
      <c r="N61" s="2401" t="e">
        <f t="shared" si="18"/>
        <v>#VALUE!</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hidden="1">
      <c r="A62" s="1062" t="s">
        <v>1024</v>
      </c>
      <c r="B62" s="2371">
        <f>估价对象房地状况!C24</f>
        <v>0</v>
      </c>
      <c r="C62" s="1049"/>
      <c r="D62" s="2380">
        <f t="shared" si="15"/>
        <v>0</v>
      </c>
      <c r="E62" s="2402"/>
      <c r="F62" s="2400"/>
      <c r="G62" s="2378" t="str">
        <f t="shared" si="19"/>
        <v>——</v>
      </c>
      <c r="H62" s="2379" t="str">
        <f t="shared" si="20"/>
        <v>——</v>
      </c>
      <c r="I62" s="2398">
        <v>0.05</v>
      </c>
      <c r="J62" s="2401" t="e">
        <f t="shared" si="16"/>
        <v>#VALUE!</v>
      </c>
      <c r="K62" s="2401" t="e">
        <f t="shared" si="17"/>
        <v>#VALUE!</v>
      </c>
      <c r="L62" s="2401">
        <v>0</v>
      </c>
      <c r="M62" s="2401" t="e">
        <f t="shared" si="18"/>
        <v>#VALUE!</v>
      </c>
      <c r="N62" s="2401" t="e">
        <f t="shared" si="18"/>
        <v>#VALUE!</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hidden="1">
      <c r="A63" s="1062" t="s">
        <v>1025</v>
      </c>
      <c r="B63" s="2924" t="s">
        <v>2933</v>
      </c>
      <c r="C63" s="1049"/>
      <c r="D63" s="2380">
        <f t="shared" si="15"/>
        <v>0</v>
      </c>
      <c r="E63" s="2402"/>
      <c r="F63" s="2400"/>
      <c r="G63" s="2378" t="str">
        <f t="shared" si="19"/>
        <v>——</v>
      </c>
      <c r="H63" s="2379" t="str">
        <f t="shared" si="20"/>
        <v>——</v>
      </c>
      <c r="I63" s="2398">
        <v>0.05</v>
      </c>
      <c r="J63" s="2401" t="e">
        <f t="shared" si="16"/>
        <v>#VALUE!</v>
      </c>
      <c r="K63" s="2401" t="e">
        <f t="shared" si="17"/>
        <v>#VALUE!</v>
      </c>
      <c r="L63" s="2401">
        <v>0</v>
      </c>
      <c r="M63" s="2401" t="e">
        <f t="shared" si="18"/>
        <v>#VALUE!</v>
      </c>
      <c r="N63" s="2401" t="e">
        <f t="shared" si="18"/>
        <v>#VALUE!</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hidden="1">
      <c r="A64" s="1062" t="s">
        <v>1026</v>
      </c>
      <c r="B64" s="2372" t="str">
        <f>估价对象房地状况!C21</f>
        <v>估价对象所在区域公共配套设施齐备情况</v>
      </c>
      <c r="C64" s="1049"/>
      <c r="D64" s="2380">
        <f t="shared" si="15"/>
        <v>0</v>
      </c>
      <c r="E64" s="2402"/>
      <c r="F64" s="2400"/>
      <c r="G64" s="2378" t="str">
        <f t="shared" si="19"/>
        <v>——</v>
      </c>
      <c r="H64" s="2379" t="str">
        <f t="shared" si="20"/>
        <v>——</v>
      </c>
      <c r="I64" s="2398">
        <v>0.06</v>
      </c>
      <c r="J64" s="2401" t="e">
        <f t="shared" si="16"/>
        <v>#VALUE!</v>
      </c>
      <c r="K64" s="2401" t="e">
        <f t="shared" si="17"/>
        <v>#VALUE!</v>
      </c>
      <c r="L64" s="2401">
        <v>0</v>
      </c>
      <c r="M64" s="2401" t="e">
        <f t="shared" si="18"/>
        <v>#VALUE!</v>
      </c>
      <c r="N64" s="2401" t="e">
        <f t="shared" si="18"/>
        <v>#VALUE!</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hidden="1">
      <c r="A65" s="1062" t="s">
        <v>1027</v>
      </c>
      <c r="B65" s="2372" t="str">
        <f>估价对象房地状况!C22</f>
        <v>估价对象所在区域基础设施水平</v>
      </c>
      <c r="C65" s="1049"/>
      <c r="D65" s="2380">
        <f t="shared" si="15"/>
        <v>0</v>
      </c>
      <c r="E65" s="2402"/>
      <c r="F65" s="2400"/>
      <c r="G65" s="2378" t="str">
        <f t="shared" si="19"/>
        <v>——</v>
      </c>
      <c r="H65" s="2379" t="str">
        <f t="shared" si="20"/>
        <v>——</v>
      </c>
      <c r="I65" s="2398">
        <v>0.12</v>
      </c>
      <c r="J65" s="2401" t="e">
        <f t="shared" si="16"/>
        <v>#VALUE!</v>
      </c>
      <c r="K65" s="2401" t="e">
        <f t="shared" si="17"/>
        <v>#VALUE!</v>
      </c>
      <c r="L65" s="2401">
        <v>0</v>
      </c>
      <c r="M65" s="2401" t="e">
        <f t="shared" si="18"/>
        <v>#VALUE!</v>
      </c>
      <c r="N65" s="2401" t="e">
        <f t="shared" si="18"/>
        <v>#VALUE!</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hidden="1" thickBot="1">
      <c r="A66" s="2404" t="s">
        <v>1028</v>
      </c>
      <c r="B66" s="2376" t="str">
        <f>估价对象房地状况!C20</f>
        <v>区域自然环境：；人文环境；综合评价环境状况一般</v>
      </c>
      <c r="C66" s="1049"/>
      <c r="D66" s="2380">
        <f t="shared" si="15"/>
        <v>0</v>
      </c>
      <c r="E66" s="2406"/>
      <c r="F66" s="2400"/>
      <c r="G66" s="2378" t="str">
        <f t="shared" si="19"/>
        <v>——</v>
      </c>
      <c r="H66" s="2379" t="str">
        <f t="shared" si="20"/>
        <v>——</v>
      </c>
      <c r="I66" s="2405">
        <v>0.06</v>
      </c>
      <c r="J66" s="2401" t="e">
        <f t="shared" si="16"/>
        <v>#VALUE!</v>
      </c>
      <c r="K66" s="2401" t="e">
        <f t="shared" si="17"/>
        <v>#VALUE!</v>
      </c>
      <c r="L66" s="2401">
        <v>0</v>
      </c>
      <c r="M66" s="2401" t="e">
        <f t="shared" si="18"/>
        <v>#VALUE!</v>
      </c>
      <c r="N66" s="2401" t="e">
        <f t="shared" si="18"/>
        <v>#VALUE!</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1031</v>
      </c>
      <c r="B67" s="2388">
        <f>1+E69</f>
        <v>1.024</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2" t="s">
        <v>1008</v>
      </c>
      <c r="B68" s="2371"/>
      <c r="C68" s="2393" t="s">
        <v>1010</v>
      </c>
      <c r="D68" s="2394" t="s">
        <v>1011</v>
      </c>
      <c r="E68" s="2395" t="s">
        <v>1013</v>
      </c>
      <c r="F68" s="2396" t="s">
        <v>2250</v>
      </c>
      <c r="G68" s="2394" t="s">
        <v>1014</v>
      </c>
      <c r="H68" s="2377" t="s">
        <v>2415</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c r="A69" s="1062" t="s">
        <v>1032</v>
      </c>
      <c r="B69" s="2374" t="str">
        <f>估价对象房地状况!C15</f>
        <v>估价对象周边居住用地比例、居住小区规模和社区发展完善程度，综合评价居住社区成熟度一般</v>
      </c>
      <c r="C69" s="1154" t="s">
        <v>3016</v>
      </c>
      <c r="D69" s="2380">
        <f t="shared" ref="D69:D77" si="21">SUMIF($J$68:$N$68,C69,J69:N69)</f>
        <v>0</v>
      </c>
      <c r="E69" s="2399">
        <f>ROUND(SUM(D69:D77),4)</f>
        <v>2.4E-2</v>
      </c>
      <c r="F69" s="2400">
        <f>IF(E2="住宅",SUMIF(L1:L12,G2,N1:N12),"——")</f>
        <v>0.13</v>
      </c>
      <c r="G69" s="2381">
        <f>H69</f>
        <v>9.1000000000000004E-3</v>
      </c>
      <c r="H69" s="2425">
        <f t="shared" ref="H69:H77" si="22">IFERROR(ROUNDDOWN($F$69*I69/2,4),"——")</f>
        <v>9.1000000000000004E-3</v>
      </c>
      <c r="I69" s="2398">
        <v>0.14000000000000001</v>
      </c>
      <c r="J69" s="2401">
        <f t="shared" ref="J69:J77" si="23">K69+$G69</f>
        <v>1.8200000000000001E-2</v>
      </c>
      <c r="K69" s="2401">
        <f t="shared" ref="K69:K77" si="24">$L69+$G69</f>
        <v>9.1000000000000004E-3</v>
      </c>
      <c r="L69" s="2401">
        <v>0</v>
      </c>
      <c r="M69" s="2401">
        <f t="shared" ref="M69:N77" si="25">L69-$G69</f>
        <v>-9.1000000000000004E-3</v>
      </c>
      <c r="N69" s="2401">
        <f t="shared" si="25"/>
        <v>-1.8200000000000001E-2</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2" t="s">
        <v>1033</v>
      </c>
      <c r="B70" s="2371" t="str">
        <f>估价对象房地状况!C18</f>
        <v>估价对象周边道路状况、公共交通通达情况、停车便捷程度，综合评价交通便捷度较好</v>
      </c>
      <c r="C70" s="1154" t="s">
        <v>3016</v>
      </c>
      <c r="D70" s="2380">
        <f t="shared" si="21"/>
        <v>0</v>
      </c>
      <c r="E70" s="2408"/>
      <c r="F70" s="2409"/>
      <c r="G70" s="2381">
        <f t="shared" ref="G70:G76" si="26">H70</f>
        <v>1.95E-2</v>
      </c>
      <c r="H70" s="2425">
        <f t="shared" si="22"/>
        <v>1.95E-2</v>
      </c>
      <c r="I70" s="2398">
        <v>0.3</v>
      </c>
      <c r="J70" s="2401">
        <f t="shared" si="23"/>
        <v>3.9E-2</v>
      </c>
      <c r="K70" s="2401">
        <f t="shared" si="24"/>
        <v>1.95E-2</v>
      </c>
      <c r="L70" s="2401">
        <v>0</v>
      </c>
      <c r="M70" s="2401">
        <f t="shared" si="25"/>
        <v>-1.95E-2</v>
      </c>
      <c r="N70" s="2401">
        <f t="shared" si="25"/>
        <v>-3.9E-2</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2" t="s">
        <v>1022</v>
      </c>
      <c r="B71" s="2371">
        <f>估价对象房地状况!C19</f>
        <v>0</v>
      </c>
      <c r="C71" s="1154" t="s">
        <v>3017</v>
      </c>
      <c r="D71" s="2380">
        <f t="shared" si="21"/>
        <v>5.1999999999999998E-3</v>
      </c>
      <c r="E71" s="2408"/>
      <c r="F71" s="2409"/>
      <c r="G71" s="2381">
        <f t="shared" si="26"/>
        <v>5.1999999999999998E-3</v>
      </c>
      <c r="H71" s="2425">
        <f t="shared" si="22"/>
        <v>5.1999999999999998E-3</v>
      </c>
      <c r="I71" s="2398">
        <v>0.08</v>
      </c>
      <c r="J71" s="2401">
        <f t="shared" si="23"/>
        <v>1.04E-2</v>
      </c>
      <c r="K71" s="2401">
        <f t="shared" si="24"/>
        <v>5.1999999999999998E-3</v>
      </c>
      <c r="L71" s="2401">
        <v>0</v>
      </c>
      <c r="M71" s="2401">
        <f t="shared" si="25"/>
        <v>-5.1999999999999998E-3</v>
      </c>
      <c r="N71" s="2401">
        <f t="shared" si="25"/>
        <v>-1.04E-2</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2" t="s">
        <v>1034</v>
      </c>
      <c r="B72" s="2371">
        <f>估价对象房地状况!C24</f>
        <v>0</v>
      </c>
      <c r="C72" s="1154" t="s">
        <v>3017</v>
      </c>
      <c r="D72" s="2380">
        <f t="shared" si="21"/>
        <v>2.5999999999999999E-3</v>
      </c>
      <c r="E72" s="2408"/>
      <c r="F72" s="2409"/>
      <c r="G72" s="2381">
        <f t="shared" si="26"/>
        <v>2.5999999999999999E-3</v>
      </c>
      <c r="H72" s="2425">
        <f t="shared" si="22"/>
        <v>2.5999999999999999E-3</v>
      </c>
      <c r="I72" s="2398">
        <v>0.04</v>
      </c>
      <c r="J72" s="2401">
        <f t="shared" si="23"/>
        <v>5.1999999999999998E-3</v>
      </c>
      <c r="K72" s="2401">
        <f t="shared" si="24"/>
        <v>2.5999999999999999E-3</v>
      </c>
      <c r="L72" s="2401">
        <v>0</v>
      </c>
      <c r="M72" s="2401">
        <f t="shared" si="25"/>
        <v>-2.5999999999999999E-3</v>
      </c>
      <c r="N72" s="2401">
        <f t="shared" si="25"/>
        <v>-5.1999999999999998E-3</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2" t="s">
        <v>1026</v>
      </c>
      <c r="B73" s="2372" t="str">
        <f>估价对象房地状况!C21</f>
        <v>估价对象所在区域公共配套设施齐备情况</v>
      </c>
      <c r="C73" s="1154" t="s">
        <v>3016</v>
      </c>
      <c r="D73" s="2380">
        <f t="shared" si="21"/>
        <v>0</v>
      </c>
      <c r="E73" s="2408"/>
      <c r="F73" s="2409"/>
      <c r="G73" s="2381">
        <f t="shared" si="26"/>
        <v>5.1999999999999998E-3</v>
      </c>
      <c r="H73" s="2425">
        <f t="shared" si="22"/>
        <v>5.1999999999999998E-3</v>
      </c>
      <c r="I73" s="2398">
        <v>0.08</v>
      </c>
      <c r="J73" s="2401">
        <f t="shared" si="23"/>
        <v>1.04E-2</v>
      </c>
      <c r="K73" s="2401">
        <f t="shared" si="24"/>
        <v>5.1999999999999998E-3</v>
      </c>
      <c r="L73" s="2401">
        <v>0</v>
      </c>
      <c r="M73" s="2401">
        <f t="shared" si="25"/>
        <v>-5.1999999999999998E-3</v>
      </c>
      <c r="N73" s="2401">
        <f t="shared" si="25"/>
        <v>-1.04E-2</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2" t="s">
        <v>1027</v>
      </c>
      <c r="B74" s="2372" t="str">
        <f>估价对象房地状况!C22</f>
        <v>估价对象所在区域基础设施水平</v>
      </c>
      <c r="C74" s="1154" t="s">
        <v>3074</v>
      </c>
      <c r="D74" s="2380">
        <f t="shared" si="21"/>
        <v>1.5599999999999999E-2</v>
      </c>
      <c r="E74" s="2408"/>
      <c r="F74" s="2409"/>
      <c r="G74" s="2381">
        <f t="shared" si="26"/>
        <v>7.7999999999999996E-3</v>
      </c>
      <c r="H74" s="2425">
        <f t="shared" si="22"/>
        <v>7.7999999999999996E-3</v>
      </c>
      <c r="I74" s="2398">
        <v>0.12</v>
      </c>
      <c r="J74" s="2401">
        <f t="shared" si="23"/>
        <v>1.5599999999999999E-2</v>
      </c>
      <c r="K74" s="2401">
        <f t="shared" si="24"/>
        <v>7.7999999999999996E-3</v>
      </c>
      <c r="L74" s="2401">
        <v>0</v>
      </c>
      <c r="M74" s="2401">
        <f t="shared" si="25"/>
        <v>-7.7999999999999996E-3</v>
      </c>
      <c r="N74" s="2401">
        <f t="shared" si="25"/>
        <v>-1.5599999999999999E-2</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2" t="s">
        <v>1025</v>
      </c>
      <c r="B75" s="2924" t="s">
        <v>2933</v>
      </c>
      <c r="C75" s="1154" t="s">
        <v>3017</v>
      </c>
      <c r="D75" s="2380">
        <f t="shared" si="21"/>
        <v>3.2000000000000002E-3</v>
      </c>
      <c r="E75" s="2408"/>
      <c r="F75" s="2409"/>
      <c r="G75" s="2381">
        <f t="shared" si="26"/>
        <v>3.2000000000000002E-3</v>
      </c>
      <c r="H75" s="2425">
        <f t="shared" si="22"/>
        <v>3.2000000000000002E-3</v>
      </c>
      <c r="I75" s="2398">
        <v>0.05</v>
      </c>
      <c r="J75" s="2401">
        <f t="shared" si="23"/>
        <v>6.4000000000000003E-3</v>
      </c>
      <c r="K75" s="2401">
        <f t="shared" si="24"/>
        <v>3.2000000000000002E-3</v>
      </c>
      <c r="L75" s="2401">
        <v>0</v>
      </c>
      <c r="M75" s="2401">
        <f t="shared" si="25"/>
        <v>-3.2000000000000002E-3</v>
      </c>
      <c r="N75" s="2401">
        <f t="shared" si="25"/>
        <v>-6.4000000000000003E-3</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2" t="s">
        <v>1028</v>
      </c>
      <c r="B76" s="2374" t="str">
        <f>估价对象房地状况!C20</f>
        <v>区域自然环境：；人文环境；综合评价环境状况一般</v>
      </c>
      <c r="C76" s="1154" t="s">
        <v>3016</v>
      </c>
      <c r="D76" s="2380">
        <f t="shared" si="21"/>
        <v>0</v>
      </c>
      <c r="E76" s="2408"/>
      <c r="F76" s="2409"/>
      <c r="G76" s="2381">
        <f t="shared" si="26"/>
        <v>9.7000000000000003E-3</v>
      </c>
      <c r="H76" s="2425">
        <f t="shared" si="22"/>
        <v>9.7000000000000003E-3</v>
      </c>
      <c r="I76" s="2398">
        <v>0.15</v>
      </c>
      <c r="J76" s="2401">
        <f t="shared" si="23"/>
        <v>1.9400000000000001E-2</v>
      </c>
      <c r="K76" s="2401">
        <f t="shared" si="24"/>
        <v>9.7000000000000003E-3</v>
      </c>
      <c r="L76" s="2401">
        <v>0</v>
      </c>
      <c r="M76" s="2401">
        <f t="shared" si="25"/>
        <v>-9.7000000000000003E-3</v>
      </c>
      <c r="N76" s="2401">
        <f t="shared" si="25"/>
        <v>-1.9400000000000001E-2</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1035</v>
      </c>
      <c r="B77" s="1834"/>
      <c r="C77" s="1154" t="s">
        <v>3073</v>
      </c>
      <c r="D77" s="2380">
        <f t="shared" si="21"/>
        <v>-2.5999999999999999E-3</v>
      </c>
      <c r="E77" s="2410"/>
      <c r="F77" s="2409"/>
      <c r="G77" s="2381">
        <f>H77</f>
        <v>2.5999999999999999E-3</v>
      </c>
      <c r="H77" s="2425">
        <f t="shared" si="22"/>
        <v>2.5999999999999999E-3</v>
      </c>
      <c r="I77" s="2405">
        <v>0.04</v>
      </c>
      <c r="J77" s="2401">
        <f t="shared" si="23"/>
        <v>5.1999999999999998E-3</v>
      </c>
      <c r="K77" s="2401">
        <f t="shared" si="24"/>
        <v>2.5999999999999999E-3</v>
      </c>
      <c r="L77" s="2401">
        <v>0</v>
      </c>
      <c r="M77" s="2401">
        <f t="shared" si="25"/>
        <v>-2.5999999999999999E-3</v>
      </c>
      <c r="N77" s="2401">
        <f t="shared" si="25"/>
        <v>-5.1999999999999998E-3</v>
      </c>
      <c r="AC77" s="1400"/>
      <c r="AD77" s="1399"/>
      <c r="AJ77" s="1398"/>
      <c r="AN77" s="1399"/>
    </row>
    <row r="78" spans="1:40" ht="15" hidden="1">
      <c r="A78" s="2387" t="s">
        <v>1036</v>
      </c>
      <c r="B78" s="2388">
        <f>1+E80</f>
        <v>1</v>
      </c>
      <c r="C78" s="2407"/>
      <c r="D78" s="2390"/>
      <c r="E78" s="2391"/>
      <c r="F78" s="2392"/>
      <c r="G78" s="2386"/>
      <c r="H78" s="2386"/>
      <c r="I78" s="2386"/>
      <c r="J78" s="1061"/>
      <c r="K78" s="1061"/>
      <c r="L78" s="1061"/>
      <c r="M78" s="1061"/>
      <c r="N78" s="1061"/>
      <c r="AC78" s="1400"/>
      <c r="AD78" s="1399"/>
      <c r="AJ78" s="1398"/>
      <c r="AN78" s="1399"/>
    </row>
    <row r="79" spans="1:40" ht="24" hidden="1">
      <c r="A79" s="1062" t="s">
        <v>1008</v>
      </c>
      <c r="B79" s="2371"/>
      <c r="C79" s="2393" t="s">
        <v>1010</v>
      </c>
      <c r="D79" s="2394" t="s">
        <v>1011</v>
      </c>
      <c r="E79" s="2395" t="s">
        <v>1013</v>
      </c>
      <c r="F79" s="2396" t="s">
        <v>2251</v>
      </c>
      <c r="G79" s="2394" t="s">
        <v>1014</v>
      </c>
      <c r="H79" s="2377" t="s">
        <v>2415</v>
      </c>
      <c r="I79" s="2394" t="s">
        <v>1012</v>
      </c>
      <c r="J79" s="2397" t="s">
        <v>1015</v>
      </c>
      <c r="K79" s="2397" t="s">
        <v>1016</v>
      </c>
      <c r="L79" s="2397" t="s">
        <v>1017</v>
      </c>
      <c r="M79" s="2397" t="s">
        <v>1018</v>
      </c>
      <c r="N79" s="2397" t="s">
        <v>1019</v>
      </c>
      <c r="AC79" s="1400"/>
      <c r="AD79" s="1399"/>
      <c r="AJ79" s="1398"/>
      <c r="AN79" s="1399"/>
    </row>
    <row r="80" spans="1:40" ht="36" hidden="1">
      <c r="A80" s="1062" t="s">
        <v>1037</v>
      </c>
      <c r="B80" s="2371" t="str">
        <f>估价对象房地状况!G15</f>
        <v>估价对象位于XX开发区，园区建设成熟度XX，产业集聚程度XX</v>
      </c>
      <c r="C80" s="1049"/>
      <c r="D80" s="2380">
        <f t="shared" ref="D80:D87" si="27">SUMIF($J$79:$N$79,C80,J80:N80)</f>
        <v>0</v>
      </c>
      <c r="E80" s="2399">
        <f>ROUND(SUM(D80:D87),4)</f>
        <v>0</v>
      </c>
      <c r="F80" s="2400" t="str">
        <f>IF(E2="工业",SUMIF(L1:L12,G2,N1:N12),"——")</f>
        <v>——</v>
      </c>
      <c r="G80" s="2378"/>
      <c r="H80" s="2424" t="str">
        <f t="shared" ref="H80:H87" si="28">IFERROR(ROUNDDOWN($F$80*I80/2,4),"——")</f>
        <v>——</v>
      </c>
      <c r="I80" s="2398">
        <v>0.26</v>
      </c>
      <c r="J80" s="2401">
        <f t="shared" ref="J80:J87" si="29">K80+$G80</f>
        <v>0</v>
      </c>
      <c r="K80" s="2401">
        <f t="shared" ref="K80:K87" si="30">$L80+$G80</f>
        <v>0</v>
      </c>
      <c r="L80" s="2401">
        <v>0</v>
      </c>
      <c r="M80" s="2401">
        <f t="shared" ref="M80:N87" si="31">L80-$G80</f>
        <v>0</v>
      </c>
      <c r="N80" s="2401">
        <f t="shared" si="31"/>
        <v>0</v>
      </c>
      <c r="AC80" s="1400"/>
      <c r="AD80" s="1399"/>
      <c r="AJ80" s="1398"/>
      <c r="AN80" s="1399"/>
    </row>
    <row r="81" spans="1:40" ht="48" hidden="1">
      <c r="A81" s="1062" t="s">
        <v>1033</v>
      </c>
      <c r="B81" s="2371" t="str">
        <f>估价对象房地状况!G16</f>
        <v>估价对象周边道路状况、公共交通通达情况、停车便捷程度，综合评价交通便捷度较好</v>
      </c>
      <c r="C81" s="1049"/>
      <c r="D81" s="2380">
        <f t="shared" si="27"/>
        <v>0</v>
      </c>
      <c r="E81" s="2408"/>
      <c r="F81" s="2409"/>
      <c r="G81" s="2378"/>
      <c r="H81" s="2424" t="str">
        <f t="shared" si="28"/>
        <v>——</v>
      </c>
      <c r="I81" s="2398">
        <v>0.33</v>
      </c>
      <c r="J81" s="2401">
        <f t="shared" si="29"/>
        <v>0</v>
      </c>
      <c r="K81" s="2401">
        <f t="shared" si="30"/>
        <v>0</v>
      </c>
      <c r="L81" s="2401">
        <v>0</v>
      </c>
      <c r="M81" s="2401">
        <f t="shared" si="31"/>
        <v>0</v>
      </c>
      <c r="N81" s="2401">
        <f t="shared" si="31"/>
        <v>0</v>
      </c>
      <c r="AC81" s="1400"/>
      <c r="AD81" s="1399"/>
      <c r="AJ81" s="1398"/>
      <c r="AN81" s="1399"/>
    </row>
    <row r="82" spans="1:40" ht="24" hidden="1">
      <c r="A82" s="1062" t="s">
        <v>1022</v>
      </c>
      <c r="B82" s="2371">
        <f>估价对象房地状况!G17</f>
        <v>0</v>
      </c>
      <c r="C82" s="1049"/>
      <c r="D82" s="2380">
        <f t="shared" si="27"/>
        <v>0</v>
      </c>
      <c r="E82" s="2408"/>
      <c r="F82" s="2409"/>
      <c r="G82" s="2378"/>
      <c r="H82" s="2424" t="str">
        <f t="shared" si="28"/>
        <v>——</v>
      </c>
      <c r="I82" s="2398">
        <v>0.05</v>
      </c>
      <c r="J82" s="2401">
        <f t="shared" si="29"/>
        <v>0</v>
      </c>
      <c r="K82" s="2401">
        <f t="shared" si="30"/>
        <v>0</v>
      </c>
      <c r="L82" s="2401">
        <v>0</v>
      </c>
      <c r="M82" s="2401">
        <f t="shared" si="31"/>
        <v>0</v>
      </c>
      <c r="N82" s="2401">
        <f t="shared" si="31"/>
        <v>0</v>
      </c>
      <c r="AC82" s="1400"/>
      <c r="AD82" s="1399"/>
      <c r="AJ82" s="1398"/>
      <c r="AN82" s="1399"/>
    </row>
    <row r="83" spans="1:40" ht="14.25" hidden="1">
      <c r="A83" s="1062" t="s">
        <v>1034</v>
      </c>
      <c r="B83" s="2371">
        <f>估价对象房地状况!G22</f>
        <v>0</v>
      </c>
      <c r="C83" s="1049"/>
      <c r="D83" s="2380">
        <f t="shared" si="27"/>
        <v>0</v>
      </c>
      <c r="E83" s="2408"/>
      <c r="F83" s="2409"/>
      <c r="G83" s="2378"/>
      <c r="H83" s="2424" t="str">
        <f t="shared" si="28"/>
        <v>——</v>
      </c>
      <c r="I83" s="2398">
        <v>0.04</v>
      </c>
      <c r="J83" s="2401">
        <f t="shared" si="29"/>
        <v>0</v>
      </c>
      <c r="K83" s="2401">
        <f t="shared" si="30"/>
        <v>0</v>
      </c>
      <c r="L83" s="2401">
        <v>0</v>
      </c>
      <c r="M83" s="2401">
        <f t="shared" si="31"/>
        <v>0</v>
      </c>
      <c r="N83" s="2401">
        <f t="shared" si="31"/>
        <v>0</v>
      </c>
      <c r="AC83" s="1400"/>
      <c r="AD83" s="1399"/>
      <c r="AJ83" s="1398"/>
      <c r="AN83" s="1399"/>
    </row>
    <row r="84" spans="1:40" ht="24" hidden="1">
      <c r="A84" s="1062" t="s">
        <v>1026</v>
      </c>
      <c r="B84" s="2372" t="str">
        <f>估价对象房地状况!G19</f>
        <v>估价对象所在区域公共配套设施齐备情况</v>
      </c>
      <c r="C84" s="1049"/>
      <c r="D84" s="2380">
        <f t="shared" si="27"/>
        <v>0</v>
      </c>
      <c r="E84" s="2408"/>
      <c r="F84" s="2409"/>
      <c r="G84" s="2378"/>
      <c r="H84" s="2424" t="str">
        <f t="shared" si="28"/>
        <v>——</v>
      </c>
      <c r="I84" s="2398">
        <v>0.06</v>
      </c>
      <c r="J84" s="2401">
        <f t="shared" si="29"/>
        <v>0</v>
      </c>
      <c r="K84" s="2401">
        <f t="shared" si="30"/>
        <v>0</v>
      </c>
      <c r="L84" s="2401">
        <v>0</v>
      </c>
      <c r="M84" s="2401">
        <f t="shared" si="31"/>
        <v>0</v>
      </c>
      <c r="N84" s="2401">
        <f t="shared" si="31"/>
        <v>0</v>
      </c>
      <c r="AC84" s="1400"/>
      <c r="AD84" s="1399"/>
      <c r="AJ84" s="1398"/>
      <c r="AN84" s="1399"/>
    </row>
    <row r="85" spans="1:40" ht="24" hidden="1">
      <c r="A85" s="1062" t="s">
        <v>1027</v>
      </c>
      <c r="B85" s="2372" t="str">
        <f>估价对象房地状况!G20</f>
        <v>估价对象所在区域基础设施水平</v>
      </c>
      <c r="C85" s="1049"/>
      <c r="D85" s="2380">
        <f t="shared" si="27"/>
        <v>0</v>
      </c>
      <c r="E85" s="2408"/>
      <c r="F85" s="2409"/>
      <c r="G85" s="2378"/>
      <c r="H85" s="2424" t="str">
        <f t="shared" si="28"/>
        <v>——</v>
      </c>
      <c r="I85" s="2398">
        <v>0.15</v>
      </c>
      <c r="J85" s="2401">
        <f t="shared" si="29"/>
        <v>0</v>
      </c>
      <c r="K85" s="2401">
        <f t="shared" si="30"/>
        <v>0</v>
      </c>
      <c r="L85" s="2401">
        <v>0</v>
      </c>
      <c r="M85" s="2401">
        <f t="shared" si="31"/>
        <v>0</v>
      </c>
      <c r="N85" s="2401">
        <f t="shared" si="31"/>
        <v>0</v>
      </c>
      <c r="AC85" s="1400"/>
      <c r="AD85" s="1399"/>
      <c r="AJ85" s="1398"/>
      <c r="AN85" s="1399"/>
    </row>
    <row r="86" spans="1:40" ht="24" hidden="1">
      <c r="A86" s="1062" t="s">
        <v>1025</v>
      </c>
      <c r="B86" s="2924" t="s">
        <v>2933</v>
      </c>
      <c r="C86" s="1049"/>
      <c r="D86" s="2380">
        <f t="shared" si="27"/>
        <v>0</v>
      </c>
      <c r="E86" s="2408"/>
      <c r="F86" s="2409"/>
      <c r="G86" s="2378"/>
      <c r="H86" s="2424" t="str">
        <f t="shared" si="28"/>
        <v>——</v>
      </c>
      <c r="I86" s="2398">
        <v>0.05</v>
      </c>
      <c r="J86" s="2401">
        <f t="shared" si="29"/>
        <v>0</v>
      </c>
      <c r="K86" s="2401">
        <f t="shared" si="30"/>
        <v>0</v>
      </c>
      <c r="L86" s="2401">
        <v>0</v>
      </c>
      <c r="M86" s="2401">
        <f t="shared" si="31"/>
        <v>0</v>
      </c>
      <c r="N86" s="2401">
        <f t="shared" si="31"/>
        <v>0</v>
      </c>
      <c r="AC86" s="1400"/>
      <c r="AD86" s="1399"/>
      <c r="AJ86" s="1398"/>
      <c r="AN86" s="1399"/>
    </row>
    <row r="87" spans="1:40" ht="36.75" hidden="1" thickBot="1">
      <c r="A87" s="2404" t="s">
        <v>1038</v>
      </c>
      <c r="B87" s="2373" t="str">
        <f>估价对象房地状况!G18</f>
        <v>该园区内是否有污染型企业，绿化情况，卫生条件，整体环境状况判断</v>
      </c>
      <c r="C87" s="1049"/>
      <c r="D87" s="2380">
        <f t="shared" si="27"/>
        <v>0</v>
      </c>
      <c r="E87" s="2410"/>
      <c r="F87" s="2409"/>
      <c r="G87" s="2378"/>
      <c r="H87" s="2424" t="str">
        <f t="shared" si="28"/>
        <v>——</v>
      </c>
      <c r="I87" s="2405">
        <v>0.06</v>
      </c>
      <c r="J87" s="2401">
        <f t="shared" si="29"/>
        <v>0</v>
      </c>
      <c r="K87" s="2401">
        <f t="shared" si="30"/>
        <v>0</v>
      </c>
      <c r="L87" s="2401">
        <v>0</v>
      </c>
      <c r="M87" s="2401">
        <f t="shared" si="31"/>
        <v>0</v>
      </c>
      <c r="N87" s="2401">
        <f t="shared" si="31"/>
        <v>0</v>
      </c>
      <c r="AC87" s="1400"/>
      <c r="AD87" s="1399"/>
      <c r="AJ87" s="1398"/>
      <c r="AN87" s="1399"/>
    </row>
    <row r="90" spans="1:40">
      <c r="A90" s="3446" t="s">
        <v>1633</v>
      </c>
      <c r="B90" s="3446"/>
      <c r="C90" s="3446"/>
      <c r="D90" s="3446"/>
      <c r="E90" s="3446"/>
      <c r="F90" s="3446"/>
      <c r="G90" s="3446"/>
      <c r="H90" s="3446"/>
      <c r="I90" s="3446"/>
      <c r="J90" s="3446"/>
      <c r="K90" s="2413"/>
      <c r="L90" s="2413"/>
      <c r="M90" s="2413"/>
      <c r="N90" s="2413"/>
    </row>
    <row r="91" spans="1:40">
      <c r="A91" s="3447" t="s">
        <v>1443</v>
      </c>
      <c r="B91" s="3447" t="s">
        <v>1634</v>
      </c>
      <c r="C91" s="1135" t="s">
        <v>1635</v>
      </c>
      <c r="D91" s="1136"/>
      <c r="E91" s="1136"/>
      <c r="F91" s="1136"/>
      <c r="G91" s="1136"/>
      <c r="H91" s="1136"/>
      <c r="I91" s="1136"/>
      <c r="J91" s="1137"/>
      <c r="K91" s="1129"/>
      <c r="L91" s="1129"/>
      <c r="M91" s="1129"/>
      <c r="N91" s="1129"/>
    </row>
    <row r="92" spans="1:40">
      <c r="A92" s="3447"/>
      <c r="B92" s="3447"/>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54" t="s">
        <v>2759</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55"/>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55"/>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55"/>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55"/>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55"/>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55"/>
      <c r="B99" s="1138" t="s">
        <v>1636</v>
      </c>
      <c r="C99" s="1140">
        <f>$I$3</f>
        <v>1</v>
      </c>
      <c r="D99" s="1140">
        <f t="shared" ref="D99:N99" si="32">$I$3</f>
        <v>1</v>
      </c>
      <c r="E99" s="1140">
        <f t="shared" si="32"/>
        <v>1</v>
      </c>
      <c r="F99" s="1140">
        <f t="shared" si="32"/>
        <v>1</v>
      </c>
      <c r="G99" s="1140">
        <f t="shared" si="32"/>
        <v>1</v>
      </c>
      <c r="H99" s="1140">
        <f t="shared" si="32"/>
        <v>1</v>
      </c>
      <c r="I99" s="1140">
        <f t="shared" si="32"/>
        <v>1</v>
      </c>
      <c r="J99" s="1140">
        <f t="shared" si="32"/>
        <v>1</v>
      </c>
      <c r="K99" s="1140">
        <f t="shared" si="32"/>
        <v>1</v>
      </c>
      <c r="L99" s="1140">
        <f t="shared" si="32"/>
        <v>1</v>
      </c>
      <c r="M99" s="1140">
        <f t="shared" si="32"/>
        <v>1</v>
      </c>
      <c r="N99" s="1140">
        <f t="shared" si="32"/>
        <v>1</v>
      </c>
    </row>
    <row r="100" spans="1:14">
      <c r="A100" s="3456"/>
      <c r="B100" s="1138">
        <v>7</v>
      </c>
      <c r="C100" s="1141">
        <f>(-0.163*(C99^2)-0.59*C99+7617)*(10^(-4))</f>
        <v>0.76162470000000004</v>
      </c>
      <c r="D100" s="1141">
        <f>(-0.163*(D99^2)-0.59*D99+7617)*(10^(-4))</f>
        <v>0.76162470000000004</v>
      </c>
      <c r="E100" s="1141">
        <f>(-0.161*(E99^2)-7.509*E99+6533)*(10^(-4))</f>
        <v>0.65253300000000003</v>
      </c>
      <c r="F100" s="1141">
        <f>(-0.161*(F99^2)-7.509*F99+6533)*(10^(-4))</f>
        <v>0.65253300000000003</v>
      </c>
      <c r="G100" s="1141">
        <f>(-0.161*(G99^2)-7.509*G99+6533)*(10^(-4))</f>
        <v>0.65253300000000003</v>
      </c>
      <c r="H100" s="1141">
        <f>(-0.161*(H99^2)-7.509*H99+6533)*(10^(-4))</f>
        <v>0.65253300000000003</v>
      </c>
      <c r="I100" s="1141">
        <f>(-0.161*(I99^2)-7.509*I99+6533)*(10^(-4))</f>
        <v>0.65253300000000003</v>
      </c>
      <c r="J100" s="1141">
        <f>(-0.214*(J99^2)-21.991*J99+4665)*(10^(-4))</f>
        <v>0.46427950000000001</v>
      </c>
      <c r="K100" s="1141">
        <f>(-0.214*(K99^2)-21.991*K99+4665)*(10^(-4))</f>
        <v>0.46427950000000001</v>
      </c>
      <c r="L100" s="1141">
        <f>(-0.214*(L99^2)-21.991*L99+4665)*(10^(-4))</f>
        <v>0.46427950000000001</v>
      </c>
      <c r="M100" s="1141">
        <f>(-0.214*(M99^2)-21.991*M99+4665)*(10^(-4))</f>
        <v>0.46427950000000001</v>
      </c>
      <c r="N100" s="1141">
        <f>(-0.214*(N99^2)-21.991*N99+4665)*(10^(-4))</f>
        <v>0.46427950000000001</v>
      </c>
    </row>
    <row r="101" spans="1:14">
      <c r="A101" s="3454" t="s">
        <v>1637</v>
      </c>
      <c r="B101" s="1142" t="s">
        <v>906</v>
      </c>
      <c r="C101" s="1143">
        <f>$G$3</f>
        <v>1.9</v>
      </c>
      <c r="D101" s="1143">
        <f t="shared" ref="D101:N101" si="33">$G$3</f>
        <v>1.9</v>
      </c>
      <c r="E101" s="1143">
        <f t="shared" si="33"/>
        <v>1.9</v>
      </c>
      <c r="F101" s="1143">
        <f t="shared" si="33"/>
        <v>1.9</v>
      </c>
      <c r="G101" s="1143">
        <f t="shared" si="33"/>
        <v>1.9</v>
      </c>
      <c r="H101" s="1143">
        <f t="shared" si="33"/>
        <v>1.9</v>
      </c>
      <c r="I101" s="1143">
        <f t="shared" si="33"/>
        <v>1.9</v>
      </c>
      <c r="J101" s="1143">
        <f t="shared" si="33"/>
        <v>1.9</v>
      </c>
      <c r="K101" s="1143">
        <f t="shared" si="33"/>
        <v>1.9</v>
      </c>
      <c r="L101" s="1143">
        <f t="shared" si="33"/>
        <v>1.9</v>
      </c>
      <c r="M101" s="1143">
        <f t="shared" si="33"/>
        <v>1.9</v>
      </c>
      <c r="N101" s="1143">
        <f t="shared" si="33"/>
        <v>1.9</v>
      </c>
    </row>
    <row r="102" spans="1:14">
      <c r="A102" s="3455"/>
      <c r="B102" s="1138">
        <v>1</v>
      </c>
      <c r="C102" s="1139">
        <f>1.9362/C101</f>
        <v>1.0190526315789474</v>
      </c>
      <c r="D102" s="1139">
        <f>1.9362/D101</f>
        <v>1.0190526315789474</v>
      </c>
      <c r="E102" s="1139">
        <f>1.8629/E101</f>
        <v>0.98047368421052639</v>
      </c>
      <c r="F102" s="1139">
        <f>1.8629/F101</f>
        <v>0.98047368421052639</v>
      </c>
      <c r="G102" s="1139">
        <f>1.8629/G101</f>
        <v>0.98047368421052639</v>
      </c>
      <c r="H102" s="1139">
        <f>1.8629/H101</f>
        <v>0.98047368421052639</v>
      </c>
      <c r="I102" s="1139">
        <f>1.8629/I101</f>
        <v>0.98047368421052639</v>
      </c>
      <c r="J102" s="1139">
        <f>1.942/J101</f>
        <v>1.0221052631578948</v>
      </c>
      <c r="K102" s="1139">
        <f>1.942/K101</f>
        <v>1.0221052631578948</v>
      </c>
      <c r="L102" s="1139">
        <f>1.942/L101</f>
        <v>1.0221052631578948</v>
      </c>
      <c r="M102" s="1139">
        <f>1.942/M101</f>
        <v>1.0221052631578948</v>
      </c>
      <c r="N102" s="1139">
        <f>1.942/N101</f>
        <v>1.0221052631578948</v>
      </c>
    </row>
    <row r="103" spans="1:14">
      <c r="A103" s="3455"/>
      <c r="B103" s="1138">
        <v>2</v>
      </c>
      <c r="C103" s="1139">
        <f>1.4198/C101</f>
        <v>0.74726315789473685</v>
      </c>
      <c r="D103" s="1139">
        <f>1.4198/D101</f>
        <v>0.74726315789473685</v>
      </c>
      <c r="E103" s="1139">
        <f>1.3372/E101</f>
        <v>0.70378947368421052</v>
      </c>
      <c r="F103" s="1139">
        <f>1.3372/F101</f>
        <v>0.70378947368421052</v>
      </c>
      <c r="G103" s="1139">
        <f>1.3372/G101</f>
        <v>0.70378947368421052</v>
      </c>
      <c r="H103" s="1139">
        <f>1.3372/H101</f>
        <v>0.70378947368421052</v>
      </c>
      <c r="I103" s="1139">
        <f>1.3372/I101</f>
        <v>0.70378947368421052</v>
      </c>
      <c r="J103" s="1139">
        <f>1.2799/J101</f>
        <v>0.67363157894736847</v>
      </c>
      <c r="K103" s="1139">
        <f>1.2799/K101</f>
        <v>0.67363157894736847</v>
      </c>
      <c r="L103" s="1139">
        <f>1.2799/L101</f>
        <v>0.67363157894736847</v>
      </c>
      <c r="M103" s="1139">
        <f>1.2799/M101</f>
        <v>0.67363157894736847</v>
      </c>
      <c r="N103" s="1139">
        <f>1.2799/N101</f>
        <v>0.67363157894736847</v>
      </c>
    </row>
    <row r="104" spans="1:14">
      <c r="A104" s="3455"/>
      <c r="B104" s="1138">
        <v>3</v>
      </c>
      <c r="C104" s="1139">
        <f>1.1594/C101</f>
        <v>0.61021052631578954</v>
      </c>
      <c r="D104" s="1139">
        <f>1.1594/D101</f>
        <v>0.61021052631578954</v>
      </c>
      <c r="E104" s="1139">
        <f>1.0788/E101</f>
        <v>0.56778947368421051</v>
      </c>
      <c r="F104" s="1139">
        <f>1.0788/F101</f>
        <v>0.56778947368421051</v>
      </c>
      <c r="G104" s="1139">
        <f>1.0788/G101</f>
        <v>0.56778947368421051</v>
      </c>
      <c r="H104" s="1139">
        <f>1.0788/H101</f>
        <v>0.56778947368421051</v>
      </c>
      <c r="I104" s="1139">
        <f>1.0788/I101</f>
        <v>0.56778947368421051</v>
      </c>
      <c r="J104" s="1139">
        <f>1.0072/J101</f>
        <v>0.53010526315789486</v>
      </c>
      <c r="K104" s="1139">
        <f>1.0072/K101</f>
        <v>0.53010526315789486</v>
      </c>
      <c r="L104" s="1139">
        <f>1.0072/L101</f>
        <v>0.53010526315789486</v>
      </c>
      <c r="M104" s="1139">
        <f>1.0072/M101</f>
        <v>0.53010526315789486</v>
      </c>
      <c r="N104" s="1139">
        <f>1.0072/N101</f>
        <v>0.53010526315789486</v>
      </c>
    </row>
    <row r="105" spans="1:14">
      <c r="A105" s="3455"/>
      <c r="B105" s="1138">
        <v>4</v>
      </c>
      <c r="C105" s="1139">
        <f>0.9622/C101</f>
        <v>0.50642105263157899</v>
      </c>
      <c r="D105" s="1139">
        <f>0.9622/D101</f>
        <v>0.50642105263157899</v>
      </c>
      <c r="E105" s="1139">
        <f>0.8656/E101</f>
        <v>0.45557894736842108</v>
      </c>
      <c r="F105" s="1139">
        <f>0.8656/F101</f>
        <v>0.45557894736842108</v>
      </c>
      <c r="G105" s="1139">
        <f>0.8656/G101</f>
        <v>0.45557894736842108</v>
      </c>
      <c r="H105" s="1139">
        <f>0.8656/H101</f>
        <v>0.45557894736842108</v>
      </c>
      <c r="I105" s="1139">
        <f>0.8656/I101</f>
        <v>0.45557894736842108</v>
      </c>
      <c r="J105" s="1139">
        <f>0.7525/J101</f>
        <v>0.39605263157894738</v>
      </c>
      <c r="K105" s="1139">
        <f>0.7525/K101</f>
        <v>0.39605263157894738</v>
      </c>
      <c r="L105" s="1139">
        <f>0.7525/L101</f>
        <v>0.39605263157894738</v>
      </c>
      <c r="M105" s="1139">
        <f>0.7525/M101</f>
        <v>0.39605263157894738</v>
      </c>
      <c r="N105" s="1139">
        <f>0.7525/N101</f>
        <v>0.39605263157894738</v>
      </c>
    </row>
    <row r="106" spans="1:14">
      <c r="A106" s="3455"/>
      <c r="B106" s="1138">
        <v>5</v>
      </c>
      <c r="C106" s="1139">
        <f>0.8417/C101</f>
        <v>0.443</v>
      </c>
      <c r="D106" s="1139">
        <f>0.8417/D101</f>
        <v>0.443</v>
      </c>
      <c r="E106" s="1139">
        <f>0.7371/E101</f>
        <v>0.38794736842105265</v>
      </c>
      <c r="F106" s="1139">
        <f>0.7371/F101</f>
        <v>0.38794736842105265</v>
      </c>
      <c r="G106" s="1139">
        <f>0.7371/G101</f>
        <v>0.38794736842105265</v>
      </c>
      <c r="H106" s="1139">
        <f>0.7371/H101</f>
        <v>0.38794736842105265</v>
      </c>
      <c r="I106" s="1139">
        <f>0.7371/I101</f>
        <v>0.38794736842105265</v>
      </c>
      <c r="J106" s="1139">
        <f>0.5659/J101</f>
        <v>0.29784210526315791</v>
      </c>
      <c r="K106" s="1139">
        <f>0.5659/K101</f>
        <v>0.29784210526315791</v>
      </c>
      <c r="L106" s="1139">
        <f>0.5659/L101</f>
        <v>0.29784210526315791</v>
      </c>
      <c r="M106" s="1139">
        <f>0.5659/M101</f>
        <v>0.29784210526315791</v>
      </c>
      <c r="N106" s="1139">
        <f>0.5659/N101</f>
        <v>0.29784210526315791</v>
      </c>
    </row>
    <row r="107" spans="1:14">
      <c r="A107" s="3455"/>
      <c r="B107" s="1138">
        <v>6</v>
      </c>
      <c r="C107" s="1139">
        <f>0.7608/C101</f>
        <v>0.40042105263157896</v>
      </c>
      <c r="D107" s="1139">
        <f>0.7608/D101</f>
        <v>0.40042105263157896</v>
      </c>
      <c r="E107" s="1139">
        <f>0.6482/E101</f>
        <v>0.3411578947368421</v>
      </c>
      <c r="F107" s="1139">
        <f>0.6482/F101</f>
        <v>0.3411578947368421</v>
      </c>
      <c r="G107" s="1139">
        <f>0.6482/G101</f>
        <v>0.3411578947368421</v>
      </c>
      <c r="H107" s="1139">
        <f>0.6482/H101</f>
        <v>0.3411578947368421</v>
      </c>
      <c r="I107" s="1139">
        <f>0.6482/I101</f>
        <v>0.3411578947368421</v>
      </c>
      <c r="J107" s="1139">
        <f>0.4525/J101</f>
        <v>0.23815789473684212</v>
      </c>
      <c r="K107" s="1139">
        <f>0.4525/K101</f>
        <v>0.23815789473684212</v>
      </c>
      <c r="L107" s="1139">
        <f>0.4525/L101</f>
        <v>0.23815789473684212</v>
      </c>
      <c r="M107" s="1139">
        <f>0.4525/M101</f>
        <v>0.23815789473684212</v>
      </c>
      <c r="N107" s="1139">
        <f>0.4525/N101</f>
        <v>0.23815789473684212</v>
      </c>
    </row>
    <row r="108" spans="1:14">
      <c r="A108" s="3455"/>
      <c r="B108" s="3457" t="s">
        <v>1638</v>
      </c>
      <c r="C108" s="1140">
        <f>C99</f>
        <v>1</v>
      </c>
      <c r="D108" s="1140">
        <f t="shared" ref="D108:N108" si="34">D99</f>
        <v>1</v>
      </c>
      <c r="E108" s="1140">
        <f t="shared" si="34"/>
        <v>1</v>
      </c>
      <c r="F108" s="1140">
        <f t="shared" si="34"/>
        <v>1</v>
      </c>
      <c r="G108" s="1140">
        <f t="shared" si="34"/>
        <v>1</v>
      </c>
      <c r="H108" s="1140">
        <f t="shared" si="34"/>
        <v>1</v>
      </c>
      <c r="I108" s="1140">
        <f t="shared" si="34"/>
        <v>1</v>
      </c>
      <c r="J108" s="1140">
        <f t="shared" si="34"/>
        <v>1</v>
      </c>
      <c r="K108" s="1140">
        <f t="shared" si="34"/>
        <v>1</v>
      </c>
      <c r="L108" s="1140">
        <f t="shared" si="34"/>
        <v>1</v>
      </c>
      <c r="M108" s="1140">
        <f t="shared" si="34"/>
        <v>1</v>
      </c>
      <c r="N108" s="1140">
        <f t="shared" si="34"/>
        <v>1</v>
      </c>
    </row>
    <row r="109" spans="1:14">
      <c r="A109" s="3456"/>
      <c r="B109" s="3458"/>
      <c r="C109" s="1141">
        <f>(-0.163*(C108^2)-0.59*C108+7617)*(10^(-4))/C101</f>
        <v>0.40085510526315793</v>
      </c>
      <c r="D109" s="1141">
        <f>(-0.163*(D108^2)-0.59*D108+7617)*(10^(-4))/D101</f>
        <v>0.40085510526315793</v>
      </c>
      <c r="E109" s="1141">
        <f>(-0.161*(E108^2)-7.509*E108+6533)*(10^(-4))/E101</f>
        <v>0.34343842105263162</v>
      </c>
      <c r="F109" s="1141">
        <f>(-0.161*(F108^2)-7.509*F108+6533)*(10^(-4))/F101</f>
        <v>0.34343842105263162</v>
      </c>
      <c r="G109" s="1141">
        <f>(-0.161*(G108^2)-7.509*G108+6533)*(10^(-4))/G101</f>
        <v>0.34343842105263162</v>
      </c>
      <c r="H109" s="1141">
        <f>(-0.161*(H108^2)-7.509*H108+6533)*(10^(-4))/H101</f>
        <v>0.34343842105263162</v>
      </c>
      <c r="I109" s="1141">
        <f>(-0.161*(I108^2)-7.509*I108+6533)*(10^(-4))/I101</f>
        <v>0.34343842105263162</v>
      </c>
      <c r="J109" s="1141">
        <f>(-0.214*(J108^2)-21.991*J108+4665)*(10^(-4))/J101</f>
        <v>0.24435763157894738</v>
      </c>
      <c r="K109" s="1141">
        <f>(-0.214*(K108^2)-21.991*K108+4665)*(10^(-4))/K101</f>
        <v>0.24435763157894738</v>
      </c>
      <c r="L109" s="1141">
        <f>(-0.214*(L108^2)-21.991*L108+4665)*(10^(-4))/L101</f>
        <v>0.24435763157894738</v>
      </c>
      <c r="M109" s="1141">
        <f>(-0.214*(M108^2)-21.991*M108+4665)*(10^(-4))/M101</f>
        <v>0.24435763157894738</v>
      </c>
      <c r="N109" s="1141">
        <f>(-0.214*(N108^2)-21.991*N108+4665)*(10^(-4))/N101</f>
        <v>0.24435763157894738</v>
      </c>
    </row>
    <row r="110" spans="1:14">
      <c r="A110" s="3440" t="s">
        <v>1639</v>
      </c>
      <c r="B110" s="3440"/>
      <c r="C110" s="3440"/>
      <c r="D110" s="3440"/>
      <c r="E110" s="3440"/>
      <c r="F110" s="3440"/>
      <c r="G110" s="3440"/>
      <c r="H110" s="3440"/>
      <c r="I110" s="3440"/>
      <c r="J110" s="3440"/>
      <c r="K110" s="2411"/>
      <c r="L110" s="2411"/>
      <c r="M110" s="2411"/>
      <c r="N110" s="2411"/>
    </row>
    <row r="112" spans="1:14" ht="12.75" thickBot="1"/>
    <row r="113" spans="1:13" ht="25.5" thickBot="1">
      <c r="A113" s="1015" t="s">
        <v>896</v>
      </c>
      <c r="B113" s="2414">
        <f>G3</f>
        <v>1.9</v>
      </c>
      <c r="C113" s="1016" t="s">
        <v>897</v>
      </c>
      <c r="D113" s="1017">
        <f>SUMPRODUCT((A115:A118=F113)*(B114:M114=H113)*B115:M118)</f>
        <v>0.85960000000000003</v>
      </c>
      <c r="E113" s="1018" t="s">
        <v>898</v>
      </c>
      <c r="F113" s="1019" t="str">
        <f>E2</f>
        <v>住宅</v>
      </c>
      <c r="G113" s="1018" t="s">
        <v>899</v>
      </c>
      <c r="H113" s="1019" t="str">
        <f>G2</f>
        <v>七级</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0.91559999999999997</v>
      </c>
      <c r="C115" s="1029">
        <f>B115</f>
        <v>0.91559999999999997</v>
      </c>
      <c r="D115" s="1029">
        <f>ROUND(0.8331-0.0109*B113,4)</f>
        <v>0.81240000000000001</v>
      </c>
      <c r="E115" s="1029">
        <f>D115</f>
        <v>0.81240000000000001</v>
      </c>
      <c r="F115" s="1029">
        <f>E115</f>
        <v>0.81240000000000001</v>
      </c>
      <c r="G115" s="1029">
        <f>F115</f>
        <v>0.81240000000000001</v>
      </c>
      <c r="H115" s="1029">
        <f>G115</f>
        <v>0.81240000000000001</v>
      </c>
      <c r="I115" s="1029">
        <f>ROUND(0.689-0.0155*B113,4)</f>
        <v>0.65959999999999996</v>
      </c>
      <c r="J115" s="1029">
        <f t="shared" ref="J115:M118" si="35">I115</f>
        <v>0.65959999999999996</v>
      </c>
      <c r="K115" s="1029">
        <f t="shared" si="35"/>
        <v>0.65959999999999996</v>
      </c>
      <c r="L115" s="1029">
        <f t="shared" si="35"/>
        <v>0.65959999999999996</v>
      </c>
      <c r="M115" s="1030">
        <f t="shared" si="35"/>
        <v>0.65959999999999996</v>
      </c>
    </row>
    <row r="116" spans="1:13" ht="12.75">
      <c r="A116" s="1028" t="s">
        <v>901</v>
      </c>
      <c r="B116" s="1029">
        <f>ROUND(0.949-0.012*B113,4)</f>
        <v>0.92620000000000002</v>
      </c>
      <c r="C116" s="1029">
        <f>B116</f>
        <v>0.92620000000000002</v>
      </c>
      <c r="D116" s="1029">
        <f>ROUND(0.8567-0.013*B113,4)</f>
        <v>0.83199999999999996</v>
      </c>
      <c r="E116" s="1029">
        <f t="shared" ref="E116:H117" si="36">D116</f>
        <v>0.83199999999999996</v>
      </c>
      <c r="F116" s="1029">
        <f t="shared" si="36"/>
        <v>0.83199999999999996</v>
      </c>
      <c r="G116" s="1029">
        <f t="shared" si="36"/>
        <v>0.83199999999999996</v>
      </c>
      <c r="H116" s="1029">
        <f t="shared" si="36"/>
        <v>0.83199999999999996</v>
      </c>
      <c r="I116" s="1029">
        <f>ROUND(0.7694-0.014*B113,4)</f>
        <v>0.74280000000000002</v>
      </c>
      <c r="J116" s="1029">
        <f t="shared" si="35"/>
        <v>0.74280000000000002</v>
      </c>
      <c r="K116" s="1029">
        <f t="shared" si="35"/>
        <v>0.74280000000000002</v>
      </c>
      <c r="L116" s="1029">
        <f t="shared" si="35"/>
        <v>0.74280000000000002</v>
      </c>
      <c r="M116" s="1030">
        <f t="shared" si="35"/>
        <v>0.74280000000000002</v>
      </c>
    </row>
    <row r="117" spans="1:13" ht="12.75">
      <c r="A117" s="1031" t="s">
        <v>902</v>
      </c>
      <c r="B117" s="1029">
        <f>ROUND(0.8808-0.006*B113,4)</f>
        <v>0.86939999999999995</v>
      </c>
      <c r="C117" s="1029">
        <f>B117</f>
        <v>0.86939999999999995</v>
      </c>
      <c r="D117" s="1029">
        <f>ROUND(0.8748-0.008*B113,4)</f>
        <v>0.85960000000000003</v>
      </c>
      <c r="E117" s="1029">
        <f t="shared" si="36"/>
        <v>0.85960000000000003</v>
      </c>
      <c r="F117" s="1029">
        <f t="shared" si="36"/>
        <v>0.85960000000000003</v>
      </c>
      <c r="G117" s="1029">
        <f t="shared" si="36"/>
        <v>0.85960000000000003</v>
      </c>
      <c r="H117" s="1029">
        <f t="shared" si="36"/>
        <v>0.85960000000000003</v>
      </c>
      <c r="I117" s="1029">
        <f>ROUND(0.7412-0.0095*B113,4)</f>
        <v>0.72319999999999995</v>
      </c>
      <c r="J117" s="1029">
        <f t="shared" si="35"/>
        <v>0.72319999999999995</v>
      </c>
      <c r="K117" s="1029">
        <f t="shared" si="35"/>
        <v>0.72319999999999995</v>
      </c>
      <c r="L117" s="1029">
        <f t="shared" si="35"/>
        <v>0.72319999999999995</v>
      </c>
      <c r="M117" s="1030">
        <f t="shared" si="35"/>
        <v>0.72319999999999995</v>
      </c>
    </row>
    <row r="118" spans="1:13" ht="13.5" thickBot="1">
      <c r="A118" s="1032" t="s">
        <v>903</v>
      </c>
      <c r="B118" s="1033">
        <f>ROUND(0.7275-0.01*B113,4)</f>
        <v>0.70850000000000002</v>
      </c>
      <c r="C118" s="1033">
        <f>B118</f>
        <v>0.70850000000000002</v>
      </c>
      <c r="D118" s="1033">
        <f>ROUND(0.7043-0.012*B113,4)</f>
        <v>0.68149999999999999</v>
      </c>
      <c r="E118" s="1033">
        <f>D118</f>
        <v>0.68149999999999999</v>
      </c>
      <c r="F118" s="1033">
        <f>E118</f>
        <v>0.68149999999999999</v>
      </c>
      <c r="G118" s="1033">
        <f>ROUND(0.6299-0.0122*B113,4)</f>
        <v>0.60670000000000002</v>
      </c>
      <c r="H118" s="1033">
        <f>G118</f>
        <v>0.60670000000000002</v>
      </c>
      <c r="I118" s="1033">
        <f>ROUND(0.5667-0.0136*B113,4)</f>
        <v>0.54090000000000005</v>
      </c>
      <c r="J118" s="1033">
        <f t="shared" si="35"/>
        <v>0.54090000000000005</v>
      </c>
      <c r="K118" s="1033">
        <f t="shared" si="35"/>
        <v>0.54090000000000005</v>
      </c>
      <c r="L118" s="1033">
        <f t="shared" si="35"/>
        <v>0.54090000000000005</v>
      </c>
      <c r="M118" s="1034">
        <f t="shared" si="35"/>
        <v>0.54090000000000005</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66" priority="5" stopIfTrue="1" operator="notEqual">
      <formula>"——"</formula>
    </cfRule>
  </conditionalFormatting>
  <conditionalFormatting sqref="F58">
    <cfRule type="cellIs" dxfId="165" priority="4" stopIfTrue="1" operator="notEqual">
      <formula>"——"</formula>
    </cfRule>
  </conditionalFormatting>
  <conditionalFormatting sqref="F69">
    <cfRule type="cellIs" dxfId="164" priority="3" stopIfTrue="1" operator="notEqual">
      <formula>"——"</formula>
    </cfRule>
  </conditionalFormatting>
  <conditionalFormatting sqref="F80">
    <cfRule type="cellIs" dxfId="163" priority="2" stopIfTrue="1" operator="notEqual">
      <formula>"——"</formula>
    </cfRule>
  </conditionalFormatting>
  <conditionalFormatting sqref="H58:H66 H47:H55 H69:H77 H80:H87">
    <cfRule type="cellIs" dxfId="16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6" workbookViewId="0">
      <selection activeCell="C30" sqref="C30"/>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647" t="s">
        <v>923</v>
      </c>
      <c r="C1" s="2088"/>
      <c r="D1" s="2088"/>
      <c r="E1" s="2088"/>
      <c r="F1" s="2088"/>
      <c r="G1" s="2088"/>
      <c r="H1" s="2088"/>
      <c r="I1" s="2088"/>
      <c r="J1" s="2088"/>
      <c r="K1" s="421">
        <f>MATCH(B1,'数据-取费表'!A6:A16,0)+5</f>
        <v>6</v>
      </c>
    </row>
    <row r="2" spans="1:31" s="2025" customFormat="1" ht="18" customHeight="1">
      <c r="A2" s="2085" t="s">
        <v>467</v>
      </c>
      <c r="B2" s="2089">
        <f ca="1">C36</f>
        <v>1346542</v>
      </c>
      <c r="C2" s="2088"/>
      <c r="D2" s="2088"/>
      <c r="E2" s="2088"/>
      <c r="F2" s="2088"/>
      <c r="G2" s="2088"/>
      <c r="H2" s="2088"/>
      <c r="I2" s="2088"/>
      <c r="J2" s="2088"/>
      <c r="K2" s="2088"/>
    </row>
    <row r="3" spans="1:31" s="2025" customFormat="1" ht="18" customHeight="1">
      <c r="A3" s="2090" t="s">
        <v>1684</v>
      </c>
      <c r="B3" s="2091">
        <f ca="1">ROUND(B2*10000/IF(B1="",'数据-汇总表'!E3,INDIRECT("'数据-取费表'!K"&amp;$K$1)),0)</f>
        <v>13653</v>
      </c>
      <c r="C3" s="2088"/>
      <c r="D3" s="2088"/>
      <c r="E3" s="2088"/>
      <c r="F3" s="2088"/>
      <c r="G3" s="2088"/>
      <c r="H3" s="2088"/>
      <c r="I3" s="2088"/>
      <c r="J3" s="2088"/>
      <c r="K3" s="2088"/>
    </row>
    <row r="4" spans="1:31" s="2025" customFormat="1" ht="18" customHeight="1">
      <c r="A4" s="425" t="s">
        <v>468</v>
      </c>
      <c r="B4" s="426">
        <f ca="1">ROUND(B2*10000/IF(B1="",'数据-汇总表'!D3,INDIRECT("'数据-取费表'!R"&amp;$K$1)),0)</f>
        <v>35298</v>
      </c>
      <c r="C4" s="427"/>
      <c r="D4" s="421"/>
      <c r="E4" s="421"/>
      <c r="F4" s="421"/>
      <c r="G4" s="421"/>
      <c r="H4" s="421"/>
      <c r="I4" s="421"/>
      <c r="J4" s="421"/>
      <c r="K4" s="421"/>
    </row>
    <row r="5" spans="1:31" s="2025" customFormat="1" ht="18" customHeight="1" thickBot="1">
      <c r="A5" s="428"/>
      <c r="B5" s="429">
        <f ca="1">ROUND(B2/(IF(B1="",'数据-汇总表'!D3,INDIRECT("'数据-取费表'!R"&amp;$K$1))/666.67),0)</f>
        <v>2353</v>
      </c>
      <c r="C5" s="430" t="s">
        <v>469</v>
      </c>
      <c r="D5" s="421"/>
      <c r="E5" s="421"/>
      <c r="F5" s="421"/>
      <c r="G5" s="421"/>
      <c r="H5" s="421"/>
      <c r="I5" s="421"/>
      <c r="J5" s="421"/>
      <c r="K5" s="421"/>
    </row>
    <row r="6" spans="1:31" s="2095" customFormat="1" ht="16.5" customHeight="1">
      <c r="A6" s="2666" t="s">
        <v>1842</v>
      </c>
      <c r="B6" s="2667"/>
      <c r="C6" s="2668">
        <f>SUM(C10:K10)</f>
        <v>2761525</v>
      </c>
      <c r="D6" s="2667"/>
      <c r="E6" s="2667"/>
      <c r="F6" s="2667"/>
      <c r="G6" s="2667"/>
      <c r="H6" s="2667"/>
      <c r="I6" s="2667"/>
      <c r="J6" s="2667"/>
      <c r="K6" s="2669"/>
    </row>
    <row r="7" spans="1:31" s="2097" customFormat="1" ht="15">
      <c r="A7" s="2670" t="s">
        <v>470</v>
      </c>
      <c r="B7" s="2671" t="s">
        <v>471</v>
      </c>
      <c r="C7" s="435" t="s">
        <v>923</v>
      </c>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1845</v>
      </c>
      <c r="B8" s="260" t="s">
        <v>472</v>
      </c>
      <c r="C8" s="2672">
        <v>28000</v>
      </c>
      <c r="D8" s="2672"/>
      <c r="E8" s="2672"/>
      <c r="F8" s="2672"/>
      <c r="G8" s="2672"/>
      <c r="H8" s="2672"/>
      <c r="I8" s="2672"/>
      <c r="J8" s="2672"/>
      <c r="K8" s="2673"/>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1846</v>
      </c>
      <c r="B9" s="260" t="s">
        <v>473</v>
      </c>
      <c r="C9" s="440">
        <f>SUMIF('数据-汇总表'!$C19:$C33,'剩余法-住宅'!C7,'数据-汇总表'!$E19:$E33)</f>
        <v>986259</v>
      </c>
      <c r="D9" s="440">
        <f>SUMIF('数据-汇总表'!$C19:$C33,'剩余法-住宅'!D7,'数据-汇总表'!$E19:$E33)</f>
        <v>0</v>
      </c>
      <c r="E9" s="440">
        <f>SUMIF('数据-汇总表'!$C19:$C33,'剩余法-住宅'!E7,'数据-汇总表'!$E19:$E33)</f>
        <v>0</v>
      </c>
      <c r="F9" s="440">
        <f>SUMIF('数据-汇总表'!$C19:$C33,'剩余法-住宅'!F7,'数据-汇总表'!$E19:$E33)</f>
        <v>0</v>
      </c>
      <c r="G9" s="440">
        <f>SUMIF('数据-汇总表'!$C19:$C33,'剩余法-住宅'!G7,'数据-汇总表'!$E19:$E33)</f>
        <v>0</v>
      </c>
      <c r="H9" s="440">
        <f>SUMIF('数据-汇总表'!$C19:$C33,'剩余法-住宅'!H7,'数据-汇总表'!$E19:$E33)</f>
        <v>0</v>
      </c>
      <c r="I9" s="440">
        <f>SUMIF('数据-汇总表'!$C19:$C33,'剩余法-住宅'!I7,'数据-汇总表'!$E19:$E33)</f>
        <v>0</v>
      </c>
      <c r="J9" s="440">
        <f>SUMIF('数据-汇总表'!$C19:$C33,'剩余法-住宅'!J7,'数据-汇总表'!$E19:$E33)</f>
        <v>0</v>
      </c>
      <c r="K9" s="441">
        <f>SUMIF('数据-汇总表'!$C19:$C33,'剩余法-住宅'!K7,'数据-汇总表'!$E19:$E33)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674" t="s">
        <v>1847</v>
      </c>
      <c r="B10" s="2660" t="s">
        <v>474</v>
      </c>
      <c r="C10" s="2863">
        <f>ROUND(C8*C9/10000,0)</f>
        <v>2761525</v>
      </c>
      <c r="D10" s="2863">
        <f t="shared" ref="D10:F10" si="0">ROUND(D8*D9/10000,0)</f>
        <v>0</v>
      </c>
      <c r="E10" s="2863">
        <f t="shared" si="0"/>
        <v>0</v>
      </c>
      <c r="F10" s="2863">
        <f t="shared" si="0"/>
        <v>0</v>
      </c>
      <c r="G10" s="2675"/>
      <c r="H10" s="2675"/>
      <c r="I10" s="2675"/>
      <c r="J10" s="2675"/>
      <c r="K10" s="2676"/>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677" t="s">
        <v>1843</v>
      </c>
      <c r="B11" s="2667"/>
      <c r="C11" s="2667"/>
      <c r="D11" s="2667"/>
      <c r="E11" s="2667"/>
      <c r="F11" s="2667"/>
      <c r="G11" s="2667"/>
      <c r="H11" s="2667"/>
      <c r="I11" s="2667"/>
      <c r="J11" s="2667"/>
      <c r="K11" s="2669"/>
    </row>
    <row r="12" spans="1:31" s="2069" customFormat="1" ht="13.5" customHeight="1">
      <c r="A12" s="2678" t="s">
        <v>470</v>
      </c>
      <c r="B12" s="2650" t="s">
        <v>471</v>
      </c>
      <c r="C12" s="2679" t="s">
        <v>475</v>
      </c>
      <c r="D12" s="2646" t="s">
        <v>476</v>
      </c>
      <c r="E12" s="2646" t="s">
        <v>477</v>
      </c>
      <c r="F12" s="2646" t="s">
        <v>478</v>
      </c>
      <c r="G12" s="2650"/>
      <c r="H12" s="2651"/>
      <c r="I12" s="2651"/>
      <c r="J12" s="2651"/>
      <c r="K12" s="2652"/>
    </row>
    <row r="13" spans="1:31" s="2100" customFormat="1" ht="13.5" customHeight="1">
      <c r="A13" s="2680" t="s">
        <v>1848</v>
      </c>
      <c r="B13" s="2681" t="s">
        <v>479</v>
      </c>
      <c r="C13" s="449">
        <f>'数据-取费表'!M6</f>
        <v>473404</v>
      </c>
      <c r="D13" s="2682"/>
      <c r="E13" s="2683"/>
      <c r="F13" s="2684"/>
      <c r="G13" s="2650"/>
      <c r="H13" s="2651"/>
      <c r="I13" s="2651"/>
      <c r="J13" s="2651"/>
      <c r="K13" s="2652"/>
    </row>
    <row r="14" spans="1:31" s="2100" customFormat="1" ht="13.5" customHeight="1">
      <c r="A14" s="2680" t="s">
        <v>1849</v>
      </c>
      <c r="B14" s="2681" t="s">
        <v>480</v>
      </c>
      <c r="C14" s="53">
        <f>ROUND(C13*F14,0)</f>
        <v>14202</v>
      </c>
      <c r="D14" s="2682"/>
      <c r="E14" s="2683"/>
      <c r="F14" s="2685">
        <f>'数据-取费表'!B33</f>
        <v>0.03</v>
      </c>
      <c r="G14" s="2650" t="s">
        <v>481</v>
      </c>
      <c r="H14" s="2651"/>
      <c r="I14" s="2651"/>
      <c r="J14" s="2651"/>
      <c r="K14" s="2652"/>
    </row>
    <row r="15" spans="1:31" s="2100" customFormat="1" ht="13.5" customHeight="1">
      <c r="A15" s="2680" t="s">
        <v>1850</v>
      </c>
      <c r="B15" s="2681" t="s">
        <v>482</v>
      </c>
      <c r="C15" s="53">
        <f>ROUND(C13*F15,0)</f>
        <v>71011</v>
      </c>
      <c r="D15" s="2682"/>
      <c r="E15" s="2683"/>
      <c r="F15" s="2685">
        <f>'数据-取费表'!B34</f>
        <v>0.15</v>
      </c>
      <c r="G15" s="2650" t="s">
        <v>483</v>
      </c>
      <c r="H15" s="2651"/>
      <c r="I15" s="2651"/>
      <c r="J15" s="2651"/>
      <c r="K15" s="2652"/>
    </row>
    <row r="16" spans="1:31" s="2101" customFormat="1" ht="13.5" customHeight="1">
      <c r="A16" s="2680" t="s">
        <v>1851</v>
      </c>
      <c r="B16" s="2681" t="s">
        <v>484</v>
      </c>
      <c r="C16" s="53">
        <f ca="1">ROUND(D16*E16/10000,0)</f>
        <v>29588</v>
      </c>
      <c r="D16" s="2682">
        <f ca="1">IF(B1="",'数据-汇总表'!E3,INDIRECT("'数据-取费表'!K"&amp;$K$1)+INDIRECT("'数据-取费表'!S"&amp;$K$1))</f>
        <v>986259</v>
      </c>
      <c r="E16" s="53">
        <f>'数据-取费表'!B35</f>
        <v>300</v>
      </c>
      <c r="F16" s="2685"/>
      <c r="G16" s="2650"/>
      <c r="H16" s="2651"/>
      <c r="I16" s="2651"/>
      <c r="J16" s="2651"/>
      <c r="K16" s="2652"/>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680" t="s">
        <v>1852</v>
      </c>
      <c r="B17" s="2681" t="s">
        <v>485</v>
      </c>
      <c r="C17" s="2686">
        <f>ROUND(C13*F17,0)</f>
        <v>7101</v>
      </c>
      <c r="D17" s="474"/>
      <c r="E17" s="2686"/>
      <c r="F17" s="2687">
        <f>'数据-取费表'!B36</f>
        <v>1.4999999999999999E-2</v>
      </c>
      <c r="G17" s="260" t="s">
        <v>486</v>
      </c>
      <c r="H17" s="2653"/>
      <c r="I17" s="2653"/>
      <c r="J17" s="2653"/>
      <c r="K17" s="278"/>
    </row>
    <row r="18" spans="1:14" s="2100" customFormat="1" ht="13.5" customHeight="1">
      <c r="A18" s="2688" t="s">
        <v>1853</v>
      </c>
      <c r="B18" s="2689" t="s">
        <v>487</v>
      </c>
      <c r="C18" s="2690">
        <f ca="1">SUM(C13:C17)</f>
        <v>595306</v>
      </c>
      <c r="D18" s="2691"/>
      <c r="E18" s="467"/>
      <c r="F18" s="467"/>
      <c r="G18" s="2654" t="s">
        <v>2427</v>
      </c>
      <c r="H18" s="2655"/>
      <c r="I18" s="2655"/>
      <c r="J18" s="2655"/>
      <c r="K18" s="2656"/>
    </row>
    <row r="19" spans="1:14" s="2100" customFormat="1" ht="13.5" customHeight="1">
      <c r="A19" s="2688" t="s">
        <v>1854</v>
      </c>
      <c r="B19" s="2689" t="s">
        <v>488</v>
      </c>
      <c r="C19" s="2646">
        <f ca="1">ROUND(D19*E19/10000,0)</f>
        <v>19725</v>
      </c>
      <c r="D19" s="2692">
        <f ca="1">D16</f>
        <v>986259</v>
      </c>
      <c r="E19" s="2646">
        <f>'数据-取费表'!B32</f>
        <v>200</v>
      </c>
      <c r="F19" s="467"/>
      <c r="G19" s="2650" t="s">
        <v>489</v>
      </c>
      <c r="H19" s="2651"/>
      <c r="I19" s="2655"/>
      <c r="J19" s="2655"/>
      <c r="K19" s="2656"/>
    </row>
    <row r="20" spans="1:14" s="2100" customFormat="1" ht="13.5" customHeight="1">
      <c r="A20" s="2688" t="s">
        <v>1855</v>
      </c>
      <c r="B20" s="2689" t="s">
        <v>490</v>
      </c>
      <c r="C20" s="2646">
        <f ca="1">C21+C22-IF(B1="",'数据-取费表'!B29,IF(G20="已全部缴纳",C21+C22,H20))</f>
        <v>16766</v>
      </c>
      <c r="D20" s="2692"/>
      <c r="E20" s="2646"/>
      <c r="F20" s="2693"/>
      <c r="G20" s="2916" t="s">
        <v>3040</v>
      </c>
      <c r="H20" s="2648"/>
      <c r="I20" s="2649" t="s">
        <v>2647</v>
      </c>
      <c r="J20" s="2655"/>
      <c r="K20" s="2656"/>
    </row>
    <row r="21" spans="1:14" s="2100" customFormat="1" ht="13.5" customHeight="1">
      <c r="A21" s="2680" t="s">
        <v>1856</v>
      </c>
      <c r="B21" s="2681" t="s">
        <v>491</v>
      </c>
      <c r="C21" s="53">
        <f ca="1">ROUND(D21*E21/10000,0)</f>
        <v>16766</v>
      </c>
      <c r="D21" s="2682">
        <f ca="1">IF(B1="",'数据-汇总表'!E5,IF(INDIRECT("'数据-取费表'!c"&amp;$K$1)="住宅",INDIRECT("'数据-取费表'!k"&amp;$K$1),0))</f>
        <v>986259</v>
      </c>
      <c r="E21" s="53">
        <f>'数据-取费表'!B27</f>
        <v>170</v>
      </c>
      <c r="F21" s="2685"/>
      <c r="G21" s="26"/>
      <c r="H21" s="51"/>
      <c r="I21" s="51"/>
      <c r="J21" s="51"/>
      <c r="K21" s="2657"/>
    </row>
    <row r="22" spans="1:14" s="2100" customFormat="1" ht="13.5" customHeight="1">
      <c r="A22" s="2680" t="s">
        <v>1857</v>
      </c>
      <c r="B22" s="2681" t="s">
        <v>492</v>
      </c>
      <c r="C22" s="53">
        <f ca="1">ROUND(D22*E22/10000,0)</f>
        <v>0</v>
      </c>
      <c r="D22" s="2682">
        <f ca="1">IF(B1="",'数据-汇总表'!E6,IF(INDIRECT("'数据-取费表'!c"&amp;$K$1)="住宅",INDIRECT("'数据-取费表'!s"&amp;$K$1),INDIRECT("'数据-取费表'!k"&amp;$K$1)+INDIRECT("'数据-取费表'!s"&amp;$K$1)))</f>
        <v>0</v>
      </c>
      <c r="E22" s="53">
        <f>'数据-取费表'!B28</f>
        <v>200</v>
      </c>
      <c r="F22" s="2685"/>
      <c r="G22" s="26"/>
      <c r="H22" s="51"/>
      <c r="I22" s="51"/>
      <c r="J22" s="51"/>
      <c r="K22" s="2657"/>
    </row>
    <row r="23" spans="1:14" s="2100" customFormat="1" ht="13.5" customHeight="1">
      <c r="A23" s="2688" t="s">
        <v>1858</v>
      </c>
      <c r="B23" s="2869" t="s">
        <v>2829</v>
      </c>
      <c r="C23" s="2690">
        <f ca="1">ROUND((C18+C19+C20)*F23,0)</f>
        <v>12636</v>
      </c>
      <c r="D23" s="467"/>
      <c r="E23" s="467"/>
      <c r="F23" s="2694">
        <f>'数据-取费表'!B37</f>
        <v>0.02</v>
      </c>
      <c r="G23" s="2650" t="s">
        <v>2428</v>
      </c>
      <c r="H23" s="2651"/>
      <c r="I23" s="2651"/>
      <c r="J23" s="2651"/>
      <c r="K23" s="2652"/>
      <c r="L23" s="2102"/>
      <c r="M23" s="2102"/>
      <c r="N23" s="2102"/>
    </row>
    <row r="24" spans="1:14" s="2100" customFormat="1" ht="13.5" customHeight="1">
      <c r="A24" s="2688" t="s">
        <v>1859</v>
      </c>
      <c r="B24" s="2869" t="s">
        <v>2832</v>
      </c>
      <c r="C24" s="2690">
        <f>ROUND(C6*F24,0)</f>
        <v>55231</v>
      </c>
      <c r="D24" s="474"/>
      <c r="E24" s="472"/>
      <c r="F24" s="2694">
        <f>'数据-取费表'!B38</f>
        <v>0.02</v>
      </c>
      <c r="G24" s="2659" t="s">
        <v>499</v>
      </c>
      <c r="H24" s="2653"/>
      <c r="I24" s="2653"/>
      <c r="J24" s="2653"/>
      <c r="K24" s="278"/>
      <c r="L24" s="2102"/>
      <c r="M24" s="2102"/>
      <c r="N24" s="2102"/>
    </row>
    <row r="25" spans="1:14" s="2103" customFormat="1" ht="13.5" customHeight="1">
      <c r="A25" s="2688" t="s">
        <v>1860</v>
      </c>
      <c r="B25" s="2869" t="s">
        <v>2830</v>
      </c>
      <c r="C25" s="3033">
        <f>F25</f>
        <v>3.0499999999999999E-2</v>
      </c>
      <c r="D25" s="461" t="s">
        <v>2824</v>
      </c>
      <c r="E25" s="468"/>
      <c r="F25" s="2694">
        <f>'数据-取费表'!B48+'数据-取费表'!B49</f>
        <v>3.0499999999999999E-2</v>
      </c>
      <c r="G25" s="2658" t="s">
        <v>2988</v>
      </c>
      <c r="H25" s="2651"/>
      <c r="I25" s="2651"/>
      <c r="J25" s="2651"/>
      <c r="K25" s="2652"/>
    </row>
    <row r="26" spans="1:14" s="2102" customFormat="1" ht="13.5" customHeight="1">
      <c r="A26" s="2688" t="s">
        <v>1861</v>
      </c>
      <c r="B26" s="2870" t="s">
        <v>2831</v>
      </c>
      <c r="C26" s="2695">
        <f ca="1">C28</f>
        <v>41786</v>
      </c>
      <c r="D26" s="466">
        <f ca="1">C27</f>
        <v>0.1268</v>
      </c>
      <c r="E26" s="468" t="s">
        <v>495</v>
      </c>
      <c r="F26" s="470">
        <f ca="1">'数据-取费表'!B40</f>
        <v>4.7500000000000001E-2</v>
      </c>
      <c r="G26" s="2535" t="str">
        <f>IF('数据-取费表'!B22&lt;=1,"单利计息。","复利计息。")&amp;"后续开发成本、管理费用及销售费用产生的利息。"</f>
        <v>复利计息。后续开发成本、管理费用及销售费用产生的利息。</v>
      </c>
      <c r="H26" s="2655"/>
      <c r="I26" s="2655"/>
      <c r="J26" s="2655"/>
      <c r="K26" s="2656"/>
    </row>
    <row r="27" spans="1:14" s="2104" customFormat="1" ht="13.5" customHeight="1">
      <c r="A27" s="802" t="s">
        <v>1856</v>
      </c>
      <c r="B27" s="2696" t="s">
        <v>496</v>
      </c>
      <c r="C27" s="2697">
        <f ca="1">ROUND(IF('数据-取费表'!B22&lt;=1,(1+C25)*F26*'数据-取费表'!B24,(1+C25)*(POWER((1+F26),'数据-取费表'!B24)-1)),4)</f>
        <v>0.1268</v>
      </c>
      <c r="D27" s="471"/>
      <c r="E27" s="472"/>
      <c r="F27" s="473"/>
      <c r="G27" s="2535" t="str">
        <f>IF('数据-取费表'!B22&lt;=1,"（1+取得税费率/(1+5%)）×年利率×建设期","（1+取得税费率）/(1+5%)×((1+年利率)^建设期-1)")</f>
        <v>（1+取得税费率）/(1+5%)×((1+年利率)^建设期-1)</v>
      </c>
      <c r="H27" s="2653"/>
      <c r="I27" s="2653"/>
      <c r="J27" s="2653"/>
      <c r="K27" s="278"/>
    </row>
    <row r="28" spans="1:14" s="2104" customFormat="1" ht="13.5" customHeight="1">
      <c r="A28" s="802" t="s">
        <v>1857</v>
      </c>
      <c r="B28" s="2696" t="s">
        <v>2833</v>
      </c>
      <c r="C28" s="2698">
        <f ca="1">ROUND(IF('数据-取费表'!B22&lt;=1,(C18+C19+C20+C23+C24)*F26*'数据-取费表'!B24/2,(C18+C19+C20+C23+C24)*(POWER((1+F26),'数据-取费表'!B24/2)-1)),0)</f>
        <v>41786</v>
      </c>
      <c r="D28" s="471"/>
      <c r="E28" s="472"/>
      <c r="F28" s="473"/>
      <c r="G28" s="2535" t="str">
        <f>IF('数据-取费表'!B22&lt;=1,"（1）-（4）项×年利率×建设期÷2","（1）-（4）项×((1+年利率)^(建设期÷2)-1)")</f>
        <v>（1）-（4）项×((1+年利率)^(建设期÷2)-1)</v>
      </c>
      <c r="H28" s="2653"/>
      <c r="I28" s="2653"/>
      <c r="J28" s="2653"/>
      <c r="K28" s="278"/>
    </row>
    <row r="29" spans="1:14" s="2104" customFormat="1" ht="13.5" customHeight="1">
      <c r="A29" s="2699" t="s">
        <v>1862</v>
      </c>
      <c r="B29" s="2689" t="s">
        <v>497</v>
      </c>
      <c r="C29" s="2690">
        <f>ROUND(C6*F29/(1+'数据-取费表'!C42),0)</f>
        <v>148596</v>
      </c>
      <c r="D29" s="467"/>
      <c r="E29" s="467"/>
      <c r="F29" s="3265">
        <v>5.6500000000000002E-2</v>
      </c>
      <c r="G29" s="2659" t="s">
        <v>498</v>
      </c>
      <c r="H29" s="2651"/>
      <c r="I29" s="2651"/>
      <c r="J29" s="2651"/>
      <c r="K29" s="2652"/>
    </row>
    <row r="30" spans="1:14" s="2105" customFormat="1" ht="13.5" customHeight="1">
      <c r="A30" s="1619" t="s">
        <v>1863</v>
      </c>
      <c r="B30" s="2700" t="s">
        <v>500</v>
      </c>
      <c r="C30" s="2695">
        <f ca="1">C31</f>
        <v>890046</v>
      </c>
      <c r="D30" s="476">
        <f ca="1">C32</f>
        <v>0.1573</v>
      </c>
      <c r="E30" s="468" t="s">
        <v>495</v>
      </c>
      <c r="F30" s="470"/>
      <c r="G30" s="2658" t="s">
        <v>2968</v>
      </c>
      <c r="H30" s="2651"/>
      <c r="I30" s="2651"/>
      <c r="J30" s="2651"/>
      <c r="K30" s="2652"/>
    </row>
    <row r="31" spans="1:14" s="2104" customFormat="1" ht="13.5" customHeight="1">
      <c r="A31" s="802" t="s">
        <v>1856</v>
      </c>
      <c r="B31" s="2696"/>
      <c r="C31" s="449">
        <f ca="1">C18+C19+C20+C23+C24+C26+C29</f>
        <v>890046</v>
      </c>
      <c r="D31" s="471"/>
      <c r="E31" s="472"/>
      <c r="F31" s="473"/>
      <c r="G31" s="260"/>
      <c r="H31" s="2653"/>
      <c r="I31" s="2653"/>
      <c r="J31" s="2653"/>
      <c r="K31" s="278"/>
    </row>
    <row r="32" spans="1:14" s="2104" customFormat="1" ht="13.5" customHeight="1">
      <c r="A32" s="802" t="s">
        <v>1857</v>
      </c>
      <c r="B32" s="2696"/>
      <c r="C32" s="53">
        <f ca="1">ROUND(C25+D26,4)</f>
        <v>0.1573</v>
      </c>
      <c r="D32" s="471"/>
      <c r="E32" s="472"/>
      <c r="F32" s="473"/>
      <c r="G32" s="260"/>
      <c r="H32" s="2653"/>
      <c r="I32" s="2653"/>
      <c r="J32" s="2653"/>
      <c r="K32" s="278"/>
    </row>
    <row r="33" spans="1:11" s="2106" customFormat="1" ht="13.5" customHeight="1">
      <c r="A33" s="2868" t="s">
        <v>2828</v>
      </c>
      <c r="B33" s="2866" t="s">
        <v>2826</v>
      </c>
      <c r="C33" s="477">
        <f ca="1">C35</f>
        <v>104950</v>
      </c>
      <c r="D33" s="466">
        <f ca="1">C34</f>
        <v>0.15459999999999999</v>
      </c>
      <c r="E33" s="468" t="s">
        <v>495</v>
      </c>
      <c r="F33" s="478">
        <f ca="1">IF(B1="",'数据-取费表'!Q16,INDIRECT("'数据-取费表'!q"&amp;$K$1))</f>
        <v>0.15</v>
      </c>
      <c r="G33" s="2654"/>
      <c r="H33" s="2655"/>
      <c r="I33" s="2655"/>
      <c r="J33" s="2655"/>
      <c r="K33" s="2656"/>
    </row>
    <row r="34" spans="1:11" s="2107" customFormat="1" ht="13.5" customHeight="1">
      <c r="A34" s="374" t="s">
        <v>1856</v>
      </c>
      <c r="B34" s="2701" t="s">
        <v>501</v>
      </c>
      <c r="C34" s="471">
        <f ca="1">ROUND((1+C25)*F33,4)</f>
        <v>0.15459999999999999</v>
      </c>
      <c r="D34" s="471"/>
      <c r="E34" s="472"/>
      <c r="F34" s="479"/>
      <c r="G34" s="260" t="s">
        <v>2287</v>
      </c>
      <c r="H34" s="2653"/>
      <c r="I34" s="2653"/>
      <c r="J34" s="2653"/>
      <c r="K34" s="278"/>
    </row>
    <row r="35" spans="1:11" s="2107" customFormat="1" ht="13.5" customHeight="1" thickBot="1">
      <c r="A35" s="1620" t="s">
        <v>1857</v>
      </c>
      <c r="B35" s="2867" t="s">
        <v>2834</v>
      </c>
      <c r="C35" s="1612">
        <f ca="1">ROUND((C18+C19+C20+C23+C24)*F33,0)</f>
        <v>104950</v>
      </c>
      <c r="D35" s="1613"/>
      <c r="E35" s="2702"/>
      <c r="F35" s="1614"/>
      <c r="G35" s="2660"/>
      <c r="H35" s="2661"/>
      <c r="I35" s="2661"/>
      <c r="J35" s="2661"/>
      <c r="K35" s="2662"/>
    </row>
    <row r="36" spans="1:11" s="2069" customFormat="1" ht="13.5" customHeight="1" thickBot="1">
      <c r="A36" s="283" t="s">
        <v>1844</v>
      </c>
      <c r="B36" s="2664"/>
      <c r="C36" s="2703">
        <f ca="1">ROUND((C6-C30-C33)/(1+D30+D33),0)</f>
        <v>1346542</v>
      </c>
      <c r="D36" s="2664"/>
      <c r="E36" s="2664"/>
      <c r="F36" s="2664"/>
      <c r="G36" s="2663" t="s">
        <v>2835</v>
      </c>
      <c r="H36" s="2664"/>
      <c r="I36" s="2664"/>
      <c r="J36" s="2664"/>
      <c r="K36" s="2665"/>
    </row>
    <row r="37" spans="1:11">
      <c r="C37" s="2109">
        <f ca="1">ROUND(C36*10000/D16,0)</f>
        <v>13653</v>
      </c>
    </row>
    <row r="38" spans="1:11" ht="12.75" customHeight="1"/>
  </sheetData>
  <sheetProtection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8" workbookViewId="0">
      <selection activeCell="F20" sqref="F20"/>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0" t="s">
        <v>466</v>
      </c>
      <c r="B1" s="2647"/>
      <c r="C1" s="2088"/>
      <c r="D1" s="2088"/>
      <c r="E1" s="2088"/>
      <c r="F1" s="2088"/>
      <c r="G1" s="2088"/>
      <c r="H1" s="2088"/>
      <c r="I1" s="2088"/>
      <c r="J1" s="2088"/>
      <c r="K1" s="421">
        <f>MATCH(B1,'数据-取费表'!A6:A16,0)+5</f>
        <v>11</v>
      </c>
    </row>
    <row r="2" spans="1:41" s="2025" customFormat="1" ht="18" customHeight="1">
      <c r="A2" s="422" t="s">
        <v>467</v>
      </c>
      <c r="B2" s="423">
        <f ca="1">C32</f>
        <v>-1150430.8156838124</v>
      </c>
      <c r="C2" s="2088"/>
      <c r="D2" s="2088"/>
      <c r="E2" s="2088"/>
      <c r="F2" s="2088"/>
      <c r="G2" s="2088"/>
      <c r="H2" s="2088"/>
      <c r="I2" s="2088"/>
      <c r="J2" s="2088"/>
      <c r="K2" s="2088"/>
    </row>
    <row r="3" spans="1:41" s="2025" customFormat="1" ht="18" customHeight="1">
      <c r="A3" s="1374" t="s">
        <v>1684</v>
      </c>
      <c r="B3" s="424">
        <f ca="1">ROUND(B2*10000/IF(B1="",'数据-汇总表'!E3,INDIRECT("'数据-取费表'!K"&amp;$K$1)),0)</f>
        <v>-4900</v>
      </c>
      <c r="C3" s="2088"/>
      <c r="D3" s="2088"/>
      <c r="E3" s="2088"/>
      <c r="F3" s="2088"/>
      <c r="G3" s="2088"/>
      <c r="H3" s="2088"/>
      <c r="I3" s="2088"/>
      <c r="J3" s="2088"/>
      <c r="K3" s="2088"/>
    </row>
    <row r="4" spans="1:41" s="2025" customFormat="1" ht="18" customHeight="1">
      <c r="A4" s="425" t="s">
        <v>468</v>
      </c>
      <c r="B4" s="426">
        <f ca="1">ROUND(B2*10000/IF(B1="",'数据-汇总表'!D3,INDIRECT("'数据-取费表'!R"&amp;$K$1)),0)</f>
        <v>-14400</v>
      </c>
      <c r="C4" s="2045"/>
      <c r="D4" s="2088"/>
      <c r="E4" s="2088"/>
      <c r="F4" s="2088"/>
      <c r="G4" s="2088"/>
      <c r="H4" s="2088"/>
      <c r="I4" s="2088"/>
      <c r="J4" s="2088"/>
      <c r="K4" s="2088"/>
    </row>
    <row r="5" spans="1:41" s="2025" customFormat="1" ht="18" customHeight="1" thickBot="1">
      <c r="A5" s="428"/>
      <c r="B5" s="429">
        <f ca="1">ROUND(B2/(IF(B1="",'数据-汇总表'!D3,INDIRECT("'数据-取费表'!R"&amp;$K$1))/666.67),0)</f>
        <v>-960</v>
      </c>
      <c r="C5" s="430" t="s">
        <v>469</v>
      </c>
      <c r="D5" s="2088"/>
      <c r="E5" s="2088"/>
      <c r="F5" s="2088"/>
      <c r="G5" s="2088"/>
      <c r="H5" s="2088"/>
      <c r="I5" s="2088"/>
      <c r="J5" s="2088"/>
      <c r="K5" s="2088"/>
    </row>
    <row r="6" spans="1:41" s="2095" customFormat="1" ht="16.5" customHeight="1">
      <c r="A6" s="431" t="s">
        <v>2648</v>
      </c>
      <c r="B6" s="432"/>
      <c r="C6" s="1607">
        <f>SUM(C10:K10)</f>
        <v>0</v>
      </c>
      <c r="D6" s="2093"/>
      <c r="E6" s="2093"/>
      <c r="F6" s="2093"/>
      <c r="G6" s="2093"/>
      <c r="H6" s="2093"/>
      <c r="I6" s="2093"/>
      <c r="J6" s="2093"/>
      <c r="K6" s="2094"/>
    </row>
    <row r="7" spans="1:41" s="2097" customFormat="1" ht="15">
      <c r="A7" s="433" t="s">
        <v>470</v>
      </c>
      <c r="B7" s="434" t="s">
        <v>471</v>
      </c>
      <c r="C7" s="435"/>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7" t="s">
        <v>472</v>
      </c>
      <c r="C8" s="438"/>
      <c r="D8" s="438"/>
      <c r="E8" s="438"/>
      <c r="F8" s="438"/>
      <c r="G8" s="438"/>
      <c r="H8" s="438"/>
      <c r="I8" s="438"/>
      <c r="J8" s="438"/>
      <c r="K8" s="439"/>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3" t="s">
        <v>470</v>
      </c>
      <c r="B12" s="443" t="s">
        <v>471</v>
      </c>
      <c r="C12" s="444" t="s">
        <v>475</v>
      </c>
      <c r="D12" s="445" t="s">
        <v>476</v>
      </c>
      <c r="E12" s="445" t="s">
        <v>477</v>
      </c>
      <c r="F12" s="445" t="s">
        <v>478</v>
      </c>
      <c r="G12" s="443"/>
      <c r="H12" s="446"/>
      <c r="I12" s="446"/>
      <c r="J12" s="446"/>
      <c r="K12" s="447"/>
    </row>
    <row r="13" spans="1:41" s="2100" customFormat="1" ht="13.5" customHeight="1">
      <c r="A13" s="1617" t="s">
        <v>1848</v>
      </c>
      <c r="B13" s="448" t="s">
        <v>479</v>
      </c>
      <c r="C13" s="449">
        <f ca="1">IF(B1="",'数据-取费表'!M16,INDIRECT("'数据-取费表'!M"&amp;$K$1)+INDIRECT("'数据-取费表'!t"&amp;$K$1))</f>
        <v>948891</v>
      </c>
      <c r="D13" s="450"/>
      <c r="E13" s="364"/>
      <c r="F13" s="451"/>
      <c r="G13" s="443"/>
      <c r="H13" s="446"/>
      <c r="I13" s="446"/>
      <c r="J13" s="446"/>
      <c r="K13" s="447"/>
    </row>
    <row r="14" spans="1:41" s="2100" customFormat="1" ht="13.5" customHeight="1">
      <c r="A14" s="1617" t="s">
        <v>1849</v>
      </c>
      <c r="B14" s="448" t="s">
        <v>480</v>
      </c>
      <c r="C14" s="53">
        <f ca="1">ROUND(C13*F14,0)</f>
        <v>28467</v>
      </c>
      <c r="D14" s="450"/>
      <c r="E14" s="364"/>
      <c r="F14" s="452">
        <f>'数据-取费表'!B33</f>
        <v>0.03</v>
      </c>
      <c r="G14" s="443" t="s">
        <v>502</v>
      </c>
      <c r="H14" s="446"/>
      <c r="I14" s="446"/>
      <c r="J14" s="446"/>
      <c r="K14" s="447"/>
    </row>
    <row r="15" spans="1:41" s="2100" customFormat="1" ht="13.5" customHeight="1">
      <c r="A15" s="1617" t="s">
        <v>1850</v>
      </c>
      <c r="B15" s="448" t="s">
        <v>482</v>
      </c>
      <c r="C15" s="53">
        <f ca="1">ROUND(IF(B1="",SUMIF('数据-取费表'!C:C,"住宅",'数据-取费表'!M:M)*F15,IF(INDIRECT("'数据-取费表'!c"&amp;$K$1)="住宅",INDIRECT("'数据-取费表'!M"&amp;$K$1)*F15,0)),0)</f>
        <v>71011</v>
      </c>
      <c r="D15" s="450"/>
      <c r="E15" s="364"/>
      <c r="F15" s="452">
        <f>'数据-取费表'!B34</f>
        <v>0.15</v>
      </c>
      <c r="G15" s="443" t="s">
        <v>502</v>
      </c>
      <c r="H15" s="446"/>
      <c r="I15" s="446"/>
      <c r="J15" s="446"/>
      <c r="K15" s="447"/>
    </row>
    <row r="16" spans="1:41" s="2101" customFormat="1" ht="13.5" customHeight="1">
      <c r="A16" s="1617" t="s">
        <v>1851</v>
      </c>
      <c r="B16" s="448" t="s">
        <v>484</v>
      </c>
      <c r="C16" s="53">
        <f ca="1">ROUND(D16*E16/10000,0)</f>
        <v>70438</v>
      </c>
      <c r="D16" s="450">
        <f ca="1">IF(B1="",'数据-汇总表'!E3,INDIRECT("'数据-取费表'!K"&amp;$K$1)+INDIRECT("'数据-取费表'!S"&amp;$K$1))</f>
        <v>2347917.9900000002</v>
      </c>
      <c r="E16" s="53">
        <f>'数据-取费表'!B35</f>
        <v>300</v>
      </c>
      <c r="F16" s="452"/>
      <c r="G16" s="443"/>
      <c r="H16" s="446"/>
      <c r="I16" s="446"/>
      <c r="J16" s="446"/>
      <c r="K16" s="447"/>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8" t="s">
        <v>485</v>
      </c>
      <c r="C17" s="453">
        <f ca="1">ROUND(C13*F17,0)</f>
        <v>14233</v>
      </c>
      <c r="D17" s="454"/>
      <c r="E17" s="453"/>
      <c r="F17" s="455">
        <f>'数据-取费表'!B36</f>
        <v>1.4999999999999999E-2</v>
      </c>
      <c r="G17" s="443" t="s">
        <v>502</v>
      </c>
      <c r="H17" s="456"/>
      <c r="I17" s="456"/>
      <c r="J17" s="456"/>
      <c r="K17" s="457"/>
    </row>
    <row r="18" spans="1:14" s="2103" customFormat="1" ht="13.5" customHeight="1">
      <c r="A18" s="1618" t="s">
        <v>1853</v>
      </c>
      <c r="B18" s="458" t="s">
        <v>487</v>
      </c>
      <c r="C18" s="459">
        <f ca="1">SUM(C13:C17)</f>
        <v>1133040</v>
      </c>
      <c r="D18" s="460"/>
      <c r="E18" s="461"/>
      <c r="F18" s="461"/>
      <c r="G18" s="1322" t="s">
        <v>2429</v>
      </c>
      <c r="H18" s="446"/>
      <c r="I18" s="446"/>
      <c r="J18" s="446"/>
      <c r="K18" s="447"/>
    </row>
    <row r="19" spans="1:14" s="2103" customFormat="1" ht="13.5" customHeight="1">
      <c r="A19" s="1618" t="s">
        <v>1854</v>
      </c>
      <c r="B19" s="458" t="s">
        <v>493</v>
      </c>
      <c r="C19" s="459">
        <f ca="1">ROUND(C18*F19,0)</f>
        <v>22661</v>
      </c>
      <c r="D19" s="461"/>
      <c r="E19" s="461"/>
      <c r="F19" s="465">
        <f>'数据-取费表'!B37</f>
        <v>0.02</v>
      </c>
      <c r="G19" s="443" t="s">
        <v>503</v>
      </c>
      <c r="H19" s="446"/>
      <c r="I19" s="446"/>
      <c r="J19" s="446"/>
      <c r="K19" s="447"/>
      <c r="L19" s="2105"/>
      <c r="M19" s="2105"/>
      <c r="N19" s="2105"/>
    </row>
    <row r="20" spans="1:14" s="2103" customFormat="1" ht="13.5" customHeight="1">
      <c r="A20" s="1618" t="s">
        <v>1855</v>
      </c>
      <c r="B20" s="458" t="s">
        <v>504</v>
      </c>
      <c r="C20" s="2864">
        <f>F20</f>
        <v>0.02</v>
      </c>
      <c r="D20" s="468" t="s">
        <v>505</v>
      </c>
      <c r="E20" s="468"/>
      <c r="F20" s="485">
        <f>'数据-取费表'!B38</f>
        <v>0.02</v>
      </c>
      <c r="G20" s="1322" t="s">
        <v>506</v>
      </c>
      <c r="H20" s="446"/>
      <c r="I20" s="446"/>
      <c r="J20" s="446"/>
      <c r="K20" s="447"/>
      <c r="L20" s="2105"/>
      <c r="M20" s="2105"/>
      <c r="N20" s="2105"/>
    </row>
    <row r="21" spans="1:14" s="2105" customFormat="1" ht="13.5" customHeight="1">
      <c r="A21" s="1618" t="s">
        <v>1858</v>
      </c>
      <c r="B21" s="460" t="s">
        <v>494</v>
      </c>
      <c r="C21" s="469">
        <f ca="1">C22</f>
        <v>69022</v>
      </c>
      <c r="D21" s="466">
        <f ca="1">C23</f>
        <v>1.1999999999999999E-3</v>
      </c>
      <c r="E21" s="468" t="s">
        <v>507</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2" t="s">
        <v>2451</v>
      </c>
    </row>
    <row r="22" spans="1:14" s="2104" customFormat="1" ht="13.5" customHeight="1">
      <c r="A22" s="1617" t="s">
        <v>1848</v>
      </c>
      <c r="B22" s="1323" t="s">
        <v>2432</v>
      </c>
      <c r="C22" s="486">
        <f ca="1">ROUND(IF('数据-取费表'!B22&lt;=1,(C18+C19)*F21*'数据-取费表'!B20/2,(C18+C19)*(POWER((1+F21),'数据-取费表'!B20/2)-1)),0)</f>
        <v>69022</v>
      </c>
      <c r="D22" s="471"/>
      <c r="E22" s="472"/>
      <c r="F22" s="473"/>
      <c r="G22" s="2530" t="str">
        <f>IF('数据-取费表'!B22&lt;=1,"((1)+(2))×年利率×建设期÷2","((1)+(2))×((1+年利率)^(建设期÷2)-1)")</f>
        <v>((1)+(2))×((1+年利率)^(建设期÷2)-1)</v>
      </c>
      <c r="H22" s="456"/>
      <c r="I22" s="456"/>
      <c r="J22" s="456"/>
      <c r="K22" s="457"/>
    </row>
    <row r="23" spans="1:14" s="2104" customFormat="1" ht="13.5" customHeight="1">
      <c r="A23" s="1617" t="s">
        <v>1849</v>
      </c>
      <c r="B23" s="1323" t="s">
        <v>508</v>
      </c>
      <c r="C23" s="487">
        <f ca="1">ROUND(IF('数据-取费表'!B22&lt;=1,F20*F21*'数据-取费表'!B20/2,F20*(POWER((1+F21),'数据-取费表'!B20/2)-1)),4)</f>
        <v>1.1999999999999999E-3</v>
      </c>
      <c r="D23" s="471"/>
      <c r="E23" s="472"/>
      <c r="F23" s="473"/>
      <c r="G23" s="2530" t="str">
        <f>IF('数据-取费表'!B22&lt;=1,"销售费用率×年利率×建设期÷2","销售费用率×((1+年利率)^(建设期÷2)-1)")</f>
        <v>销售费用率×((1+年利率)^(建设期÷2)-1)</v>
      </c>
      <c r="H23" s="456"/>
      <c r="I23" s="456"/>
      <c r="J23" s="456"/>
      <c r="K23" s="457"/>
    </row>
    <row r="24" spans="1:14" s="2104" customFormat="1" ht="13.5" customHeight="1">
      <c r="A24" s="1618" t="s">
        <v>1859</v>
      </c>
      <c r="B24" s="2866" t="s">
        <v>2827</v>
      </c>
      <c r="C24" s="477">
        <f ca="1">C25</f>
        <v>115570</v>
      </c>
      <c r="D24" s="488">
        <f ca="1">C26</f>
        <v>2E-3</v>
      </c>
      <c r="E24" s="468" t="s">
        <v>507</v>
      </c>
      <c r="F24" s="478">
        <f ca="1">IF(B1="",'数据-取费表'!Q16,INDIRECT("'数据-取费表'!q"&amp;$K$1))</f>
        <v>0.1</v>
      </c>
      <c r="G24" s="443"/>
      <c r="H24" s="446"/>
      <c r="I24" s="446"/>
      <c r="J24" s="446"/>
      <c r="K24" s="447"/>
    </row>
    <row r="25" spans="1:14" s="2104" customFormat="1" ht="13.5" customHeight="1">
      <c r="A25" s="1617" t="s">
        <v>1848</v>
      </c>
      <c r="B25" s="1323" t="s">
        <v>2433</v>
      </c>
      <c r="C25" s="489">
        <f ca="1">ROUND((C18+C19)*F24,0)</f>
        <v>115570</v>
      </c>
      <c r="D25" s="471"/>
      <c r="E25" s="472"/>
      <c r="F25" s="479"/>
      <c r="G25" s="1321" t="s">
        <v>2430</v>
      </c>
      <c r="H25" s="456"/>
      <c r="I25" s="456"/>
      <c r="J25" s="456"/>
      <c r="K25" s="457"/>
    </row>
    <row r="26" spans="1:14" s="2104" customFormat="1" ht="13.5" customHeight="1">
      <c r="A26" s="1617" t="s">
        <v>1849</v>
      </c>
      <c r="B26" s="1323" t="s">
        <v>509</v>
      </c>
      <c r="C26" s="490">
        <f ca="1">ROUND(F20*F24,4)</f>
        <v>2E-3</v>
      </c>
      <c r="D26" s="471"/>
      <c r="E26" s="480"/>
      <c r="F26" s="479"/>
      <c r="G26" s="1321" t="s">
        <v>510</v>
      </c>
      <c r="H26" s="456"/>
      <c r="I26" s="456"/>
      <c r="J26" s="456"/>
      <c r="K26" s="457"/>
    </row>
    <row r="27" spans="1:14" s="2104" customFormat="1" ht="13.5" customHeight="1">
      <c r="A27" s="1621" t="s">
        <v>1867</v>
      </c>
      <c r="B27" s="458" t="s">
        <v>511</v>
      </c>
      <c r="C27" s="2865">
        <f>ROUND(F27/(1+'数据-取费表'!C42),4)</f>
        <v>5.2400000000000002E-2</v>
      </c>
      <c r="D27" s="461" t="s">
        <v>2825</v>
      </c>
      <c r="E27" s="461"/>
      <c r="F27" s="465">
        <f>'数据-取费表'!B41</f>
        <v>5.5000000000000007E-2</v>
      </c>
      <c r="G27" s="1944" t="s">
        <v>2288</v>
      </c>
      <c r="H27" s="446"/>
      <c r="I27" s="446"/>
      <c r="J27" s="446"/>
      <c r="K27" s="447"/>
    </row>
    <row r="28" spans="1:14" s="2105" customFormat="1" ht="13.5" customHeight="1">
      <c r="A28" s="1621" t="s">
        <v>1868</v>
      </c>
      <c r="B28" s="475" t="s">
        <v>512</v>
      </c>
      <c r="C28" s="469">
        <f ca="1">ROUND((C18+C19+C21+C24)/(1-C20-D21-D24-C27),0)</f>
        <v>1449906</v>
      </c>
      <c r="D28" s="476"/>
      <c r="E28" s="468"/>
      <c r="F28" s="470"/>
      <c r="G28" s="1322" t="s">
        <v>2431</v>
      </c>
      <c r="H28" s="446"/>
      <c r="I28" s="446"/>
      <c r="J28" s="446"/>
      <c r="K28" s="447"/>
    </row>
    <row r="29" spans="1:14" s="2105" customFormat="1" ht="13.5" customHeight="1">
      <c r="A29" s="1621" t="s">
        <v>1869</v>
      </c>
      <c r="B29" s="475" t="s">
        <v>513</v>
      </c>
      <c r="C29" s="491">
        <f ca="1">IF(B1="",'数据-取费表'!N16,INDIRECT("'数据-取费表'!N"&amp;$K$1))</f>
        <v>1</v>
      </c>
      <c r="D29" s="492"/>
      <c r="E29" s="493"/>
      <c r="F29" s="494"/>
      <c r="G29" s="443"/>
      <c r="H29" s="446"/>
      <c r="I29" s="446"/>
      <c r="J29" s="446"/>
      <c r="K29" s="447"/>
    </row>
    <row r="30" spans="1:14" s="2105" customFormat="1" ht="13.5" customHeight="1">
      <c r="A30" s="442">
        <v>2</v>
      </c>
      <c r="B30" s="475" t="s">
        <v>514</v>
      </c>
      <c r="C30" s="496">
        <f ca="1">ROUND(C28*C29,0)</f>
        <v>1449906</v>
      </c>
      <c r="D30" s="492"/>
      <c r="E30" s="497"/>
      <c r="F30" s="498"/>
      <c r="G30" s="1324" t="s">
        <v>515</v>
      </c>
      <c r="H30" s="495"/>
      <c r="I30" s="495"/>
      <c r="J30" s="446"/>
      <c r="K30" s="447"/>
    </row>
    <row r="31" spans="1:14" s="2110" customFormat="1" ht="13.5" customHeight="1">
      <c r="A31" s="2445" t="s">
        <v>1865</v>
      </c>
      <c r="B31" s="1325"/>
      <c r="C31" s="499">
        <f>ROUND(C6*F31/(1+'数据-取费表'!C42),0)</f>
        <v>0</v>
      </c>
      <c r="D31" s="1326"/>
      <c r="E31" s="1326"/>
      <c r="F31" s="500">
        <f>'数据-取费表'!B41</f>
        <v>5.5000000000000007E-2</v>
      </c>
      <c r="G31" s="1327"/>
      <c r="H31" s="1327"/>
      <c r="I31" s="1327"/>
      <c r="J31" s="1328"/>
      <c r="K31" s="1329"/>
    </row>
    <row r="32" spans="1:14" s="2069" customFormat="1" ht="13.5" customHeight="1" thickBot="1">
      <c r="A32" s="481" t="s">
        <v>1866</v>
      </c>
      <c r="B32" s="482"/>
      <c r="C32" s="483">
        <f ca="1">IF('数据-取费表'!B20&lt;=1,(C6-C30-C31)/(1+F21*'数据-取费表'!B20+F24)/(1+'数据-取费表'!B48+'数据-取费表'!B49),(C6-C30-C31)/(1+(POWER((1+F21),'数据-取费表'!B20)-1)+F24)/(1+'数据-取费表'!B48+'数据-取费表'!B49))</f>
        <v>-1150430.8156838124</v>
      </c>
      <c r="D32" s="482"/>
      <c r="E32" s="482"/>
      <c r="F32" s="482"/>
      <c r="G32" s="2446" t="s">
        <v>2969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516</v>
      </c>
      <c r="B1" s="502"/>
      <c r="C1" s="503" t="s">
        <v>597</v>
      </c>
      <c r="D1" s="504" t="s">
        <v>518</v>
      </c>
      <c r="E1" s="736"/>
      <c r="F1" s="737"/>
      <c r="G1" s="736"/>
      <c r="H1" s="736"/>
      <c r="I1" s="736"/>
      <c r="J1" s="736"/>
      <c r="K1" s="738"/>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507"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c r="A3" s="1375" t="s">
        <v>1685</v>
      </c>
      <c r="B3" s="509"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7"/>
      <c r="AC3" s="427"/>
    </row>
    <row r="4" spans="1:29" s="1331" customFormat="1" ht="28.5" customHeight="1">
      <c r="A4" s="510" t="s">
        <v>520</v>
      </c>
      <c r="B4" s="426"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29" s="1331" customFormat="1" ht="28.5" customHeight="1" thickBot="1">
      <c r="A5" s="428"/>
      <c r="B5" s="429" t="e">
        <f>ROUND(B2/('数据-汇总表'!D3/666.67),0)</f>
        <v>#DIV/0!</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7"/>
    </row>
    <row r="6" spans="1:29" ht="15">
      <c r="A6" s="511" t="s">
        <v>521</v>
      </c>
      <c r="B6" s="512"/>
      <c r="C6" s="3481" t="s">
        <v>522</v>
      </c>
      <c r="D6" s="3482"/>
      <c r="E6" s="3483" t="s">
        <v>523</v>
      </c>
      <c r="F6" s="3484"/>
      <c r="G6" s="3481" t="s">
        <v>524</v>
      </c>
      <c r="H6" s="3482"/>
      <c r="I6" s="3481" t="s">
        <v>525</v>
      </c>
      <c r="J6" s="3482"/>
      <c r="K6" s="513" t="s">
        <v>526</v>
      </c>
      <c r="L6" s="2117"/>
      <c r="M6" s="2118"/>
      <c r="N6" s="2118"/>
      <c r="O6" s="2118"/>
      <c r="P6" s="3485" t="s">
        <v>527</v>
      </c>
      <c r="Q6" s="3486"/>
      <c r="R6" s="3491" t="s">
        <v>523</v>
      </c>
      <c r="S6" s="3492"/>
      <c r="T6" s="3491" t="s">
        <v>524</v>
      </c>
      <c r="U6" s="3492"/>
      <c r="V6" s="3471" t="s">
        <v>525</v>
      </c>
      <c r="W6" s="3471"/>
      <c r="X6" s="1552"/>
      <c r="Y6" s="3491" t="s">
        <v>527</v>
      </c>
      <c r="Z6" s="3492"/>
      <c r="AA6" s="3478" t="s">
        <v>523</v>
      </c>
      <c r="AB6" s="3479" t="s">
        <v>524</v>
      </c>
      <c r="AC6" s="3478" t="s">
        <v>525</v>
      </c>
    </row>
    <row r="7" spans="1:29" ht="15">
      <c r="A7" s="514"/>
      <c r="B7" s="515"/>
      <c r="C7" s="3499" t="s">
        <v>2926</v>
      </c>
      <c r="D7" s="3500"/>
      <c r="E7" s="3497" t="s">
        <v>2927</v>
      </c>
      <c r="F7" s="3498"/>
      <c r="G7" s="3499" t="s">
        <v>2928</v>
      </c>
      <c r="H7" s="3500"/>
      <c r="I7" s="3499" t="s">
        <v>2929</v>
      </c>
      <c r="J7" s="3500"/>
      <c r="K7" s="513"/>
      <c r="L7" s="2117"/>
      <c r="M7" s="2118"/>
      <c r="N7" s="2118"/>
      <c r="O7" s="2118"/>
      <c r="P7" s="3487"/>
      <c r="Q7" s="3488"/>
      <c r="R7" s="3493"/>
      <c r="S7" s="3494"/>
      <c r="T7" s="3493"/>
      <c r="U7" s="3494"/>
      <c r="V7" s="3471"/>
      <c r="W7" s="3471"/>
      <c r="X7" s="1552"/>
      <c r="Y7" s="3493"/>
      <c r="Z7" s="3494"/>
      <c r="AA7" s="3479"/>
      <c r="AB7" s="3479"/>
      <c r="AC7" s="3479"/>
    </row>
    <row r="8" spans="1:29" ht="15.75" thickBot="1">
      <c r="A8" s="516"/>
      <c r="B8" s="517"/>
      <c r="C8" s="3501" t="s">
        <v>2930</v>
      </c>
      <c r="D8" s="3502"/>
      <c r="E8" s="3504" t="s">
        <v>2930</v>
      </c>
      <c r="F8" s="3505"/>
      <c r="G8" s="3501" t="s">
        <v>2930</v>
      </c>
      <c r="H8" s="3502"/>
      <c r="I8" s="3501" t="s">
        <v>2930</v>
      </c>
      <c r="J8" s="3502"/>
      <c r="K8" s="513" t="s">
        <v>528</v>
      </c>
      <c r="L8" s="2117"/>
      <c r="M8" s="2118"/>
      <c r="N8" s="2118"/>
      <c r="O8" s="2118"/>
      <c r="P8" s="3489"/>
      <c r="Q8" s="3490"/>
      <c r="R8" s="3493"/>
      <c r="S8" s="3494"/>
      <c r="T8" s="3495"/>
      <c r="U8" s="3496"/>
      <c r="V8" s="3471"/>
      <c r="W8" s="3471"/>
      <c r="X8" s="1552"/>
      <c r="Y8" s="3495"/>
      <c r="Z8" s="3496"/>
      <c r="AA8" s="3480"/>
      <c r="AB8" s="3480"/>
      <c r="AC8" s="3480"/>
    </row>
    <row r="9" spans="1:29" s="1215" customFormat="1" ht="15.75" thickBot="1">
      <c r="A9" s="2750"/>
      <c r="B9" s="2757" t="s">
        <v>529</v>
      </c>
      <c r="C9" s="518">
        <f>'数据-取费表'!B2</f>
        <v>44078</v>
      </c>
      <c r="D9" s="519">
        <v>100</v>
      </c>
      <c r="E9" s="520"/>
      <c r="F9" s="521">
        <f>SUMIF(67:67,YEAR(E9)&amp;"-"&amp;INT((MONTH(E9)+2)/3),68:68)</f>
        <v>0</v>
      </c>
      <c r="G9" s="522"/>
      <c r="H9" s="519">
        <f>SUMIF(67:67,YEAR(G9)&amp;"-"&amp;INT((MONTH(G9)+2)/3),68:68)</f>
        <v>0</v>
      </c>
      <c r="I9" s="522"/>
      <c r="J9" s="519">
        <f>SUMIF(67:67,YEAR(I9)&amp;"-"&amp;INT((MONTH(I9)+2)/3),68:68)</f>
        <v>0</v>
      </c>
      <c r="K9" s="523"/>
      <c r="L9" s="2119"/>
      <c r="M9" s="2120"/>
      <c r="N9" s="2120"/>
      <c r="O9" s="2120"/>
      <c r="P9" s="3476" t="s">
        <v>530</v>
      </c>
      <c r="Q9" s="3503"/>
      <c r="R9" s="1553" t="s">
        <v>8</v>
      </c>
      <c r="S9" s="1554">
        <f t="shared" ref="S9:S17" si="0">F9</f>
        <v>0</v>
      </c>
      <c r="T9" s="1553" t="s">
        <v>8</v>
      </c>
      <c r="U9" s="1554">
        <f t="shared" ref="U9:U17" si="1">H9</f>
        <v>0</v>
      </c>
      <c r="V9" s="1553" t="s">
        <v>8</v>
      </c>
      <c r="W9" s="1554">
        <f t="shared" ref="W9:W17" si="2">J9</f>
        <v>0</v>
      </c>
      <c r="X9" s="1555"/>
      <c r="Y9" s="3476" t="s">
        <v>530</v>
      </c>
      <c r="Z9" s="3477"/>
      <c r="AA9" s="1556" t="e">
        <f>D9/F9</f>
        <v>#DIV/0!</v>
      </c>
      <c r="AB9" s="1556" t="e">
        <f>D9/H9</f>
        <v>#DIV/0!</v>
      </c>
      <c r="AC9" s="1556" t="e">
        <f>D9/J9</f>
        <v>#DIV/0!</v>
      </c>
    </row>
    <row r="10" spans="1:29" s="1215" customFormat="1" ht="15.75" thickBot="1">
      <c r="A10" s="2751"/>
      <c r="B10" s="2758"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9"/>
      <c r="M10" s="2120"/>
      <c r="N10" s="2120"/>
      <c r="O10" s="2120"/>
      <c r="P10" s="3476" t="s">
        <v>533</v>
      </c>
      <c r="Q10" s="3477"/>
      <c r="R10" s="1553" t="s">
        <v>8</v>
      </c>
      <c r="S10" s="1554">
        <f t="shared" si="0"/>
        <v>0</v>
      </c>
      <c r="T10" s="1553" t="s">
        <v>8</v>
      </c>
      <c r="U10" s="1554">
        <f t="shared" si="1"/>
        <v>0</v>
      </c>
      <c r="V10" s="1553" t="s">
        <v>8</v>
      </c>
      <c r="W10" s="1554">
        <f t="shared" si="2"/>
        <v>0</v>
      </c>
      <c r="X10" s="1555"/>
      <c r="Y10" s="3476" t="s">
        <v>533</v>
      </c>
      <c r="Z10" s="3477"/>
      <c r="AA10" s="1556" t="e">
        <f t="shared" ref="AA10:AA42" si="3">D10/F10</f>
        <v>#DIV/0!</v>
      </c>
      <c r="AB10" s="1556" t="e">
        <f t="shared" ref="AB10:AB42" si="4">D10/H10</f>
        <v>#DIV/0!</v>
      </c>
      <c r="AC10" s="1556" t="e">
        <f t="shared" ref="AC10:AC42" si="5">D10/J10</f>
        <v>#DIV/0!</v>
      </c>
    </row>
    <row r="11" spans="1:29" s="1215" customFormat="1" ht="15">
      <c r="A11" s="2752"/>
      <c r="B11" s="2759" t="s">
        <v>2752</v>
      </c>
      <c r="C11" s="525"/>
      <c r="D11" s="253">
        <v>100</v>
      </c>
      <c r="E11" s="525"/>
      <c r="F11" s="253">
        <f>SUMIF(72:72,E11,73:73)-SUMIF(72:72,C11,73:73)+100</f>
        <v>100</v>
      </c>
      <c r="G11" s="525"/>
      <c r="H11" s="253">
        <f>SUMIF(72:72,G11,73:73)-SUMIF(72:72,C11,73:73)+100</f>
        <v>100</v>
      </c>
      <c r="I11" s="525"/>
      <c r="J11" s="253">
        <f>SUMIF(72:72,I11,73:73)-SUMIF(72:72,C11,73:73)+100</f>
        <v>100</v>
      </c>
      <c r="K11" s="523"/>
      <c r="L11" s="2119"/>
      <c r="M11" s="2120"/>
      <c r="N11" s="2120"/>
      <c r="O11" s="2121"/>
      <c r="P11" s="3469" t="s">
        <v>535</v>
      </c>
      <c r="Q11" s="1146" t="str">
        <f t="shared" ref="Q11:Q17" si="6">B11</f>
        <v>用途</v>
      </c>
      <c r="R11" s="1553" t="s">
        <v>8</v>
      </c>
      <c r="S11" s="1554">
        <f t="shared" si="0"/>
        <v>100</v>
      </c>
      <c r="T11" s="1553" t="s">
        <v>8</v>
      </c>
      <c r="U11" s="1554">
        <f t="shared" si="1"/>
        <v>100</v>
      </c>
      <c r="V11" s="1553" t="s">
        <v>8</v>
      </c>
      <c r="W11" s="1554">
        <f t="shared" si="2"/>
        <v>100</v>
      </c>
      <c r="X11" s="1555"/>
      <c r="Y11" s="3413" t="s">
        <v>536</v>
      </c>
      <c r="Z11" s="1145" t="str">
        <f t="shared" ref="Z11:Z17" si="7">Q11</f>
        <v>用途</v>
      </c>
      <c r="AA11" s="1556">
        <f t="shared" si="3"/>
        <v>1</v>
      </c>
      <c r="AB11" s="1556">
        <f t="shared" si="4"/>
        <v>1</v>
      </c>
      <c r="AC11" s="1556">
        <f t="shared" si="5"/>
        <v>1</v>
      </c>
    </row>
    <row r="12" spans="1:29" s="1333" customFormat="1" ht="27">
      <c r="A12" s="2753"/>
      <c r="B12" s="2758" t="s">
        <v>2753</v>
      </c>
      <c r="C12" s="527"/>
      <c r="D12" s="254">
        <v>100</v>
      </c>
      <c r="E12" s="527"/>
      <c r="F12" s="254">
        <f>ROUND(100/'数据-取费表'!G16,0)</f>
        <v>100</v>
      </c>
      <c r="G12" s="527"/>
      <c r="H12" s="254">
        <f>ROUND(100/'数据-取费表'!G16,0)</f>
        <v>100</v>
      </c>
      <c r="I12" s="527"/>
      <c r="J12" s="254">
        <f>ROUND(100/'数据-取费表'!G16,0)</f>
        <v>100</v>
      </c>
      <c r="K12" s="530"/>
      <c r="L12" s="2122"/>
      <c r="M12" s="2162"/>
      <c r="N12" s="2162"/>
      <c r="O12" s="2123"/>
      <c r="P12" s="3469"/>
      <c r="Q12" s="1146" t="str">
        <f t="shared" si="6"/>
        <v>土地使用年限（年）</v>
      </c>
      <c r="R12" s="1553" t="s">
        <v>8</v>
      </c>
      <c r="S12" s="1554">
        <f t="shared" si="0"/>
        <v>100</v>
      </c>
      <c r="T12" s="1553" t="s">
        <v>8</v>
      </c>
      <c r="U12" s="1554">
        <f t="shared" si="1"/>
        <v>100</v>
      </c>
      <c r="V12" s="1553" t="s">
        <v>8</v>
      </c>
      <c r="W12" s="1554">
        <f t="shared" si="2"/>
        <v>100</v>
      </c>
      <c r="X12" s="1555"/>
      <c r="Y12" s="3413"/>
      <c r="Z12" s="1145" t="str">
        <f t="shared" si="7"/>
        <v>土地使用年限（年）</v>
      </c>
      <c r="AA12" s="1556">
        <f t="shared" si="3"/>
        <v>1</v>
      </c>
      <c r="AB12" s="1556">
        <f t="shared" si="4"/>
        <v>1</v>
      </c>
      <c r="AC12" s="1556">
        <f t="shared" si="5"/>
        <v>1</v>
      </c>
    </row>
    <row r="13" spans="1:29" ht="15">
      <c r="A13" s="2754"/>
      <c r="B13" s="2758" t="s">
        <v>2754</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4"/>
      <c r="M13" s="2118"/>
      <c r="N13" s="2118"/>
      <c r="O13" s="2125"/>
      <c r="P13" s="3469"/>
      <c r="Q13" s="1146" t="str">
        <f t="shared" si="6"/>
        <v>容积率</v>
      </c>
      <c r="R13" s="1553" t="s">
        <v>8</v>
      </c>
      <c r="S13" s="1554" t="e">
        <f t="shared" si="0"/>
        <v>#N/A</v>
      </c>
      <c r="T13" s="1553" t="s">
        <v>8</v>
      </c>
      <c r="U13" s="1554" t="e">
        <f t="shared" si="1"/>
        <v>#N/A</v>
      </c>
      <c r="V13" s="1553" t="s">
        <v>8</v>
      </c>
      <c r="W13" s="1554" t="e">
        <f t="shared" si="2"/>
        <v>#N/A</v>
      </c>
      <c r="X13" s="1555"/>
      <c r="Y13" s="3413"/>
      <c r="Z13" s="1145" t="str">
        <f t="shared" si="7"/>
        <v>容积率</v>
      </c>
      <c r="AA13" s="1556" t="e">
        <f t="shared" si="3"/>
        <v>#N/A</v>
      </c>
      <c r="AB13" s="1556" t="e">
        <f t="shared" si="4"/>
        <v>#N/A</v>
      </c>
      <c r="AC13" s="1556" t="e">
        <f t="shared" si="5"/>
        <v>#N/A</v>
      </c>
    </row>
    <row r="14" spans="1:29" s="1215" customFormat="1" ht="15">
      <c r="A14" s="2755"/>
      <c r="B14" s="2761">
        <v>111</v>
      </c>
      <c r="C14" s="527"/>
      <c r="D14" s="537">
        <v>100</v>
      </c>
      <c r="E14" s="540"/>
      <c r="F14" s="254">
        <f>SUMIF(79:79,E14,80:80)-SUMIF(79:79,C14,80:80)+100</f>
        <v>100</v>
      </c>
      <c r="G14" s="541"/>
      <c r="H14" s="254">
        <f>SUMIF(79:79,G14,80:80)-SUMIF(79:79,C14,80:80)+100</f>
        <v>100</v>
      </c>
      <c r="I14" s="540"/>
      <c r="J14" s="254">
        <f>SUMIF(79:79,I14,80:80)-SUMIF(79:79,C14,80:80)+100</f>
        <v>100</v>
      </c>
      <c r="K14" s="530"/>
      <c r="L14" s="2119"/>
      <c r="M14" s="2120"/>
      <c r="N14" s="2120"/>
      <c r="O14" s="2121"/>
      <c r="P14" s="3469"/>
      <c r="Q14" s="1146">
        <f t="shared" si="6"/>
        <v>111</v>
      </c>
      <c r="R14" s="1553" t="s">
        <v>8</v>
      </c>
      <c r="S14" s="1554">
        <f t="shared" si="0"/>
        <v>100</v>
      </c>
      <c r="T14" s="1553" t="s">
        <v>8</v>
      </c>
      <c r="U14" s="1554">
        <f t="shared" si="1"/>
        <v>100</v>
      </c>
      <c r="V14" s="1553" t="s">
        <v>8</v>
      </c>
      <c r="W14" s="1554">
        <f t="shared" si="2"/>
        <v>100</v>
      </c>
      <c r="X14" s="1555"/>
      <c r="Y14" s="3413"/>
      <c r="Z14" s="1145">
        <f t="shared" si="7"/>
        <v>111</v>
      </c>
      <c r="AA14" s="1556">
        <f>D14/F14</f>
        <v>1</v>
      </c>
      <c r="AB14" s="1556">
        <f>D14/H14</f>
        <v>1</v>
      </c>
      <c r="AC14" s="1556">
        <f>D14/J14</f>
        <v>1</v>
      </c>
    </row>
    <row r="15" spans="1:29" ht="15">
      <c r="A15" s="2755"/>
      <c r="B15" s="2761">
        <v>111</v>
      </c>
      <c r="C15" s="538"/>
      <c r="D15" s="539">
        <v>100</v>
      </c>
      <c r="E15" s="540"/>
      <c r="F15" s="254">
        <f>SUMIF(81:81,E15,82:82)-SUMIF(81:81,C15,82:82)+100</f>
        <v>100</v>
      </c>
      <c r="G15" s="541"/>
      <c r="H15" s="539">
        <f>SUMIF(81:81,G15,82:82)-SUMIF(81:81,C15,82:82)+100</f>
        <v>100</v>
      </c>
      <c r="I15" s="540"/>
      <c r="J15" s="539">
        <f>SUMIF(81:81,I15,82:82)-SUMIF(81:81,C15,82:82)+100</f>
        <v>100</v>
      </c>
      <c r="K15" s="530"/>
      <c r="L15" s="2126"/>
      <c r="M15" s="2118"/>
      <c r="N15" s="2118"/>
      <c r="O15" s="2125"/>
      <c r="P15" s="3469"/>
      <c r="Q15" s="1146">
        <f t="shared" si="6"/>
        <v>111</v>
      </c>
      <c r="R15" s="1553" t="s">
        <v>8</v>
      </c>
      <c r="S15" s="1554">
        <f t="shared" si="0"/>
        <v>100</v>
      </c>
      <c r="T15" s="1553" t="s">
        <v>8</v>
      </c>
      <c r="U15" s="1554">
        <f t="shared" si="1"/>
        <v>100</v>
      </c>
      <c r="V15" s="1553" t="s">
        <v>8</v>
      </c>
      <c r="W15" s="1554">
        <f t="shared" si="2"/>
        <v>100</v>
      </c>
      <c r="X15" s="1555"/>
      <c r="Y15" s="3413"/>
      <c r="Z15" s="1145">
        <f t="shared" si="7"/>
        <v>111</v>
      </c>
      <c r="AA15" s="1556">
        <f t="shared" si="3"/>
        <v>1</v>
      </c>
      <c r="AB15" s="1556">
        <f t="shared" si="4"/>
        <v>1</v>
      </c>
      <c r="AC15" s="1556">
        <f t="shared" si="5"/>
        <v>1</v>
      </c>
    </row>
    <row r="16" spans="1:29" ht="15.75" thickBot="1">
      <c r="A16" s="2756"/>
      <c r="B16" s="2762">
        <v>111</v>
      </c>
      <c r="C16" s="544"/>
      <c r="D16" s="545">
        <v>100</v>
      </c>
      <c r="E16" s="540"/>
      <c r="F16" s="545">
        <f>SUMIF(83:83,E16,84:84)-SUMIF(83:83,C16,84:84)+100</f>
        <v>100</v>
      </c>
      <c r="G16" s="541"/>
      <c r="H16" s="545">
        <f>SUMIF(83:83,G16,84:84)-SUMIF(83:83,C16,84:84)+100</f>
        <v>100</v>
      </c>
      <c r="I16" s="540"/>
      <c r="J16" s="545">
        <f>SUMIF(83:83,I16,84:84)-SUMIF(83:83,C16,84:84)+100</f>
        <v>100</v>
      </c>
      <c r="K16" s="530"/>
      <c r="L16" s="2126"/>
      <c r="M16" s="2118"/>
      <c r="N16" s="2118"/>
      <c r="O16" s="2125"/>
      <c r="P16" s="3469"/>
      <c r="Q16" s="1146">
        <f t="shared" si="6"/>
        <v>111</v>
      </c>
      <c r="R16" s="1553" t="s">
        <v>8</v>
      </c>
      <c r="S16" s="1554">
        <f t="shared" si="0"/>
        <v>100</v>
      </c>
      <c r="T16" s="1553" t="s">
        <v>8</v>
      </c>
      <c r="U16" s="1554">
        <f t="shared" si="1"/>
        <v>100</v>
      </c>
      <c r="V16" s="1553" t="s">
        <v>8</v>
      </c>
      <c r="W16" s="1554">
        <f t="shared" si="2"/>
        <v>100</v>
      </c>
      <c r="X16" s="1555"/>
      <c r="Y16" s="3413"/>
      <c r="Z16" s="1145">
        <f t="shared" si="7"/>
        <v>111</v>
      </c>
      <c r="AA16" s="1556">
        <f t="shared" si="3"/>
        <v>1</v>
      </c>
      <c r="AB16" s="1556">
        <f t="shared" si="4"/>
        <v>1</v>
      </c>
      <c r="AC16" s="1556">
        <f t="shared" si="5"/>
        <v>1</v>
      </c>
    </row>
    <row r="17" spans="1:29" ht="57">
      <c r="A17" s="2748" t="s">
        <v>2750</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6"/>
      <c r="M17" s="2118"/>
      <c r="N17" s="2118"/>
      <c r="O17" s="2125"/>
      <c r="P17" s="3472" t="s">
        <v>540</v>
      </c>
      <c r="Q17" s="1557" t="str">
        <f t="shared" si="6"/>
        <v>产业集聚程度</v>
      </c>
      <c r="R17" s="1558" t="s">
        <v>8</v>
      </c>
      <c r="S17" s="1559">
        <f t="shared" si="0"/>
        <v>100</v>
      </c>
      <c r="T17" s="1558" t="s">
        <v>8</v>
      </c>
      <c r="U17" s="1559">
        <f t="shared" si="1"/>
        <v>100</v>
      </c>
      <c r="V17" s="1558" t="s">
        <v>8</v>
      </c>
      <c r="W17" s="1559">
        <f t="shared" si="2"/>
        <v>100</v>
      </c>
      <c r="X17" s="1552"/>
      <c r="Y17" s="3472" t="s">
        <v>540</v>
      </c>
      <c r="Z17" s="1560" t="str">
        <f t="shared" si="7"/>
        <v>产业集聚程度</v>
      </c>
      <c r="AA17" s="1561">
        <f t="shared" si="3"/>
        <v>1</v>
      </c>
      <c r="AB17" s="1561">
        <f t="shared" si="4"/>
        <v>1</v>
      </c>
      <c r="AC17" s="1561">
        <f t="shared" si="5"/>
        <v>1</v>
      </c>
    </row>
    <row r="18" spans="1:29" ht="15">
      <c r="A18" s="531"/>
      <c r="B18" s="868"/>
      <c r="C18" s="575"/>
      <c r="D18" s="554"/>
      <c r="E18" s="553"/>
      <c r="F18" s="554"/>
      <c r="G18" s="553"/>
      <c r="H18" s="558"/>
      <c r="I18" s="553"/>
      <c r="J18" s="554"/>
      <c r="K18" s="530"/>
      <c r="L18" s="2126"/>
      <c r="M18" s="2118"/>
      <c r="N18" s="2118"/>
      <c r="O18" s="2125"/>
      <c r="P18" s="3473"/>
      <c r="Q18" s="1557"/>
      <c r="R18" s="1558"/>
      <c r="S18" s="1559"/>
      <c r="T18" s="1558"/>
      <c r="U18" s="1559"/>
      <c r="V18" s="1558"/>
      <c r="W18" s="1559"/>
      <c r="X18" s="1552"/>
      <c r="Y18" s="3473"/>
      <c r="Z18" s="1560"/>
      <c r="AA18" s="1561">
        <v>1</v>
      </c>
      <c r="AB18" s="1561">
        <v>1</v>
      </c>
      <c r="AC18" s="1561">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6"/>
      <c r="M19" s="2118"/>
      <c r="N19" s="2118"/>
      <c r="O19" s="2125"/>
      <c r="P19" s="3473"/>
      <c r="Q19" s="1557" t="str">
        <f>B19</f>
        <v>交通便捷度</v>
      </c>
      <c r="R19" s="1558" t="s">
        <v>8</v>
      </c>
      <c r="S19" s="1559">
        <f>F19</f>
        <v>100</v>
      </c>
      <c r="T19" s="1558" t="s">
        <v>8</v>
      </c>
      <c r="U19" s="1559">
        <f>H19</f>
        <v>100</v>
      </c>
      <c r="V19" s="1558" t="s">
        <v>8</v>
      </c>
      <c r="W19" s="1559">
        <f>J19</f>
        <v>100</v>
      </c>
      <c r="X19" s="1552"/>
      <c r="Y19" s="3473"/>
      <c r="Z19" s="1560" t="str">
        <f>Q19</f>
        <v>交通便捷度</v>
      </c>
      <c r="AA19" s="1561">
        <f t="shared" si="3"/>
        <v>1</v>
      </c>
      <c r="AB19" s="1561">
        <f t="shared" si="4"/>
        <v>1</v>
      </c>
      <c r="AC19" s="1561">
        <f t="shared" si="5"/>
        <v>1</v>
      </c>
    </row>
    <row r="20" spans="1:29" ht="15">
      <c r="A20" s="531"/>
      <c r="B20" s="921"/>
      <c r="C20" s="575"/>
      <c r="D20" s="554"/>
      <c r="E20" s="555"/>
      <c r="F20" s="554"/>
      <c r="G20" s="555"/>
      <c r="H20" s="554"/>
      <c r="I20" s="557"/>
      <c r="J20" s="554"/>
      <c r="K20" s="530"/>
      <c r="L20" s="2126"/>
      <c r="M20" s="2118"/>
      <c r="N20" s="2118"/>
      <c r="O20" s="2125"/>
      <c r="P20" s="3473"/>
      <c r="Q20" s="1557"/>
      <c r="R20" s="1558"/>
      <c r="S20" s="1559"/>
      <c r="T20" s="1558"/>
      <c r="U20" s="1559"/>
      <c r="V20" s="1558"/>
      <c r="W20" s="1559"/>
      <c r="X20" s="1552"/>
      <c r="Y20" s="3473"/>
      <c r="Z20" s="1560"/>
      <c r="AA20" s="1561">
        <v>1</v>
      </c>
      <c r="AB20" s="1561">
        <v>1</v>
      </c>
      <c r="AC20" s="1561">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6"/>
      <c r="M21" s="2118"/>
      <c r="N21" s="2118"/>
      <c r="O21" s="2125"/>
      <c r="P21" s="3473"/>
      <c r="Q21" s="1557" t="str">
        <f t="shared" ref="Q21:Q35" si="8">B21</f>
        <v>区域土地利用方向</v>
      </c>
      <c r="R21" s="1558" t="s">
        <v>8</v>
      </c>
      <c r="S21" s="1559">
        <f>F21</f>
        <v>100</v>
      </c>
      <c r="T21" s="1558" t="s">
        <v>8</v>
      </c>
      <c r="U21" s="1559">
        <f>H21</f>
        <v>100</v>
      </c>
      <c r="V21" s="1558" t="s">
        <v>8</v>
      </c>
      <c r="W21" s="1559">
        <f>J21</f>
        <v>100</v>
      </c>
      <c r="X21" s="1552"/>
      <c r="Y21" s="3473"/>
      <c r="Z21" s="1560" t="str">
        <f>Q21</f>
        <v>区域土地利用方向</v>
      </c>
      <c r="AA21" s="1561">
        <f t="shared" si="3"/>
        <v>1</v>
      </c>
      <c r="AB21" s="1561">
        <f t="shared" si="4"/>
        <v>1</v>
      </c>
      <c r="AC21" s="1561">
        <f t="shared" si="5"/>
        <v>1</v>
      </c>
    </row>
    <row r="22" spans="1:29" ht="15">
      <c r="A22" s="514"/>
      <c r="B22" s="594"/>
      <c r="C22" s="575"/>
      <c r="D22" s="554"/>
      <c r="E22" s="555"/>
      <c r="F22" s="556"/>
      <c r="G22" s="557"/>
      <c r="H22" s="556"/>
      <c r="I22" s="557"/>
      <c r="J22" s="556"/>
      <c r="K22" s="1343"/>
      <c r="L22" s="2126"/>
      <c r="M22" s="2118"/>
      <c r="N22" s="2118"/>
      <c r="O22" s="2125"/>
      <c r="P22" s="3473"/>
      <c r="Q22" s="1557"/>
      <c r="R22" s="1558"/>
      <c r="S22" s="1559"/>
      <c r="T22" s="1558"/>
      <c r="U22" s="1559"/>
      <c r="V22" s="1558"/>
      <c r="W22" s="1559"/>
      <c r="X22" s="1552"/>
      <c r="Y22" s="3473"/>
      <c r="Z22" s="1560"/>
      <c r="AA22" s="1561"/>
      <c r="AB22" s="1561"/>
      <c r="AC22" s="1561"/>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6"/>
      <c r="M23" s="2118"/>
      <c r="N23" s="2118"/>
      <c r="O23" s="2125"/>
      <c r="P23" s="3473"/>
      <c r="Q23" s="1557" t="str">
        <f t="shared" si="8"/>
        <v>环境状况</v>
      </c>
      <c r="R23" s="1558" t="s">
        <v>8</v>
      </c>
      <c r="S23" s="1559">
        <f>F23</f>
        <v>100</v>
      </c>
      <c r="T23" s="1558" t="s">
        <v>8</v>
      </c>
      <c r="U23" s="1559">
        <f>H23</f>
        <v>100</v>
      </c>
      <c r="V23" s="1558" t="s">
        <v>8</v>
      </c>
      <c r="W23" s="1559">
        <f>J23</f>
        <v>100</v>
      </c>
      <c r="X23" s="1552"/>
      <c r="Y23" s="3473"/>
      <c r="Z23" s="1560" t="str">
        <f>Q23</f>
        <v>环境状况</v>
      </c>
      <c r="AA23" s="1561">
        <f t="shared" si="3"/>
        <v>1</v>
      </c>
      <c r="AB23" s="1561">
        <f t="shared" si="4"/>
        <v>1</v>
      </c>
      <c r="AC23" s="1561">
        <f t="shared" si="5"/>
        <v>1</v>
      </c>
    </row>
    <row r="24" spans="1:29" ht="15">
      <c r="A24" s="514"/>
      <c r="B24" s="594"/>
      <c r="C24" s="575"/>
      <c r="D24" s="554"/>
      <c r="E24" s="553"/>
      <c r="F24" s="554"/>
      <c r="G24" s="553"/>
      <c r="H24" s="554"/>
      <c r="I24" s="575"/>
      <c r="J24" s="554"/>
      <c r="K24" s="530"/>
      <c r="L24" s="2126"/>
      <c r="M24" s="2118"/>
      <c r="N24" s="2118"/>
      <c r="O24" s="2125"/>
      <c r="P24" s="3473"/>
      <c r="Q24" s="1557"/>
      <c r="R24" s="1558"/>
      <c r="S24" s="1559"/>
      <c r="T24" s="1558"/>
      <c r="U24" s="1559"/>
      <c r="V24" s="1558"/>
      <c r="W24" s="1559"/>
      <c r="X24" s="1552"/>
      <c r="Y24" s="3473"/>
      <c r="Z24" s="1560"/>
      <c r="AA24" s="1561">
        <v>1</v>
      </c>
      <c r="AB24" s="1561">
        <v>1</v>
      </c>
      <c r="AC24" s="1561">
        <v>1</v>
      </c>
    </row>
    <row r="25" spans="1:29" s="1215" customFormat="1" ht="42.75">
      <c r="A25" s="576"/>
      <c r="B25" s="2556" t="s">
        <v>2545</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9"/>
      <c r="M25" s="2120"/>
      <c r="N25" s="2120"/>
      <c r="O25" s="2121"/>
      <c r="P25" s="3473"/>
      <c r="Q25" s="1146" t="str">
        <f t="shared" si="8"/>
        <v>公共配套设施</v>
      </c>
      <c r="R25" s="1553" t="s">
        <v>8</v>
      </c>
      <c r="S25" s="1554">
        <f>F25</f>
        <v>100</v>
      </c>
      <c r="T25" s="1553" t="s">
        <v>8</v>
      </c>
      <c r="U25" s="1554">
        <f>H25</f>
        <v>100</v>
      </c>
      <c r="V25" s="1553" t="s">
        <v>8</v>
      </c>
      <c r="W25" s="1554">
        <f>J25</f>
        <v>100</v>
      </c>
      <c r="X25" s="1555"/>
      <c r="Y25" s="3473"/>
      <c r="Z25" s="1145" t="str">
        <f>Q25</f>
        <v>公共配套设施</v>
      </c>
      <c r="AA25" s="1561">
        <f>D25/F25</f>
        <v>1</v>
      </c>
      <c r="AB25" s="1561">
        <f>D25/H25</f>
        <v>1</v>
      </c>
      <c r="AC25" s="1561">
        <f>D25/J25</f>
        <v>1</v>
      </c>
    </row>
    <row r="26" spans="1:29" s="1215" customFormat="1" ht="15">
      <c r="A26" s="576"/>
      <c r="B26" s="594"/>
      <c r="C26" s="2555"/>
      <c r="D26" s="554"/>
      <c r="E26" s="553"/>
      <c r="F26" s="554"/>
      <c r="G26" s="553"/>
      <c r="H26" s="554"/>
      <c r="I26" s="575"/>
      <c r="J26" s="554"/>
      <c r="K26" s="530"/>
      <c r="L26" s="2119"/>
      <c r="M26" s="2120"/>
      <c r="N26" s="2120"/>
      <c r="O26" s="2121"/>
      <c r="P26" s="3473"/>
      <c r="Q26" s="1146"/>
      <c r="R26" s="1553"/>
      <c r="S26" s="1554"/>
      <c r="T26" s="1553"/>
      <c r="U26" s="1554"/>
      <c r="V26" s="1553"/>
      <c r="W26" s="1554"/>
      <c r="X26" s="1555"/>
      <c r="Y26" s="3473"/>
      <c r="Z26" s="1145"/>
      <c r="AA26" s="1556">
        <v>1</v>
      </c>
      <c r="AB26" s="1556">
        <v>1</v>
      </c>
      <c r="AC26" s="1556">
        <v>1</v>
      </c>
    </row>
    <row r="27" spans="1:29" s="1215" customFormat="1" ht="28.5">
      <c r="A27" s="576"/>
      <c r="B27" s="2556" t="s">
        <v>2546</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9"/>
      <c r="M27" s="2120"/>
      <c r="N27" s="2120"/>
      <c r="O27" s="2121"/>
      <c r="P27" s="3473"/>
      <c r="Q27" s="2541" t="str">
        <f t="shared" ref="Q27" si="9">B27</f>
        <v>基础设施水平</v>
      </c>
      <c r="R27" s="1553" t="s">
        <v>8</v>
      </c>
      <c r="S27" s="1554">
        <f>F27</f>
        <v>100</v>
      </c>
      <c r="T27" s="1553" t="s">
        <v>8</v>
      </c>
      <c r="U27" s="1554">
        <f>H27</f>
        <v>100</v>
      </c>
      <c r="V27" s="1553" t="s">
        <v>8</v>
      </c>
      <c r="W27" s="1554">
        <f>J27</f>
        <v>100</v>
      </c>
      <c r="X27" s="1555"/>
      <c r="Y27" s="3473"/>
      <c r="Z27" s="2538" t="str">
        <f>Q27</f>
        <v>基础设施水平</v>
      </c>
      <c r="AA27" s="1561">
        <f>D27/F27</f>
        <v>1</v>
      </c>
      <c r="AB27" s="1561">
        <f>D27/H27</f>
        <v>1</v>
      </c>
      <c r="AC27" s="1561">
        <f>D27/J27</f>
        <v>1</v>
      </c>
    </row>
    <row r="28" spans="1:29" s="1215" customFormat="1" ht="15">
      <c r="A28" s="576"/>
      <c r="B28" s="594"/>
      <c r="C28" s="2555"/>
      <c r="D28" s="554"/>
      <c r="E28" s="578"/>
      <c r="F28" s="554"/>
      <c r="G28" s="578"/>
      <c r="H28" s="554"/>
      <c r="I28" s="578"/>
      <c r="J28" s="554"/>
      <c r="K28" s="530"/>
      <c r="L28" s="2119"/>
      <c r="M28" s="2120"/>
      <c r="N28" s="2120"/>
      <c r="O28" s="2121"/>
      <c r="P28" s="3473"/>
      <c r="Q28" s="2541"/>
      <c r="R28" s="1553"/>
      <c r="S28" s="1554"/>
      <c r="T28" s="1553"/>
      <c r="U28" s="1554"/>
      <c r="V28" s="1553"/>
      <c r="W28" s="1554"/>
      <c r="X28" s="1555"/>
      <c r="Y28" s="3473"/>
      <c r="Z28" s="2538"/>
      <c r="AA28" s="1556">
        <v>1</v>
      </c>
      <c r="AB28" s="1556">
        <v>1</v>
      </c>
      <c r="AC28" s="1556">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6"/>
      <c r="M29" s="2118"/>
      <c r="N29" s="2118"/>
      <c r="O29" s="2125"/>
      <c r="P29" s="3473"/>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73"/>
      <c r="Z29" s="1560" t="str">
        <f t="shared" ref="Z29:Z42" si="13">Q29</f>
        <v>临街状况</v>
      </c>
      <c r="AA29" s="1561">
        <f t="shared" si="3"/>
        <v>1</v>
      </c>
      <c r="AB29" s="1561">
        <f t="shared" si="4"/>
        <v>1</v>
      </c>
      <c r="AC29" s="1561">
        <f t="shared" si="5"/>
        <v>1</v>
      </c>
    </row>
    <row r="30" spans="1:29" ht="27">
      <c r="A30" s="531"/>
      <c r="B30" s="921" t="s">
        <v>548</v>
      </c>
      <c r="C30" s="255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6"/>
      <c r="M30" s="2118"/>
      <c r="N30" s="2118"/>
      <c r="O30" s="2125"/>
      <c r="P30" s="3473"/>
      <c r="Q30" s="1557" t="str">
        <f t="shared" si="8"/>
        <v>毗邻道路的类型与等级</v>
      </c>
      <c r="R30" s="1558" t="s">
        <v>8</v>
      </c>
      <c r="S30" s="1559">
        <f t="shared" si="10"/>
        <v>100</v>
      </c>
      <c r="T30" s="1558" t="s">
        <v>8</v>
      </c>
      <c r="U30" s="1559">
        <f t="shared" si="11"/>
        <v>100</v>
      </c>
      <c r="V30" s="1558" t="s">
        <v>8</v>
      </c>
      <c r="W30" s="1559">
        <f t="shared" si="12"/>
        <v>100</v>
      </c>
      <c r="X30" s="1552"/>
      <c r="Y30" s="3473"/>
      <c r="Z30" s="1560" t="str">
        <f t="shared" si="13"/>
        <v>毗邻道路的类型与等级</v>
      </c>
      <c r="AA30" s="1561">
        <f t="shared" si="3"/>
        <v>1</v>
      </c>
      <c r="AB30" s="1561">
        <f t="shared" si="4"/>
        <v>1</v>
      </c>
      <c r="AC30" s="1561">
        <f t="shared" si="5"/>
        <v>1</v>
      </c>
    </row>
    <row r="31" spans="1:29" ht="15">
      <c r="A31" s="531"/>
      <c r="B31" s="594"/>
      <c r="C31" s="575"/>
      <c r="D31" s="554"/>
      <c r="E31" s="575"/>
      <c r="F31" s="554"/>
      <c r="G31" s="575"/>
      <c r="H31" s="554"/>
      <c r="I31" s="575"/>
      <c r="J31" s="554"/>
      <c r="K31" s="580"/>
      <c r="L31" s="2126"/>
      <c r="M31" s="2118"/>
      <c r="N31" s="2118"/>
      <c r="O31" s="2125"/>
      <c r="P31" s="3473"/>
      <c r="Q31" s="1557"/>
      <c r="R31" s="1558"/>
      <c r="S31" s="1559"/>
      <c r="T31" s="1558"/>
      <c r="U31" s="1559"/>
      <c r="V31" s="1558"/>
      <c r="W31" s="1559"/>
      <c r="X31" s="1552"/>
      <c r="Y31" s="3473"/>
      <c r="Z31" s="1560"/>
      <c r="AA31" s="1561">
        <v>1</v>
      </c>
      <c r="AB31" s="1561">
        <v>1</v>
      </c>
      <c r="AC31" s="1561">
        <v>1</v>
      </c>
    </row>
    <row r="32" spans="1:29" ht="15">
      <c r="A32" s="531"/>
      <c r="B32" s="526" t="s">
        <v>549</v>
      </c>
      <c r="C32" s="255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6"/>
      <c r="M32" s="2118"/>
      <c r="N32" s="2118"/>
      <c r="O32" s="2125"/>
      <c r="P32" s="3473"/>
      <c r="Q32" s="1557" t="str">
        <f t="shared" si="8"/>
        <v>土地级别</v>
      </c>
      <c r="R32" s="1558" t="s">
        <v>8</v>
      </c>
      <c r="S32" s="1559">
        <f t="shared" si="10"/>
        <v>100</v>
      </c>
      <c r="T32" s="1558" t="s">
        <v>8</v>
      </c>
      <c r="U32" s="1559">
        <f t="shared" si="11"/>
        <v>100</v>
      </c>
      <c r="V32" s="1558" t="s">
        <v>8</v>
      </c>
      <c r="W32" s="1559">
        <f t="shared" si="12"/>
        <v>100</v>
      </c>
      <c r="X32" s="1552"/>
      <c r="Y32" s="3473"/>
      <c r="Z32" s="1560" t="str">
        <f t="shared" si="13"/>
        <v>土地级别</v>
      </c>
      <c r="AA32" s="1561">
        <f t="shared" si="3"/>
        <v>1</v>
      </c>
      <c r="AB32" s="1561">
        <f t="shared" si="4"/>
        <v>1</v>
      </c>
      <c r="AC32" s="1561">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6"/>
      <c r="M33" s="2118"/>
      <c r="N33" s="2118"/>
      <c r="O33" s="2125"/>
      <c r="P33" s="3473"/>
      <c r="Q33" s="1557">
        <f t="shared" si="8"/>
        <v>111</v>
      </c>
      <c r="R33" s="1558" t="s">
        <v>8</v>
      </c>
      <c r="S33" s="1559">
        <f t="shared" si="10"/>
        <v>100</v>
      </c>
      <c r="T33" s="1558" t="s">
        <v>8</v>
      </c>
      <c r="U33" s="1559">
        <f t="shared" si="11"/>
        <v>100</v>
      </c>
      <c r="V33" s="1558" t="s">
        <v>8</v>
      </c>
      <c r="W33" s="1559">
        <f t="shared" si="12"/>
        <v>100</v>
      </c>
      <c r="X33" s="1552"/>
      <c r="Y33" s="3473"/>
      <c r="Z33" s="1560">
        <f t="shared" si="13"/>
        <v>111</v>
      </c>
      <c r="AA33" s="1561">
        <f t="shared" si="3"/>
        <v>1</v>
      </c>
      <c r="AB33" s="1561">
        <f t="shared" si="4"/>
        <v>1</v>
      </c>
      <c r="AC33" s="1561">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6"/>
      <c r="M34" s="2118"/>
      <c r="N34" s="2118"/>
      <c r="O34" s="2125"/>
      <c r="P34" s="3474" t="s">
        <v>550</v>
      </c>
      <c r="Q34" s="1557">
        <f t="shared" si="8"/>
        <v>111</v>
      </c>
      <c r="R34" s="1558" t="s">
        <v>8</v>
      </c>
      <c r="S34" s="1559">
        <f t="shared" si="10"/>
        <v>100</v>
      </c>
      <c r="T34" s="1558" t="s">
        <v>8</v>
      </c>
      <c r="U34" s="1559">
        <f t="shared" si="11"/>
        <v>100</v>
      </c>
      <c r="V34" s="1558" t="s">
        <v>8</v>
      </c>
      <c r="W34" s="1559">
        <f t="shared" si="12"/>
        <v>100</v>
      </c>
      <c r="X34" s="1552"/>
      <c r="Y34" s="3475" t="s">
        <v>550</v>
      </c>
      <c r="Z34" s="1560">
        <f t="shared" si="13"/>
        <v>111</v>
      </c>
      <c r="AA34" s="1561">
        <f t="shared" si="3"/>
        <v>1</v>
      </c>
      <c r="AB34" s="1561">
        <f t="shared" si="4"/>
        <v>1</v>
      </c>
      <c r="AC34" s="1561">
        <f t="shared" si="5"/>
        <v>1</v>
      </c>
    </row>
    <row r="35" spans="1:29" s="1334" customFormat="1" ht="15.75" thickBot="1">
      <c r="A35" s="588"/>
      <c r="B35" s="255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4"/>
      <c r="M35" s="2155"/>
      <c r="N35" s="2155"/>
      <c r="O35" s="2127"/>
      <c r="P35" s="3475"/>
      <c r="Q35" s="1557">
        <f t="shared" si="8"/>
        <v>111</v>
      </c>
      <c r="R35" s="1562" t="s">
        <v>8</v>
      </c>
      <c r="S35" s="1563">
        <f t="shared" si="10"/>
        <v>100</v>
      </c>
      <c r="T35" s="1562" t="s">
        <v>8</v>
      </c>
      <c r="U35" s="1563">
        <f t="shared" si="11"/>
        <v>100</v>
      </c>
      <c r="V35" s="1562" t="s">
        <v>8</v>
      </c>
      <c r="W35" s="1563">
        <f t="shared" si="12"/>
        <v>100</v>
      </c>
      <c r="X35" s="1564"/>
      <c r="Y35" s="3475"/>
      <c r="Z35" s="1565">
        <f t="shared" si="13"/>
        <v>111</v>
      </c>
      <c r="AA35" s="1561">
        <f t="shared" si="3"/>
        <v>1</v>
      </c>
      <c r="AB35" s="1561">
        <f t="shared" si="4"/>
        <v>1</v>
      </c>
      <c r="AC35" s="1561">
        <f t="shared" si="5"/>
        <v>1</v>
      </c>
    </row>
    <row r="36" spans="1:29" ht="15">
      <c r="A36" s="2745" t="s">
        <v>2751</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6"/>
      <c r="M36" s="2118"/>
      <c r="N36" s="2118"/>
      <c r="O36" s="2125"/>
      <c r="P36" s="3475"/>
      <c r="Q36" s="1557" t="str">
        <f>B36</f>
        <v>宗地面积</v>
      </c>
      <c r="R36" s="1558" t="s">
        <v>8</v>
      </c>
      <c r="S36" s="1559" t="e">
        <f t="shared" si="10"/>
        <v>#N/A</v>
      </c>
      <c r="T36" s="1558" t="s">
        <v>8</v>
      </c>
      <c r="U36" s="1559" t="e">
        <f t="shared" si="11"/>
        <v>#N/A</v>
      </c>
      <c r="V36" s="1558" t="s">
        <v>8</v>
      </c>
      <c r="W36" s="1559" t="e">
        <f t="shared" si="12"/>
        <v>#N/A</v>
      </c>
      <c r="X36" s="1552"/>
      <c r="Y36" s="3475"/>
      <c r="Z36" s="1560" t="str">
        <f t="shared" si="13"/>
        <v>宗地面积</v>
      </c>
      <c r="AA36" s="1561" t="e">
        <f t="shared" si="3"/>
        <v>#N/A</v>
      </c>
      <c r="AB36" s="1561" t="e">
        <f t="shared" si="4"/>
        <v>#N/A</v>
      </c>
      <c r="AC36" s="1561"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6"/>
      <c r="M37" s="2118"/>
      <c r="N37" s="2118"/>
      <c r="O37" s="2125"/>
      <c r="P37" s="3475"/>
      <c r="Q37" s="1557" t="str">
        <f t="shared" ref="Q37:Q42" si="14">B37</f>
        <v>宗地形状</v>
      </c>
      <c r="R37" s="1558" t="s">
        <v>8</v>
      </c>
      <c r="S37" s="1559">
        <f t="shared" si="10"/>
        <v>100</v>
      </c>
      <c r="T37" s="1558" t="s">
        <v>8</v>
      </c>
      <c r="U37" s="1559">
        <f t="shared" si="11"/>
        <v>100</v>
      </c>
      <c r="V37" s="1558" t="s">
        <v>8</v>
      </c>
      <c r="W37" s="1559">
        <f t="shared" si="12"/>
        <v>100</v>
      </c>
      <c r="X37" s="1552"/>
      <c r="Y37" s="3475"/>
      <c r="Z37" s="1560" t="str">
        <f t="shared" si="13"/>
        <v>宗地形状</v>
      </c>
      <c r="AA37" s="1561">
        <f t="shared" si="3"/>
        <v>1</v>
      </c>
      <c r="AB37" s="1561">
        <f t="shared" si="4"/>
        <v>1</v>
      </c>
      <c r="AC37" s="1561">
        <f t="shared" si="5"/>
        <v>1</v>
      </c>
    </row>
    <row r="38" spans="1:29" s="1215" customFormat="1" ht="15">
      <c r="A38" s="599"/>
      <c r="B38" s="1879" t="s">
        <v>2421</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9"/>
      <c r="M38" s="2120"/>
      <c r="N38" s="2120"/>
      <c r="O38" s="2121"/>
      <c r="P38" s="3475"/>
      <c r="Q38" s="1557" t="str">
        <f t="shared" si="14"/>
        <v>宗地开发程度</v>
      </c>
      <c r="R38" s="1553" t="s">
        <v>8</v>
      </c>
      <c r="S38" s="1554">
        <f t="shared" si="10"/>
        <v>100</v>
      </c>
      <c r="T38" s="1553" t="s">
        <v>8</v>
      </c>
      <c r="U38" s="1554">
        <f t="shared" si="11"/>
        <v>100</v>
      </c>
      <c r="V38" s="1553" t="s">
        <v>8</v>
      </c>
      <c r="W38" s="1554">
        <f t="shared" si="12"/>
        <v>100</v>
      </c>
      <c r="X38" s="1555"/>
      <c r="Y38" s="3475"/>
      <c r="Z38" s="1145" t="str">
        <f t="shared" si="13"/>
        <v>宗地开发程度</v>
      </c>
      <c r="AA38" s="1556">
        <f t="shared" si="3"/>
        <v>1</v>
      </c>
      <c r="AB38" s="1556">
        <f t="shared" si="4"/>
        <v>1</v>
      </c>
      <c r="AC38" s="1556">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475" t="s">
        <v>601</v>
      </c>
      <c r="Q39" s="1557" t="str">
        <f t="shared" si="14"/>
        <v>工程地质条件</v>
      </c>
      <c r="R39" s="1558" t="s">
        <v>8</v>
      </c>
      <c r="S39" s="1559">
        <f t="shared" si="10"/>
        <v>100</v>
      </c>
      <c r="T39" s="1558" t="s">
        <v>8</v>
      </c>
      <c r="U39" s="1559">
        <f t="shared" si="11"/>
        <v>100</v>
      </c>
      <c r="V39" s="1558" t="s">
        <v>8</v>
      </c>
      <c r="W39" s="1559">
        <f t="shared" si="12"/>
        <v>100</v>
      </c>
      <c r="X39" s="1552"/>
      <c r="Y39" s="3475" t="s">
        <v>601</v>
      </c>
      <c r="Z39" s="1560" t="str">
        <f t="shared" si="13"/>
        <v>工程地质条件</v>
      </c>
      <c r="AA39" s="1561">
        <f t="shared" si="3"/>
        <v>1</v>
      </c>
      <c r="AB39" s="1561">
        <f t="shared" si="4"/>
        <v>1</v>
      </c>
      <c r="AC39" s="1561">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6"/>
      <c r="M40" s="2118"/>
      <c r="N40" s="2118"/>
      <c r="O40" s="2125"/>
      <c r="P40" s="3475"/>
      <c r="Q40" s="1557">
        <f t="shared" si="14"/>
        <v>111</v>
      </c>
      <c r="R40" s="1558" t="s">
        <v>8</v>
      </c>
      <c r="S40" s="1559">
        <f t="shared" si="10"/>
        <v>100</v>
      </c>
      <c r="T40" s="1558" t="s">
        <v>8</v>
      </c>
      <c r="U40" s="1559">
        <f t="shared" si="11"/>
        <v>100</v>
      </c>
      <c r="V40" s="1558" t="s">
        <v>8</v>
      </c>
      <c r="W40" s="1559">
        <f t="shared" si="12"/>
        <v>100</v>
      </c>
      <c r="X40" s="1552"/>
      <c r="Y40" s="3475"/>
      <c r="Z40" s="1560">
        <f t="shared" si="13"/>
        <v>111</v>
      </c>
      <c r="AA40" s="1561">
        <f t="shared" si="3"/>
        <v>1</v>
      </c>
      <c r="AB40" s="1561">
        <f t="shared" si="4"/>
        <v>1</v>
      </c>
      <c r="AC40" s="1561">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6"/>
      <c r="M41" s="2118"/>
      <c r="N41" s="2118"/>
      <c r="O41" s="2125"/>
      <c r="P41" s="3475"/>
      <c r="Q41" s="1557">
        <f t="shared" si="14"/>
        <v>111</v>
      </c>
      <c r="R41" s="1558" t="s">
        <v>8</v>
      </c>
      <c r="S41" s="1559">
        <f t="shared" si="10"/>
        <v>100</v>
      </c>
      <c r="T41" s="1558" t="s">
        <v>8</v>
      </c>
      <c r="U41" s="1559">
        <f t="shared" si="11"/>
        <v>100</v>
      </c>
      <c r="V41" s="1558" t="s">
        <v>8</v>
      </c>
      <c r="W41" s="1559">
        <f t="shared" si="12"/>
        <v>100</v>
      </c>
      <c r="X41" s="1552"/>
      <c r="Y41" s="3475"/>
      <c r="Z41" s="1560">
        <f t="shared" si="13"/>
        <v>111</v>
      </c>
      <c r="AA41" s="1561">
        <f t="shared" si="3"/>
        <v>1</v>
      </c>
      <c r="AB41" s="1561">
        <f t="shared" si="4"/>
        <v>1</v>
      </c>
      <c r="AC41" s="1561">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4"/>
      <c r="M42" s="2155"/>
      <c r="N42" s="2155"/>
      <c r="O42" s="2127"/>
      <c r="P42" s="3475"/>
      <c r="Q42" s="1557">
        <f t="shared" si="14"/>
        <v>111</v>
      </c>
      <c r="R42" s="1562" t="s">
        <v>8</v>
      </c>
      <c r="S42" s="1563">
        <f t="shared" si="10"/>
        <v>100</v>
      </c>
      <c r="T42" s="1562" t="s">
        <v>8</v>
      </c>
      <c r="U42" s="1563">
        <f t="shared" si="11"/>
        <v>100</v>
      </c>
      <c r="V42" s="1562" t="s">
        <v>8</v>
      </c>
      <c r="W42" s="1563">
        <f t="shared" si="12"/>
        <v>100</v>
      </c>
      <c r="X42" s="1564"/>
      <c r="Y42" s="3475"/>
      <c r="Z42" s="1565">
        <f t="shared" si="13"/>
        <v>111</v>
      </c>
      <c r="AA42" s="1561">
        <f t="shared" si="3"/>
        <v>1</v>
      </c>
      <c r="AB42" s="1561">
        <f t="shared" si="4"/>
        <v>1</v>
      </c>
      <c r="AC42" s="1561">
        <f t="shared" si="5"/>
        <v>1</v>
      </c>
    </row>
    <row r="43" spans="1:29" ht="15">
      <c r="A43" s="606" t="s">
        <v>556</v>
      </c>
      <c r="B43" s="607" t="s">
        <v>2931</v>
      </c>
      <c r="C43" s="608" t="s">
        <v>1</v>
      </c>
      <c r="D43" s="609"/>
      <c r="E43" s="610"/>
      <c r="F43" s="611"/>
      <c r="G43" s="612"/>
      <c r="H43" s="613"/>
      <c r="I43" s="610"/>
      <c r="J43" s="613"/>
      <c r="K43" s="1335"/>
      <c r="L43" s="2128"/>
      <c r="M43" s="2118"/>
      <c r="N43" s="2118"/>
      <c r="O43" s="2129"/>
      <c r="P43" s="3469" t="str">
        <f>A43</f>
        <v>成交单价</v>
      </c>
      <c r="Q43" s="3469"/>
      <c r="R43" s="3471">
        <f>E43</f>
        <v>0</v>
      </c>
      <c r="S43" s="3471"/>
      <c r="T43" s="3471">
        <f>G43</f>
        <v>0</v>
      </c>
      <c r="U43" s="3471"/>
      <c r="V43" s="3471">
        <f>I43</f>
        <v>0</v>
      </c>
      <c r="W43" s="3471"/>
      <c r="X43" s="1544"/>
      <c r="Y43" s="1566"/>
      <c r="Z43" s="1544"/>
      <c r="AA43" s="1544"/>
      <c r="AB43" s="1544"/>
      <c r="AC43" s="1544"/>
    </row>
    <row r="44" spans="1:29" ht="15.75" thickBot="1">
      <c r="A44" s="614" t="s">
        <v>2689</v>
      </c>
      <c r="B44" s="615"/>
      <c r="C44" s="616" t="e">
        <f>R45</f>
        <v>#DIV/0!</v>
      </c>
      <c r="D44" s="617"/>
      <c r="E44" s="616" t="e">
        <f>R44</f>
        <v>#DIV/0!</v>
      </c>
      <c r="F44" s="618"/>
      <c r="G44" s="619" t="e">
        <f>T44</f>
        <v>#DIV/0!</v>
      </c>
      <c r="H44" s="617"/>
      <c r="I44" s="616" t="e">
        <f>V44</f>
        <v>#DIV/0!</v>
      </c>
      <c r="J44" s="617"/>
      <c r="K44" s="1336"/>
      <c r="L44" s="2128"/>
      <c r="M44" s="2118"/>
      <c r="N44" s="2118"/>
      <c r="O44" s="2129"/>
      <c r="P44" s="3469" t="str">
        <f>A44</f>
        <v>比较价格（元/平方米）</v>
      </c>
      <c r="Q44" s="3469"/>
      <c r="R44" s="3470" t="e">
        <f>ROUND(PRODUCT(R43,AA9:AA42),0)</f>
        <v>#DIV/0!</v>
      </c>
      <c r="S44" s="3470"/>
      <c r="T44" s="3470" t="e">
        <f>ROUND(PRODUCT(T43,AB9:AB42),0)</f>
        <v>#DIV/0!</v>
      </c>
      <c r="U44" s="3470"/>
      <c r="V44" s="3470" t="e">
        <f>ROUND(PRODUCT(V43,AC9:AC42),0)</f>
        <v>#DIV/0!</v>
      </c>
      <c r="W44" s="3470"/>
      <c r="X44" s="1544"/>
      <c r="Y44" s="1544"/>
      <c r="Z44" s="1544"/>
      <c r="AA44" s="1544"/>
      <c r="AB44" s="1544"/>
      <c r="AC44" s="1544"/>
    </row>
    <row r="45" spans="1:29" ht="15.75" thickBot="1">
      <c r="A45" s="620" t="s">
        <v>2932</v>
      </c>
      <c r="B45" s="621"/>
      <c r="C45" s="622" t="e">
        <f>R45</f>
        <v>#DIV/0!</v>
      </c>
      <c r="D45" s="622"/>
      <c r="E45" s="622"/>
      <c r="F45" s="622"/>
      <c r="G45" s="622"/>
      <c r="H45" s="622"/>
      <c r="I45" s="622"/>
      <c r="J45" s="622"/>
      <c r="K45" s="1337"/>
      <c r="L45" s="2128"/>
      <c r="M45" s="2118"/>
      <c r="N45" s="2118"/>
      <c r="O45" s="2129"/>
      <c r="P45" s="3466" t="str">
        <f>A45</f>
        <v>估价对象XX用房的比较价格（楼面单价，元/平方米）</v>
      </c>
      <c r="Q45" s="3467"/>
      <c r="R45" s="3468" t="e">
        <f>ROUND(AVERAGE(R44:V44),0)</f>
        <v>#DIV/0!</v>
      </c>
      <c r="S45" s="3468"/>
      <c r="T45" s="3468"/>
      <c r="U45" s="3468"/>
      <c r="V45" s="3468"/>
      <c r="W45" s="3468"/>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8" t="s">
        <v>560</v>
      </c>
      <c r="B52" s="629" t="s">
        <v>561</v>
      </c>
      <c r="C52" s="1545" t="s">
        <v>1724</v>
      </c>
      <c r="D52" s="2211" t="s">
        <v>2290</v>
      </c>
      <c r="E52" s="630" t="s">
        <v>562</v>
      </c>
      <c r="F52" s="1935" t="s">
        <v>563</v>
      </c>
      <c r="G52" s="3461" t="s">
        <v>2282</v>
      </c>
      <c r="H52" s="3462"/>
      <c r="I52" s="1936" t="s">
        <v>1943</v>
      </c>
      <c r="J52" s="1540">
        <f>项目基本情况!F41</f>
        <v>0</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2.75">
      <c r="A53" s="632" t="s">
        <v>564</v>
      </c>
      <c r="B53" s="633" t="e">
        <f>C45</f>
        <v>#DIV/0!</v>
      </c>
      <c r="C53" s="634">
        <v>1</v>
      </c>
      <c r="D53" s="2212">
        <v>1</v>
      </c>
      <c r="E53" s="634">
        <f>'数据-汇总表'!E8+'数据-汇总表'!E9</f>
        <v>1383047.99</v>
      </c>
      <c r="F53" s="1934" t="e">
        <f t="shared" ref="F53:F62" si="15">ROUND(B53*E53/10000,0)</f>
        <v>#DIV/0!</v>
      </c>
      <c r="G53" s="3463"/>
      <c r="H53" s="3464"/>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2.75">
      <c r="A54" s="636" t="s">
        <v>565</v>
      </c>
      <c r="B54" s="637" t="e">
        <f>ROUND($C$45*C54*D54,0)</f>
        <v>#DIV/0!</v>
      </c>
      <c r="C54" s="377">
        <f t="shared" ref="C54:C62" si="16">IF($C$52="北京市系数",I54,J54)</f>
        <v>0.7</v>
      </c>
      <c r="D54" s="2213">
        <v>0.25</v>
      </c>
      <c r="E54" s="638"/>
      <c r="F54" s="1934" t="e">
        <f t="shared" si="15"/>
        <v>#DIV/0!</v>
      </c>
      <c r="G54" s="3465" t="s">
        <v>2283</v>
      </c>
      <c r="H54" s="1938" t="str">
        <f>项目基本情况!B43</f>
        <v>七级</v>
      </c>
      <c r="I54" s="1937">
        <f>SUMIF(修正!$A$45:$A$56,H54,修正!B45:B56)</f>
        <v>0.7</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2.75">
      <c r="A55" s="636" t="s">
        <v>566</v>
      </c>
      <c r="B55" s="637" t="e">
        <f t="shared" ref="B55:B62" si="17">ROUND($C$45*C55*D55,0)</f>
        <v>#DIV/0!</v>
      </c>
      <c r="C55" s="377">
        <f t="shared" si="16"/>
        <v>0.4</v>
      </c>
      <c r="D55" s="2213">
        <v>0.25</v>
      </c>
      <c r="E55" s="638"/>
      <c r="F55" s="1934" t="e">
        <f t="shared" si="15"/>
        <v>#DIV/0!</v>
      </c>
      <c r="G55" s="3465"/>
      <c r="H55" s="1939" t="str">
        <f>项目基本情况!B43</f>
        <v>七级</v>
      </c>
      <c r="I55" s="1937">
        <f>SUMIF(修正!$A$45:$A$56,H55,修正!C45:C56)</f>
        <v>0.4</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2.75">
      <c r="A56" s="636" t="s">
        <v>567</v>
      </c>
      <c r="B56" s="637" t="e">
        <f t="shared" si="17"/>
        <v>#DIV/0!</v>
      </c>
      <c r="C56" s="377">
        <f t="shared" si="16"/>
        <v>0.28000000000000003</v>
      </c>
      <c r="D56" s="2213">
        <v>0.25</v>
      </c>
      <c r="E56" s="638"/>
      <c r="F56" s="1934" t="e">
        <f t="shared" si="15"/>
        <v>#DIV/0!</v>
      </c>
      <c r="G56" s="3465"/>
      <c r="H56" s="1939" t="str">
        <f>项目基本情况!B43</f>
        <v>七级</v>
      </c>
      <c r="I56" s="1937">
        <f>SUMIF(修正!$A$45:$A$56,H56,修正!D45:D56)</f>
        <v>0.28000000000000003</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2.75">
      <c r="A57" s="636" t="s">
        <v>568</v>
      </c>
      <c r="B57" s="637" t="e">
        <f t="shared" si="17"/>
        <v>#DIV/0!</v>
      </c>
      <c r="C57" s="377">
        <f t="shared" si="16"/>
        <v>0.25</v>
      </c>
      <c r="D57" s="2213">
        <v>0.25</v>
      </c>
      <c r="E57" s="638"/>
      <c r="F57" s="1934" t="e">
        <f t="shared" si="15"/>
        <v>#DIV/0!</v>
      </c>
      <c r="G57" s="3465"/>
      <c r="H57" s="1939" t="str">
        <f>项目基本情况!B43</f>
        <v>七级</v>
      </c>
      <c r="I57" s="1937">
        <f>SUMIF(修正!$A$45:$A$56,H57,修正!E45:E56)</f>
        <v>0.25</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2.75">
      <c r="A58" s="2315" t="s">
        <v>2325</v>
      </c>
      <c r="B58" s="637" t="e">
        <f t="shared" si="17"/>
        <v>#DIV/0!</v>
      </c>
      <c r="C58" s="377">
        <f t="shared" si="16"/>
        <v>0.25</v>
      </c>
      <c r="D58" s="2213">
        <v>0.25</v>
      </c>
      <c r="E58" s="640">
        <f>'数据-汇总表'!E11</f>
        <v>0</v>
      </c>
      <c r="F58" s="1934" t="e">
        <f t="shared" si="15"/>
        <v>#DIV/0!</v>
      </c>
      <c r="G58" s="1940" t="s">
        <v>2284</v>
      </c>
      <c r="H58" s="1939" t="str">
        <f>项目基本情况!C43</f>
        <v>七级</v>
      </c>
      <c r="I58" s="1937">
        <f>SUMIF(修正!$A$45:$A$56,H58,修正!F45:F56)</f>
        <v>0.25</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569</v>
      </c>
      <c r="B59" s="637" t="e">
        <f t="shared" si="17"/>
        <v>#DIV/0!</v>
      </c>
      <c r="C59" s="377">
        <f t="shared" si="16"/>
        <v>0.25</v>
      </c>
      <c r="D59" s="2213">
        <v>0.25</v>
      </c>
      <c r="E59" s="640">
        <f>'数据-汇总表'!E12</f>
        <v>415000</v>
      </c>
      <c r="F59" s="1934" t="e">
        <f t="shared" si="15"/>
        <v>#DIV/0!</v>
      </c>
      <c r="G59" s="1930" t="s">
        <v>1677</v>
      </c>
      <c r="H59" s="1938" t="str">
        <f>IF(G59="商业",项目基本情况!B43,IF(G59="办公",项目基本情况!C43,IF(G59="住宅",项目基本情况!D43,项目基本情况!E43)))</f>
        <v>七级</v>
      </c>
      <c r="I59" s="1937">
        <f>SUMIF(修正!$A$45:$A$56,H59,修正!G45:G56)</f>
        <v>0.25</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570</v>
      </c>
      <c r="B60" s="637" t="e">
        <f t="shared" si="17"/>
        <v>#DIV/0!</v>
      </c>
      <c r="C60" s="377">
        <f t="shared" si="16"/>
        <v>0.2</v>
      </c>
      <c r="D60" s="2213">
        <v>0.25</v>
      </c>
      <c r="E60" s="640">
        <f>'数据-汇总表'!E13</f>
        <v>415000</v>
      </c>
      <c r="F60" s="1934" t="e">
        <f t="shared" si="15"/>
        <v>#DIV/0!</v>
      </c>
      <c r="G60" s="1930" t="s">
        <v>923</v>
      </c>
      <c r="H60" s="1938" t="str">
        <f>IF(G60="商业",项目基本情况!B43,IF(G60="办公",项目基本情况!C43,IF(G60="住宅",项目基本情况!D43,项目基本情况!E43)))</f>
        <v>七级</v>
      </c>
      <c r="I60" s="1937">
        <f>SUMIF(修正!$A$45:$A$56,H60,修正!H45:H56)</f>
        <v>0.2</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571</v>
      </c>
      <c r="B61" s="637" t="e">
        <f t="shared" si="17"/>
        <v>#DIV/0!</v>
      </c>
      <c r="C61" s="377">
        <f t="shared" si="16"/>
        <v>0.2</v>
      </c>
      <c r="D61" s="2213">
        <v>0.25</v>
      </c>
      <c r="E61" s="640">
        <f>'数据-汇总表'!E14</f>
        <v>0</v>
      </c>
      <c r="F61" s="1934" t="e">
        <f t="shared" si="15"/>
        <v>#DIV/0!</v>
      </c>
      <c r="G61" s="1940" t="s">
        <v>2283</v>
      </c>
      <c r="H61" s="1939" t="str">
        <f>项目基本情况!B43</f>
        <v>七级</v>
      </c>
      <c r="I61" s="1937">
        <f>SUMIF(修正!$A$45:$A$56,H61,修正!H45:H56)</f>
        <v>0.2</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5" thickBot="1">
      <c r="A62" s="636" t="s">
        <v>572</v>
      </c>
      <c r="B62" s="637" t="e">
        <f t="shared" si="17"/>
        <v>#DIV/0!</v>
      </c>
      <c r="C62" s="377">
        <f t="shared" si="16"/>
        <v>0.2</v>
      </c>
      <c r="D62" s="2213">
        <v>0.25</v>
      </c>
      <c r="E62" s="640">
        <f>'数据-汇总表'!E15</f>
        <v>0</v>
      </c>
      <c r="F62" s="1934" t="e">
        <f t="shared" si="15"/>
        <v>#DIV/0!</v>
      </c>
      <c r="G62" s="1941" t="s">
        <v>2284</v>
      </c>
      <c r="H62" s="1942" t="str">
        <f>项目基本情况!C43</f>
        <v>七级</v>
      </c>
      <c r="I62" s="1937">
        <f>SUMIF(修正!$A$45:$A$56,H62,修正!H45:H56)</f>
        <v>0.2</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5" thickBot="1">
      <c r="A63" s="641" t="s">
        <v>573</v>
      </c>
      <c r="B63" s="642" t="s">
        <v>17</v>
      </c>
      <c r="C63" s="642" t="s">
        <v>18</v>
      </c>
      <c r="D63" s="642" t="s">
        <v>2291</v>
      </c>
      <c r="E63" s="642">
        <f>IF(B43="楼面地价",SUM(E53:E62),'数据-汇总表'!D3)</f>
        <v>798900</v>
      </c>
      <c r="F63" s="643"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638" t="str">
        <f>YEAR(C9)&amp;"-"&amp;MONTH(C9)&amp;"-1"</f>
        <v>2020-9-1</v>
      </c>
      <c r="D65" s="2637">
        <f>EDATE(C65,-3)</f>
        <v>43983</v>
      </c>
      <c r="E65" s="2637">
        <f t="shared" ref="E65:N65" si="18">EDATE(D65,-3)</f>
        <v>43891</v>
      </c>
      <c r="F65" s="2637">
        <f t="shared" si="18"/>
        <v>43800</v>
      </c>
      <c r="G65" s="2637">
        <f t="shared" si="18"/>
        <v>43709</v>
      </c>
      <c r="H65" s="2637">
        <f t="shared" si="18"/>
        <v>43617</v>
      </c>
      <c r="I65" s="2637">
        <f t="shared" si="18"/>
        <v>43525</v>
      </c>
      <c r="J65" s="2637">
        <f t="shared" si="18"/>
        <v>43435</v>
      </c>
      <c r="K65" s="2637">
        <f t="shared" si="18"/>
        <v>43344</v>
      </c>
      <c r="L65" s="2637">
        <f t="shared" si="18"/>
        <v>43252</v>
      </c>
      <c r="M65" s="2637">
        <f t="shared" si="18"/>
        <v>43160</v>
      </c>
      <c r="N65" s="2637">
        <f t="shared" si="18"/>
        <v>43070</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2" customFormat="1" ht="15">
      <c r="A67" s="2531" t="s">
        <v>2530</v>
      </c>
      <c r="B67" s="645"/>
      <c r="C67" s="2634" t="str">
        <f>YEAR(C65)&amp;"-"&amp;ROUNDUP(MONTH(C65)/3,0)</f>
        <v>2020-3</v>
      </c>
      <c r="D67" s="2639" t="str">
        <f t="shared" ref="D67:N67" si="19">YEAR(D65)&amp;"-"&amp;ROUNDUP(MONTH(D65)/3,0)</f>
        <v>2020-2</v>
      </c>
      <c r="E67" s="2639" t="str">
        <f t="shared" si="19"/>
        <v>2020-1</v>
      </c>
      <c r="F67" s="2639" t="str">
        <f t="shared" si="19"/>
        <v>2019-4</v>
      </c>
      <c r="G67" s="2639" t="str">
        <f t="shared" si="19"/>
        <v>2019-3</v>
      </c>
      <c r="H67" s="2639" t="str">
        <f t="shared" si="19"/>
        <v>2019-2</v>
      </c>
      <c r="I67" s="2639" t="str">
        <f t="shared" si="19"/>
        <v>2019-1</v>
      </c>
      <c r="J67" s="2639" t="str">
        <f t="shared" si="19"/>
        <v>2018-4</v>
      </c>
      <c r="K67" s="2639" t="str">
        <f t="shared" si="19"/>
        <v>2018-3</v>
      </c>
      <c r="L67" s="2639" t="str">
        <f t="shared" si="19"/>
        <v>2018-2</v>
      </c>
      <c r="M67" s="2639" t="str">
        <f t="shared" si="19"/>
        <v>2018-1</v>
      </c>
      <c r="N67" s="2639" t="str">
        <f t="shared" si="19"/>
        <v>2017-4</v>
      </c>
      <c r="O67" s="2143"/>
      <c r="P67" s="2144"/>
      <c r="Q67" s="2145"/>
      <c r="R67" s="2145"/>
      <c r="S67" s="2145"/>
      <c r="T67" s="2145"/>
      <c r="U67" s="2145"/>
      <c r="V67" s="2145"/>
      <c r="W67" s="2145"/>
      <c r="X67" s="2145"/>
      <c r="Y67" s="2145"/>
      <c r="Z67" s="2145"/>
      <c r="AA67" s="2145"/>
      <c r="AB67" s="2145"/>
      <c r="AC67" s="2145"/>
    </row>
    <row r="68" spans="1:29" s="1215" customFormat="1" ht="27.75" customHeight="1">
      <c r="A68" s="2636" t="s">
        <v>2645</v>
      </c>
      <c r="B68" s="478" t="str">
        <f>"北京市平均增长率"&amp;TEXT('基准地价-住宅'!P24,"0.00%")</f>
        <v>北京市平均增长率1.27%</v>
      </c>
      <c r="C68" s="893">
        <v>100</v>
      </c>
      <c r="D68" s="729"/>
      <c r="E68" s="729"/>
      <c r="F68" s="729"/>
      <c r="G68" s="729"/>
      <c r="H68" s="729"/>
      <c r="I68" s="729"/>
      <c r="J68" s="729"/>
      <c r="K68" s="729"/>
      <c r="L68" s="729"/>
      <c r="M68" s="2632"/>
      <c r="N68" s="2633"/>
      <c r="O68" s="2146"/>
      <c r="P68" s="2142"/>
      <c r="Q68" s="1977"/>
      <c r="R68" s="1977"/>
      <c r="S68" s="1977"/>
      <c r="T68" s="1977"/>
      <c r="U68" s="1977"/>
      <c r="V68" s="1977"/>
      <c r="W68" s="1977"/>
      <c r="X68" s="1977"/>
      <c r="Y68" s="1977"/>
      <c r="Z68" s="1977"/>
      <c r="AA68" s="1977"/>
      <c r="AB68" s="1977"/>
      <c r="AC68" s="1977"/>
    </row>
    <row r="69" spans="1:29" s="1215" customFormat="1" ht="15.75" thickBot="1">
      <c r="A69" s="652" t="s">
        <v>575</v>
      </c>
      <c r="B69" s="653"/>
      <c r="C69" s="2630"/>
      <c r="D69" s="2631"/>
      <c r="E69" s="2631"/>
      <c r="F69" s="2631"/>
      <c r="G69" s="2631"/>
      <c r="H69" s="2631"/>
      <c r="I69" s="2631"/>
      <c r="J69" s="2631"/>
      <c r="K69" s="2631"/>
      <c r="L69" s="2631"/>
      <c r="M69" s="2631"/>
      <c r="N69" s="2631"/>
      <c r="O69" s="2146"/>
      <c r="P69" s="2142"/>
      <c r="Q69" s="2142"/>
      <c r="R69" s="1977"/>
      <c r="S69" s="1977"/>
      <c r="T69" s="1977"/>
      <c r="U69" s="1977"/>
      <c r="V69" s="1977"/>
      <c r="W69" s="1977"/>
      <c r="X69" s="1977"/>
      <c r="Y69" s="1977"/>
      <c r="Z69" s="1977"/>
      <c r="AA69" s="1977"/>
      <c r="AB69" s="1977"/>
      <c r="AC69" s="1977"/>
    </row>
    <row r="70" spans="1:29" s="1215" customFormat="1" ht="15">
      <c r="A70" s="658" t="s">
        <v>531</v>
      </c>
      <c r="B70" s="647"/>
      <c r="C70" s="659" t="s">
        <v>576</v>
      </c>
      <c r="D70" s="660"/>
      <c r="E70" s="660"/>
      <c r="F70" s="660"/>
      <c r="G70" s="660"/>
      <c r="H70" s="660"/>
      <c r="I70" s="660"/>
      <c r="J70" s="660"/>
      <c r="K70" s="660"/>
      <c r="L70" s="661"/>
      <c r="M70" s="662"/>
      <c r="N70" s="2146"/>
      <c r="O70" s="2146"/>
      <c r="P70" s="2147"/>
      <c r="Q70" s="2142"/>
      <c r="R70" s="1977"/>
      <c r="S70" s="1977"/>
      <c r="T70" s="1977"/>
      <c r="U70" s="1977"/>
      <c r="V70" s="1977"/>
      <c r="W70" s="1977"/>
      <c r="X70" s="1977"/>
      <c r="Y70" s="1977"/>
      <c r="Z70" s="1977"/>
      <c r="AA70" s="1977"/>
      <c r="AB70" s="1977"/>
      <c r="AC70" s="1977"/>
    </row>
    <row r="71" spans="1:29" s="1215" customFormat="1" ht="15.75" thickBot="1">
      <c r="A71" s="658"/>
      <c r="B71" s="647"/>
      <c r="C71" s="648">
        <v>100</v>
      </c>
      <c r="D71" s="649"/>
      <c r="E71" s="649"/>
      <c r="F71" s="649"/>
      <c r="G71" s="649"/>
      <c r="H71" s="649"/>
      <c r="I71" s="649"/>
      <c r="J71" s="649"/>
      <c r="K71" s="649"/>
      <c r="L71" s="649"/>
      <c r="M71" s="651"/>
      <c r="N71" s="2146"/>
      <c r="O71" s="2146"/>
      <c r="P71" s="2142"/>
      <c r="Q71" s="2142"/>
      <c r="R71" s="1977"/>
      <c r="S71" s="1977"/>
      <c r="T71" s="1977"/>
      <c r="U71" s="1977"/>
      <c r="V71" s="1977"/>
      <c r="W71" s="1977"/>
      <c r="X71" s="1977"/>
      <c r="Y71" s="1977"/>
      <c r="Z71" s="1977"/>
      <c r="AA71" s="1977"/>
      <c r="AB71" s="1977"/>
      <c r="AC71" s="1977"/>
    </row>
    <row r="72" spans="1:29">
      <c r="A72" s="663" t="s">
        <v>577</v>
      </c>
      <c r="B72" s="664" t="s">
        <v>534</v>
      </c>
      <c r="C72" s="597"/>
      <c r="D72" s="597"/>
      <c r="E72" s="597"/>
      <c r="F72" s="597"/>
      <c r="G72" s="597"/>
      <c r="H72" s="597"/>
      <c r="I72" s="597"/>
      <c r="J72" s="597"/>
      <c r="K72" s="665"/>
      <c r="L72" s="666"/>
      <c r="M72" s="667"/>
      <c r="N72" s="2148"/>
      <c r="O72" s="2148"/>
      <c r="P72" s="2149"/>
      <c r="Q72" s="2142"/>
      <c r="R72" s="2129"/>
      <c r="S72" s="2129"/>
      <c r="T72" s="2129"/>
      <c r="U72" s="2129"/>
      <c r="V72" s="2129"/>
      <c r="W72" s="2129"/>
      <c r="X72" s="2129"/>
      <c r="Y72" s="2129"/>
      <c r="Z72" s="2129"/>
      <c r="AA72" s="2129"/>
      <c r="AB72" s="2129"/>
      <c r="AC72" s="2129"/>
    </row>
    <row r="73" spans="1:29" ht="15.75" thickBot="1">
      <c r="A73" s="668"/>
      <c r="B73" s="669"/>
      <c r="C73" s="670"/>
      <c r="D73" s="670"/>
      <c r="E73" s="670"/>
      <c r="F73" s="670"/>
      <c r="G73" s="670"/>
      <c r="H73" s="670"/>
      <c r="I73" s="670"/>
      <c r="J73" s="670"/>
      <c r="K73" s="670"/>
      <c r="L73" s="670"/>
      <c r="M73" s="671"/>
      <c r="N73" s="2150"/>
      <c r="O73" s="2150"/>
      <c r="P73" s="2149"/>
      <c r="Q73" s="2142"/>
      <c r="R73" s="2129"/>
      <c r="S73" s="2129"/>
      <c r="T73" s="2129"/>
      <c r="U73" s="2129"/>
      <c r="V73" s="2129"/>
      <c r="W73" s="2129"/>
      <c r="X73" s="2129"/>
      <c r="Y73" s="2129"/>
      <c r="Z73" s="2129"/>
      <c r="AA73" s="2129"/>
      <c r="AB73" s="2129"/>
      <c r="AC73" s="2129"/>
    </row>
    <row r="74" spans="1:29" ht="27.75" thickTop="1">
      <c r="A74" s="668"/>
      <c r="B74" s="672" t="s">
        <v>537</v>
      </c>
      <c r="C74" s="673"/>
      <c r="D74" s="673"/>
      <c r="E74" s="673"/>
      <c r="F74" s="673"/>
      <c r="G74" s="673"/>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c r="D75" s="678"/>
      <c r="E75" s="678"/>
      <c r="F75" s="678"/>
      <c r="G75" s="678"/>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8"/>
      <c r="B77" s="682"/>
      <c r="C77" s="540"/>
      <c r="D77" s="540"/>
      <c r="E77" s="540"/>
      <c r="F77" s="540"/>
      <c r="G77" s="540"/>
      <c r="H77" s="540"/>
      <c r="I77" s="540"/>
      <c r="J77" s="540"/>
      <c r="K77" s="683"/>
      <c r="L77" s="684"/>
      <c r="M77" s="685"/>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0"/>
      <c r="O78" s="2150"/>
      <c r="P78" s="2149"/>
      <c r="Q78" s="2142"/>
      <c r="R78" s="2129"/>
      <c r="S78" s="2129"/>
      <c r="T78" s="2129"/>
      <c r="U78" s="2129"/>
      <c r="V78" s="2129"/>
      <c r="W78" s="2129"/>
      <c r="X78" s="2129"/>
      <c r="Y78" s="2129"/>
      <c r="Z78" s="2129"/>
      <c r="AA78" s="2129"/>
      <c r="AB78" s="2129"/>
      <c r="AC78" s="2129"/>
    </row>
    <row r="79" spans="1:29" s="1334" customFormat="1" ht="15.75" thickTop="1">
      <c r="A79" s="686"/>
      <c r="B79" s="672">
        <f>B14</f>
        <v>111</v>
      </c>
      <c r="C79" s="687"/>
      <c r="D79" s="687"/>
      <c r="E79" s="687"/>
      <c r="F79" s="687"/>
      <c r="G79" s="687"/>
      <c r="H79" s="688"/>
      <c r="I79" s="688"/>
      <c r="J79" s="688"/>
      <c r="K79" s="688"/>
      <c r="L79" s="689"/>
      <c r="M79" s="690"/>
      <c r="N79" s="2151"/>
      <c r="O79" s="2151"/>
      <c r="P79" s="2152"/>
      <c r="Q79" s="2153"/>
      <c r="R79" s="2154"/>
      <c r="S79" s="2154"/>
      <c r="T79" s="2154"/>
      <c r="U79" s="2154"/>
      <c r="V79" s="2154"/>
      <c r="W79" s="2154"/>
      <c r="X79" s="2154"/>
      <c r="Y79" s="2154"/>
      <c r="Z79" s="2154"/>
      <c r="AA79" s="2154"/>
      <c r="AB79" s="2154"/>
      <c r="AC79" s="2154"/>
    </row>
    <row r="80" spans="1:29" s="1334" customFormat="1" ht="15.75" thickBot="1">
      <c r="A80" s="686"/>
      <c r="B80" s="677"/>
      <c r="C80" s="691"/>
      <c r="D80" s="670"/>
      <c r="E80" s="670"/>
      <c r="F80" s="670"/>
      <c r="G80" s="670"/>
      <c r="H80" s="670"/>
      <c r="I80" s="670"/>
      <c r="J80" s="670"/>
      <c r="K80" s="670"/>
      <c r="L80" s="670"/>
      <c r="M80" s="671"/>
      <c r="N80" s="2150"/>
      <c r="O80" s="2150"/>
      <c r="P80" s="2152"/>
      <c r="Q80" s="2153"/>
      <c r="R80" s="2154"/>
      <c r="S80" s="2154"/>
      <c r="T80" s="2154"/>
      <c r="U80" s="2154"/>
      <c r="V80" s="2154"/>
      <c r="W80" s="2154"/>
      <c r="X80" s="2154"/>
      <c r="Y80" s="2154"/>
      <c r="Z80" s="2154"/>
      <c r="AA80" s="2154"/>
      <c r="AB80" s="2154"/>
      <c r="AC80" s="2154"/>
    </row>
    <row r="81" spans="1:29" s="1334" customFormat="1" ht="15.75" thickTop="1">
      <c r="A81" s="686"/>
      <c r="B81" s="672">
        <f>B15</f>
        <v>111</v>
      </c>
      <c r="C81" s="687"/>
      <c r="D81" s="687"/>
      <c r="E81" s="687"/>
      <c r="F81" s="687"/>
      <c r="G81" s="687"/>
      <c r="H81" s="688"/>
      <c r="I81" s="688"/>
      <c r="J81" s="688"/>
      <c r="K81" s="688"/>
      <c r="L81" s="689"/>
      <c r="M81" s="690"/>
      <c r="N81" s="2151"/>
      <c r="O81" s="2151"/>
      <c r="P81" s="2155"/>
      <c r="Q81" s="2156"/>
      <c r="R81" s="2154"/>
      <c r="S81" s="2154"/>
      <c r="T81" s="2154"/>
      <c r="U81" s="2154"/>
      <c r="V81" s="2154"/>
      <c r="W81" s="2154"/>
      <c r="X81" s="2154"/>
      <c r="Y81" s="2154"/>
      <c r="Z81" s="2154"/>
      <c r="AA81" s="2154"/>
      <c r="AB81" s="2154"/>
      <c r="AC81" s="2154"/>
    </row>
    <row r="82" spans="1:29" s="1334" customFormat="1" ht="15.75" thickBot="1">
      <c r="A82" s="686"/>
      <c r="B82" s="677"/>
      <c r="C82" s="691"/>
      <c r="D82" s="691"/>
      <c r="E82" s="691"/>
      <c r="F82" s="691"/>
      <c r="G82" s="691"/>
      <c r="H82" s="692"/>
      <c r="I82" s="692"/>
      <c r="J82" s="692"/>
      <c r="K82" s="692"/>
      <c r="L82" s="692"/>
      <c r="M82" s="693"/>
      <c r="N82" s="2151"/>
      <c r="O82" s="2151"/>
      <c r="P82" s="2152"/>
      <c r="Q82" s="2153"/>
      <c r="R82" s="2154"/>
      <c r="S82" s="2154"/>
      <c r="T82" s="2154"/>
      <c r="U82" s="2154"/>
      <c r="V82" s="2154"/>
      <c r="W82" s="2154"/>
      <c r="X82" s="2154"/>
      <c r="Y82" s="2154"/>
      <c r="Z82" s="2154"/>
      <c r="AA82" s="2154"/>
      <c r="AB82" s="2154"/>
      <c r="AC82" s="2154"/>
    </row>
    <row r="83" spans="1:29" s="1334" customFormat="1" ht="15.75" thickTop="1">
      <c r="A83" s="686"/>
      <c r="B83" s="680">
        <f>B16</f>
        <v>111</v>
      </c>
      <c r="C83" s="660"/>
      <c r="D83" s="660"/>
      <c r="E83" s="660"/>
      <c r="F83" s="660"/>
      <c r="G83" s="660"/>
      <c r="H83" s="694"/>
      <c r="I83" s="694"/>
      <c r="J83" s="694"/>
      <c r="K83" s="694"/>
      <c r="L83" s="695"/>
      <c r="M83" s="696"/>
      <c r="N83" s="2151"/>
      <c r="O83" s="2151"/>
      <c r="P83" s="2157"/>
      <c r="Q83" s="2153"/>
      <c r="R83" s="2154"/>
      <c r="S83" s="2154"/>
      <c r="T83" s="2154"/>
      <c r="U83" s="2154"/>
      <c r="V83" s="2154"/>
      <c r="W83" s="2154"/>
      <c r="X83" s="2154"/>
      <c r="Y83" s="2154"/>
      <c r="Z83" s="2154"/>
      <c r="AA83" s="2154"/>
      <c r="AB83" s="2154"/>
      <c r="AC83" s="2154"/>
    </row>
    <row r="84" spans="1:29" s="1334" customFormat="1" ht="15.75" thickBot="1">
      <c r="A84" s="697"/>
      <c r="B84" s="698"/>
      <c r="C84" s="699"/>
      <c r="D84" s="699"/>
      <c r="E84" s="699"/>
      <c r="F84" s="699"/>
      <c r="G84" s="699"/>
      <c r="H84" s="700"/>
      <c r="I84" s="700"/>
      <c r="J84" s="700"/>
      <c r="K84" s="700"/>
      <c r="L84" s="700"/>
      <c r="M84" s="701"/>
      <c r="N84" s="2151"/>
      <c r="O84" s="2151"/>
      <c r="P84" s="2152"/>
      <c r="Q84" s="2153"/>
      <c r="R84" s="2154"/>
      <c r="S84" s="2154"/>
      <c r="T84" s="2154"/>
      <c r="U84" s="2154"/>
      <c r="V84" s="2154"/>
      <c r="W84" s="2154"/>
      <c r="X84" s="2154"/>
      <c r="Y84" s="2154"/>
      <c r="Z84" s="2154"/>
      <c r="AA84" s="2154"/>
      <c r="AB84" s="2154"/>
      <c r="AC84" s="2154"/>
    </row>
    <row r="85" spans="1:29">
      <c r="A85" s="663" t="s">
        <v>539</v>
      </c>
      <c r="B85" s="664" t="s">
        <v>602</v>
      </c>
      <c r="C85" s="702" t="s">
        <v>579</v>
      </c>
      <c r="D85" s="702" t="s">
        <v>580</v>
      </c>
      <c r="E85" s="702" t="s">
        <v>581</v>
      </c>
      <c r="F85" s="702" t="s">
        <v>582</v>
      </c>
      <c r="G85" s="702" t="s">
        <v>583</v>
      </c>
      <c r="H85" s="703"/>
      <c r="I85" s="703"/>
      <c r="J85" s="703"/>
      <c r="K85" s="704"/>
      <c r="L85" s="705"/>
      <c r="M85" s="706"/>
      <c r="N85" s="2148"/>
      <c r="O85" s="2148"/>
      <c r="P85" s="2158"/>
      <c r="Q85" s="2142"/>
      <c r="R85" s="2129"/>
      <c r="S85" s="2129"/>
      <c r="T85" s="2129"/>
      <c r="U85" s="2129"/>
      <c r="V85" s="2129"/>
      <c r="W85" s="2129"/>
      <c r="X85" s="2129"/>
      <c r="Y85" s="2129"/>
      <c r="Z85" s="2129"/>
      <c r="AA85" s="2129"/>
      <c r="AB85" s="2129"/>
      <c r="AC85" s="2129"/>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0"/>
      <c r="O86" s="2150"/>
      <c r="P86" s="2149"/>
      <c r="Q86" s="2142"/>
      <c r="R86" s="2129"/>
      <c r="S86" s="2129"/>
      <c r="T86" s="2129"/>
      <c r="U86" s="2129"/>
      <c r="V86" s="2129"/>
      <c r="W86" s="2129"/>
      <c r="X86" s="2129"/>
      <c r="Y86" s="2129"/>
      <c r="Z86" s="2129"/>
      <c r="AA86" s="2129"/>
      <c r="AB86" s="2129"/>
      <c r="AC86" s="2129"/>
    </row>
    <row r="87" spans="1:29" ht="15.75" thickTop="1">
      <c r="A87" s="668"/>
      <c r="B87" s="672" t="s">
        <v>586</v>
      </c>
      <c r="C87" s="707" t="s">
        <v>579</v>
      </c>
      <c r="D87" s="707" t="s">
        <v>580</v>
      </c>
      <c r="E87" s="707" t="s">
        <v>581</v>
      </c>
      <c r="F87" s="707" t="s">
        <v>582</v>
      </c>
      <c r="G87" s="707" t="s">
        <v>583</v>
      </c>
      <c r="H87" s="673"/>
      <c r="I87" s="673"/>
      <c r="J87" s="673"/>
      <c r="K87" s="674"/>
      <c r="L87" s="675"/>
      <c r="M87" s="676"/>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0"/>
      <c r="O88" s="2150"/>
      <c r="P88" s="2149"/>
      <c r="Q88" s="2142"/>
      <c r="R88" s="2129"/>
      <c r="S88" s="2129"/>
      <c r="T88" s="2129"/>
      <c r="U88" s="2129"/>
      <c r="V88" s="2129"/>
      <c r="W88" s="2129"/>
      <c r="X88" s="2129"/>
      <c r="Y88" s="2129"/>
      <c r="Z88" s="2129"/>
      <c r="AA88" s="2129"/>
      <c r="AB88" s="2129"/>
      <c r="AC88" s="2129"/>
    </row>
    <row r="89" spans="1:29" s="1215" customFormat="1" ht="27.75" thickTop="1">
      <c r="A89" s="708"/>
      <c r="B89" s="672" t="s">
        <v>587</v>
      </c>
      <c r="C89" s="707" t="s">
        <v>579</v>
      </c>
      <c r="D89" s="707" t="s">
        <v>580</v>
      </c>
      <c r="E89" s="707" t="s">
        <v>581</v>
      </c>
      <c r="F89" s="707" t="s">
        <v>582</v>
      </c>
      <c r="G89" s="707" t="s">
        <v>583</v>
      </c>
      <c r="H89" s="707"/>
      <c r="I89" s="707"/>
      <c r="J89" s="707"/>
      <c r="K89" s="707"/>
      <c r="L89" s="709"/>
      <c r="M89" s="710"/>
      <c r="N89" s="2146"/>
      <c r="O89" s="2146"/>
      <c r="P89" s="2149"/>
      <c r="Q89" s="2142"/>
      <c r="R89" s="1977"/>
      <c r="S89" s="1977"/>
      <c r="T89" s="1977"/>
      <c r="U89" s="1977"/>
      <c r="V89" s="1977"/>
      <c r="W89" s="1977"/>
      <c r="X89" s="1977"/>
      <c r="Y89" s="1977"/>
      <c r="Z89" s="1977"/>
      <c r="AA89" s="1977"/>
      <c r="AB89" s="1977"/>
      <c r="AC89" s="1977"/>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50"/>
      <c r="O90" s="2150"/>
      <c r="P90" s="2149"/>
      <c r="Q90" s="2142"/>
      <c r="R90" s="1977"/>
      <c r="S90" s="1977"/>
      <c r="T90" s="1977"/>
      <c r="U90" s="1977"/>
      <c r="V90" s="1977"/>
      <c r="W90" s="1977"/>
      <c r="X90" s="1977"/>
      <c r="Y90" s="1977"/>
      <c r="Z90" s="1977"/>
      <c r="AA90" s="1977"/>
      <c r="AB90" s="1977"/>
      <c r="AC90" s="1977"/>
    </row>
    <row r="91" spans="1:29" s="1215" customFormat="1" ht="27.75" thickTop="1">
      <c r="A91" s="708"/>
      <c r="B91" s="672" t="s">
        <v>588</v>
      </c>
      <c r="C91" s="702" t="s">
        <v>579</v>
      </c>
      <c r="D91" s="702" t="s">
        <v>580</v>
      </c>
      <c r="E91" s="702" t="s">
        <v>581</v>
      </c>
      <c r="F91" s="702" t="s">
        <v>582</v>
      </c>
      <c r="G91" s="702" t="s">
        <v>583</v>
      </c>
      <c r="H91" s="707"/>
      <c r="I91" s="707"/>
      <c r="J91" s="707"/>
      <c r="K91" s="707"/>
      <c r="L91" s="707"/>
      <c r="M91" s="710"/>
      <c r="N91" s="2146"/>
      <c r="O91" s="2146"/>
      <c r="P91" s="2149"/>
      <c r="Q91" s="2142"/>
      <c r="R91" s="1977"/>
      <c r="S91" s="1977"/>
      <c r="T91" s="1977"/>
      <c r="U91" s="1977"/>
      <c r="V91" s="1977"/>
      <c r="W91" s="1977"/>
      <c r="X91" s="1977"/>
      <c r="Y91" s="1977"/>
      <c r="Z91" s="1977"/>
      <c r="AA91" s="1977"/>
      <c r="AB91" s="1977"/>
      <c r="AC91" s="1977"/>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50"/>
      <c r="O92" s="2150"/>
      <c r="P92" s="2149"/>
      <c r="Q92" s="2142"/>
      <c r="R92" s="1977"/>
      <c r="S92" s="1977"/>
      <c r="T92" s="1977"/>
      <c r="U92" s="1977"/>
      <c r="V92" s="1977"/>
      <c r="W92" s="1977"/>
      <c r="X92" s="1977"/>
      <c r="Y92" s="1977"/>
      <c r="Z92" s="1977"/>
      <c r="AA92" s="1977"/>
      <c r="AB92" s="1977"/>
      <c r="AC92" s="1977"/>
    </row>
    <row r="93" spans="1:29" s="1334" customFormat="1" ht="15.75" thickTop="1">
      <c r="A93" s="686"/>
      <c r="B93" s="1880" t="s">
        <v>2545</v>
      </c>
      <c r="C93" s="702" t="s">
        <v>579</v>
      </c>
      <c r="D93" s="702" t="s">
        <v>580</v>
      </c>
      <c r="E93" s="702" t="s">
        <v>581</v>
      </c>
      <c r="F93" s="702" t="s">
        <v>582</v>
      </c>
      <c r="G93" s="702" t="s">
        <v>583</v>
      </c>
      <c r="H93" s="712"/>
      <c r="I93" s="712"/>
      <c r="J93" s="712"/>
      <c r="K93" s="712"/>
      <c r="L93" s="713"/>
      <c r="M93" s="714"/>
      <c r="N93" s="2151"/>
      <c r="O93" s="2151"/>
      <c r="P93" s="2152"/>
      <c r="Q93" s="2153"/>
      <c r="R93" s="2154"/>
      <c r="S93" s="2154"/>
      <c r="T93" s="2154"/>
      <c r="U93" s="2154"/>
      <c r="V93" s="2154"/>
      <c r="W93" s="2154"/>
      <c r="X93" s="2154"/>
      <c r="Y93" s="2154"/>
      <c r="Z93" s="2154"/>
      <c r="AA93" s="2154"/>
      <c r="AB93" s="2154"/>
      <c r="AC93" s="2154"/>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51"/>
      <c r="O94" s="2151"/>
      <c r="P94" s="2152"/>
      <c r="Q94" s="2153"/>
      <c r="R94" s="2154"/>
      <c r="S94" s="2154"/>
      <c r="T94" s="2154"/>
      <c r="U94" s="2154"/>
      <c r="V94" s="2154"/>
      <c r="W94" s="2154"/>
      <c r="X94" s="2154"/>
      <c r="Y94" s="2154"/>
      <c r="Z94" s="2154"/>
      <c r="AA94" s="2154"/>
      <c r="AB94" s="2154"/>
      <c r="AC94" s="2154"/>
    </row>
    <row r="95" spans="1:29" s="1334" customFormat="1" ht="15.75" thickTop="1">
      <c r="A95" s="686"/>
      <c r="B95" s="2560" t="s">
        <v>2547</v>
      </c>
      <c r="C95" s="2561" t="s">
        <v>2548</v>
      </c>
      <c r="D95" s="2561" t="s">
        <v>2549</v>
      </c>
      <c r="E95" s="2561" t="s">
        <v>2550</v>
      </c>
      <c r="F95" s="2561" t="s">
        <v>2551</v>
      </c>
      <c r="G95" s="2561" t="s">
        <v>2552</v>
      </c>
      <c r="H95" s="712"/>
      <c r="I95" s="712"/>
      <c r="J95" s="712"/>
      <c r="K95" s="712"/>
      <c r="L95" s="712"/>
      <c r="M95" s="714"/>
      <c r="N95" s="2151"/>
      <c r="O95" s="2151"/>
      <c r="P95" s="2152"/>
      <c r="Q95" s="2153"/>
      <c r="R95" s="2154"/>
      <c r="S95" s="2154"/>
      <c r="T95" s="2154"/>
      <c r="U95" s="2154"/>
      <c r="V95" s="2154"/>
      <c r="W95" s="2154"/>
      <c r="X95" s="2154"/>
      <c r="Y95" s="2154"/>
      <c r="Z95" s="2154"/>
      <c r="AA95" s="2154"/>
      <c r="AB95" s="2154"/>
      <c r="AC95" s="2154"/>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3"/>
      <c r="N96" s="2151"/>
      <c r="O96" s="2151"/>
      <c r="P96" s="2152"/>
      <c r="Q96" s="2153"/>
      <c r="R96" s="2154"/>
      <c r="S96" s="2154"/>
      <c r="T96" s="2154"/>
      <c r="U96" s="2154"/>
      <c r="V96" s="2154"/>
      <c r="W96" s="2154"/>
      <c r="X96" s="2154"/>
      <c r="Y96" s="2154"/>
      <c r="Z96" s="2154"/>
      <c r="AA96" s="2154"/>
      <c r="AB96" s="2154"/>
      <c r="AC96" s="2154"/>
    </row>
    <row r="97" spans="1:29" ht="15.75" thickTop="1">
      <c r="A97" s="668"/>
      <c r="B97" s="672" t="str">
        <f>B29</f>
        <v>临街状况</v>
      </c>
      <c r="C97" s="673" t="s">
        <v>589</v>
      </c>
      <c r="D97" s="673" t="s">
        <v>590</v>
      </c>
      <c r="E97" s="673" t="s">
        <v>591</v>
      </c>
      <c r="F97" s="673" t="s">
        <v>592</v>
      </c>
      <c r="G97" s="673"/>
      <c r="H97" s="673"/>
      <c r="I97" s="673"/>
      <c r="J97" s="673"/>
      <c r="K97" s="674"/>
      <c r="L97" s="675"/>
      <c r="M97" s="676"/>
      <c r="N97" s="2148"/>
      <c r="O97" s="2148"/>
      <c r="P97" s="2149"/>
      <c r="Q97" s="2142"/>
      <c r="R97" s="2129"/>
      <c r="S97" s="2129"/>
      <c r="T97" s="2129"/>
      <c r="U97" s="2129"/>
      <c r="V97" s="2129"/>
      <c r="W97" s="2129"/>
      <c r="X97" s="2129"/>
      <c r="Y97" s="2129"/>
      <c r="Z97" s="2129"/>
      <c r="AA97" s="2129"/>
      <c r="AB97" s="2129"/>
      <c r="AC97" s="2129"/>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8"/>
      <c r="B99" s="672" t="s">
        <v>548</v>
      </c>
      <c r="C99" s="687"/>
      <c r="D99" s="687"/>
      <c r="E99" s="687"/>
      <c r="F99" s="687"/>
      <c r="G99" s="687"/>
      <c r="H99" s="717"/>
      <c r="I99" s="717"/>
      <c r="J99" s="717"/>
      <c r="K99" s="718"/>
      <c r="L99" s="719"/>
      <c r="M99" s="720"/>
      <c r="N99" s="2148"/>
      <c r="O99" s="2148"/>
      <c r="P99" s="2149"/>
      <c r="Q99" s="2142"/>
      <c r="R99" s="2129"/>
      <c r="S99" s="2129"/>
      <c r="T99" s="2129"/>
      <c r="U99" s="2129"/>
      <c r="V99" s="2129"/>
      <c r="W99" s="2129"/>
      <c r="X99" s="2129"/>
      <c r="Y99" s="2129"/>
      <c r="Z99" s="2129"/>
      <c r="AA99" s="2129"/>
      <c r="AB99" s="2129"/>
      <c r="AC99" s="2129"/>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8"/>
      <c r="B101" s="672" t="s">
        <v>549</v>
      </c>
      <c r="C101" s="717"/>
      <c r="D101" s="717"/>
      <c r="E101" s="717"/>
      <c r="F101" s="717"/>
      <c r="G101" s="717"/>
      <c r="H101" s="717"/>
      <c r="I101" s="717"/>
      <c r="J101" s="717"/>
      <c r="K101" s="718"/>
      <c r="L101" s="719"/>
      <c r="M101" s="72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8"/>
      <c r="B103" s="680">
        <f>B33</f>
        <v>111</v>
      </c>
      <c r="C103" s="687"/>
      <c r="D103" s="687"/>
      <c r="E103" s="687"/>
      <c r="F103" s="687"/>
      <c r="G103" s="721"/>
      <c r="H103" s="721"/>
      <c r="I103" s="721"/>
      <c r="J103" s="721"/>
      <c r="K103" s="722"/>
      <c r="L103" s="723"/>
      <c r="M103" s="724"/>
      <c r="N103" s="2148"/>
      <c r="O103" s="2148"/>
      <c r="P103" s="2149"/>
      <c r="Q103" s="2142"/>
      <c r="R103" s="2129"/>
      <c r="S103" s="2129"/>
      <c r="T103" s="2129"/>
      <c r="U103" s="2129"/>
      <c r="V103" s="2129"/>
      <c r="W103" s="2129"/>
      <c r="X103" s="2129"/>
      <c r="Y103" s="2129"/>
      <c r="Z103" s="2129"/>
      <c r="AA103" s="2129"/>
      <c r="AB103" s="2129"/>
      <c r="AC103" s="2129"/>
    </row>
    <row r="104" spans="1:29" ht="15.75" thickBot="1">
      <c r="A104" s="668"/>
      <c r="B104" s="698"/>
      <c r="C104" s="691"/>
      <c r="D104" s="670"/>
      <c r="E104" s="670"/>
      <c r="F104" s="670"/>
      <c r="G104" s="725"/>
      <c r="H104" s="725"/>
      <c r="I104" s="725"/>
      <c r="J104" s="725"/>
      <c r="K104" s="725"/>
      <c r="L104" s="725"/>
      <c r="M104" s="726"/>
      <c r="N104" s="2150"/>
      <c r="O104" s="2150"/>
      <c r="P104" s="2149"/>
      <c r="Q104" s="2142"/>
      <c r="R104" s="2129"/>
      <c r="S104" s="2129"/>
      <c r="T104" s="2129"/>
      <c r="U104" s="2129"/>
      <c r="V104" s="2129"/>
      <c r="W104" s="2129"/>
      <c r="X104" s="2129"/>
      <c r="Y104" s="2129"/>
      <c r="Z104" s="2129"/>
      <c r="AA104" s="2129"/>
      <c r="AB104" s="2129"/>
      <c r="AC104" s="2129"/>
    </row>
    <row r="105" spans="1:29" ht="15" thickTop="1">
      <c r="A105" s="586"/>
      <c r="B105" s="672">
        <f>B34</f>
        <v>111</v>
      </c>
      <c r="C105" s="687"/>
      <c r="D105" s="687"/>
      <c r="E105" s="687"/>
      <c r="F105" s="68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91"/>
      <c r="D106" s="691"/>
      <c r="E106" s="691"/>
      <c r="F106" s="691"/>
      <c r="G106" s="670"/>
      <c r="H106" s="670"/>
      <c r="I106" s="670"/>
      <c r="J106" s="670"/>
      <c r="K106" s="670"/>
      <c r="L106" s="670"/>
      <c r="M106" s="671"/>
      <c r="N106" s="2150"/>
      <c r="O106" s="2150"/>
      <c r="P106" s="2149"/>
      <c r="Q106" s="2142"/>
      <c r="R106" s="2129"/>
      <c r="S106" s="2129"/>
      <c r="T106" s="2129"/>
      <c r="U106" s="2129"/>
      <c r="V106" s="2129"/>
      <c r="W106" s="2129"/>
      <c r="X106" s="2129"/>
      <c r="Y106" s="2129"/>
      <c r="Z106" s="2129"/>
      <c r="AA106" s="2129"/>
      <c r="AB106" s="2129"/>
      <c r="AC106" s="2129"/>
    </row>
    <row r="107" spans="1:29" s="1334" customFormat="1" ht="15" thickTop="1">
      <c r="A107" s="727"/>
      <c r="B107" s="728">
        <f>B35</f>
        <v>111</v>
      </c>
      <c r="C107" s="660"/>
      <c r="D107" s="660"/>
      <c r="E107" s="660"/>
      <c r="F107" s="660"/>
      <c r="G107" s="729"/>
      <c r="H107" s="729"/>
      <c r="I107" s="729"/>
      <c r="J107" s="730"/>
      <c r="K107" s="730"/>
      <c r="L107" s="731"/>
      <c r="M107" s="732"/>
      <c r="N107" s="2151"/>
      <c r="O107" s="2151"/>
      <c r="P107" s="2152"/>
      <c r="Q107" s="2153"/>
      <c r="R107" s="2154"/>
      <c r="S107" s="2154"/>
      <c r="T107" s="2154"/>
      <c r="U107" s="2154"/>
      <c r="V107" s="2154"/>
      <c r="W107" s="2154"/>
      <c r="X107" s="2154"/>
      <c r="Y107" s="2154"/>
      <c r="Z107" s="2154"/>
      <c r="AA107" s="2154"/>
      <c r="AB107" s="2154"/>
      <c r="AC107" s="2154"/>
    </row>
    <row r="108" spans="1:29" s="1334" customFormat="1" ht="15.75" thickBot="1">
      <c r="A108" s="686"/>
      <c r="B108" s="680"/>
      <c r="C108" s="699"/>
      <c r="D108" s="699"/>
      <c r="E108" s="699"/>
      <c r="F108" s="699"/>
      <c r="G108" s="591"/>
      <c r="H108" s="591"/>
      <c r="I108" s="591"/>
      <c r="J108" s="591"/>
      <c r="K108" s="591"/>
      <c r="L108" s="591"/>
      <c r="M108" s="733"/>
      <c r="N108" s="2150"/>
      <c r="O108" s="2150"/>
      <c r="P108" s="2152"/>
      <c r="Q108" s="2153"/>
      <c r="R108" s="2154"/>
      <c r="S108" s="2154"/>
      <c r="T108" s="2154"/>
      <c r="U108" s="2154"/>
      <c r="V108" s="2154"/>
      <c r="W108" s="2154"/>
      <c r="X108" s="2154"/>
      <c r="Y108" s="2154"/>
      <c r="Z108" s="2154"/>
      <c r="AA108" s="2154"/>
      <c r="AB108" s="2154"/>
      <c r="AC108" s="2154"/>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2920" t="str">
        <f t="shared" si="25"/>
        <v>(含)-</v>
      </c>
      <c r="L109" s="2921" t="str">
        <f t="shared" si="25"/>
        <v>(含)-</v>
      </c>
      <c r="M109" s="2922"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8"/>
      <c r="B110" s="680"/>
      <c r="C110" s="729"/>
      <c r="D110" s="729"/>
      <c r="E110" s="729"/>
      <c r="F110" s="729"/>
      <c r="G110" s="729"/>
      <c r="H110" s="729"/>
      <c r="I110" s="729"/>
      <c r="J110" s="730"/>
      <c r="K110" s="730"/>
      <c r="L110" s="731"/>
      <c r="M110" s="732"/>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9"/>
      <c r="D111" s="725"/>
      <c r="E111" s="725"/>
      <c r="F111" s="725"/>
      <c r="G111" s="725"/>
      <c r="H111" s="725"/>
      <c r="I111" s="725"/>
      <c r="J111" s="725"/>
      <c r="K111" s="725"/>
      <c r="L111" s="725"/>
      <c r="M111" s="726"/>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72" t="s">
        <v>594</v>
      </c>
      <c r="C112" s="717"/>
      <c r="D112" s="717"/>
      <c r="E112" s="717"/>
      <c r="F112" s="717"/>
      <c r="G112" s="717"/>
      <c r="H112" s="717"/>
      <c r="I112" s="717"/>
      <c r="J112" s="717"/>
      <c r="K112" s="718"/>
      <c r="L112" s="719"/>
      <c r="M112" s="720"/>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7"/>
      <c r="B114" s="1880" t="s">
        <v>2422</v>
      </c>
      <c r="C114" s="1370"/>
      <c r="D114" s="1370"/>
      <c r="E114" s="1370"/>
      <c r="F114" s="1370"/>
      <c r="G114" s="1370"/>
      <c r="H114" s="717"/>
      <c r="I114" s="717"/>
      <c r="J114" s="717"/>
      <c r="K114" s="718"/>
      <c r="L114" s="719"/>
      <c r="M114" s="720"/>
      <c r="N114" s="2151"/>
      <c r="O114" s="2151"/>
      <c r="P114" s="2152"/>
      <c r="Q114" s="2153"/>
      <c r="R114" s="2154"/>
      <c r="S114" s="2154"/>
      <c r="T114" s="2154"/>
      <c r="U114" s="2154"/>
      <c r="V114" s="2154"/>
      <c r="W114" s="2154"/>
      <c r="X114" s="2154"/>
      <c r="Y114" s="2154"/>
      <c r="Z114" s="2154"/>
      <c r="AA114" s="2154"/>
      <c r="AB114" s="2154"/>
      <c r="AC114" s="2154"/>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4"/>
      <c r="B116" s="672" t="s">
        <v>596</v>
      </c>
      <c r="C116" s="687"/>
      <c r="D116" s="687"/>
      <c r="E116" s="717"/>
      <c r="F116" s="717"/>
      <c r="G116" s="71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f>B40</f>
        <v>111</v>
      </c>
      <c r="C118" s="687"/>
      <c r="D118" s="687"/>
      <c r="E118" s="687"/>
      <c r="F118" s="687"/>
      <c r="G118" s="68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ht="15" thickTop="1">
      <c r="A120" s="734"/>
      <c r="B120" s="672">
        <f>B41</f>
        <v>111</v>
      </c>
      <c r="C120" s="687"/>
      <c r="D120" s="687"/>
      <c r="E120" s="687"/>
      <c r="F120" s="687"/>
      <c r="G120" s="717"/>
      <c r="H120" s="717"/>
      <c r="I120" s="717"/>
      <c r="J120" s="717"/>
      <c r="K120" s="718"/>
      <c r="L120" s="719"/>
      <c r="M120" s="720"/>
      <c r="N120" s="2148"/>
      <c r="O120" s="2148"/>
      <c r="P120" s="2149"/>
      <c r="Q120" s="2142"/>
      <c r="R120" s="2129"/>
      <c r="S120" s="2129"/>
      <c r="T120" s="2129"/>
      <c r="U120" s="2129"/>
      <c r="V120" s="2129"/>
      <c r="W120" s="2129"/>
      <c r="X120" s="2129"/>
      <c r="Y120" s="2129"/>
      <c r="Z120" s="2129"/>
      <c r="AA120" s="2129"/>
      <c r="AB120" s="2129"/>
      <c r="AC120" s="2129"/>
    </row>
    <row r="121" spans="1:29" ht="15.75" thickBot="1">
      <c r="A121" s="668"/>
      <c r="B121" s="677"/>
      <c r="C121" s="691"/>
      <c r="D121" s="691"/>
      <c r="E121" s="691"/>
      <c r="F121" s="691"/>
      <c r="G121" s="670"/>
      <c r="H121" s="670"/>
      <c r="I121" s="670"/>
      <c r="J121" s="670"/>
      <c r="K121" s="670"/>
      <c r="L121" s="670"/>
      <c r="M121" s="671"/>
      <c r="N121" s="2150"/>
      <c r="O121" s="2150"/>
      <c r="P121" s="2149"/>
      <c r="Q121" s="2142"/>
      <c r="R121" s="2129"/>
      <c r="S121" s="2129"/>
      <c r="T121" s="2129"/>
      <c r="U121" s="2129"/>
      <c r="V121" s="2129"/>
      <c r="W121" s="2129"/>
      <c r="X121" s="2129"/>
      <c r="Y121" s="2129"/>
      <c r="Z121" s="2129"/>
      <c r="AA121" s="2129"/>
      <c r="AB121" s="2129"/>
      <c r="AC121" s="2129"/>
    </row>
    <row r="122" spans="1:29" s="1334" customFormat="1" ht="15" thickTop="1">
      <c r="A122" s="727"/>
      <c r="B122" s="672">
        <f>B42</f>
        <v>111</v>
      </c>
      <c r="C122" s="660"/>
      <c r="D122" s="660"/>
      <c r="E122" s="660"/>
      <c r="F122" s="660"/>
      <c r="G122" s="688"/>
      <c r="H122" s="688"/>
      <c r="I122" s="688"/>
      <c r="J122" s="688"/>
      <c r="K122" s="688"/>
      <c r="L122" s="689"/>
      <c r="M122" s="690"/>
      <c r="N122" s="2151"/>
      <c r="O122" s="2151"/>
      <c r="P122" s="2152"/>
      <c r="Q122" s="2153"/>
      <c r="R122" s="2154"/>
      <c r="S122" s="2154"/>
      <c r="T122" s="2154"/>
      <c r="U122" s="2154"/>
      <c r="V122" s="2154"/>
      <c r="W122" s="2154"/>
      <c r="X122" s="2154"/>
      <c r="Y122" s="2154"/>
      <c r="Z122" s="2154"/>
      <c r="AA122" s="2154"/>
      <c r="AB122" s="2154"/>
      <c r="AC122" s="2154"/>
    </row>
    <row r="123" spans="1:29" s="1334" customFormat="1" ht="15.75" thickBot="1">
      <c r="A123" s="697"/>
      <c r="B123" s="735"/>
      <c r="C123" s="699"/>
      <c r="D123" s="699"/>
      <c r="E123" s="699"/>
      <c r="F123" s="699"/>
      <c r="G123" s="725"/>
      <c r="H123" s="725"/>
      <c r="I123" s="725"/>
      <c r="J123" s="725"/>
      <c r="K123" s="725"/>
      <c r="L123" s="725"/>
      <c r="M123" s="726"/>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61" priority="14" stopIfTrue="1" operator="containsText" text="超过">
      <formula>NOT(ISERROR(SEARCH("超过",F48)))</formula>
    </cfRule>
  </conditionalFormatting>
  <conditionalFormatting sqref="J50">
    <cfRule type="containsText" dxfId="160" priority="13" stopIfTrue="1" operator="containsText" text="超过">
      <formula>NOT(ISERROR(SEARCH("超过",J50)))</formula>
    </cfRule>
  </conditionalFormatting>
  <conditionalFormatting sqref="H50">
    <cfRule type="containsText" dxfId="159" priority="12" stopIfTrue="1" operator="containsText" text="超过">
      <formula>NOT(ISERROR(SEARCH("超过",H50)))</formula>
    </cfRule>
  </conditionalFormatting>
  <conditionalFormatting sqref="F50">
    <cfRule type="containsText" dxfId="158" priority="11" stopIfTrue="1" operator="containsText" text="超过">
      <formula>NOT(ISERROR(SEARCH("超过",F50)))</formula>
    </cfRule>
  </conditionalFormatting>
  <conditionalFormatting sqref="F49 H49 J49">
    <cfRule type="containsText" dxfId="157" priority="10" stopIfTrue="1" operator="containsText" text="超过">
      <formula>NOT(ISERROR(SEARCH("超过",F49)))</formula>
    </cfRule>
  </conditionalFormatting>
  <conditionalFormatting sqref="E48">
    <cfRule type="expression" dxfId="156" priority="9" stopIfTrue="1">
      <formula>$F$48="超过30%"</formula>
    </cfRule>
  </conditionalFormatting>
  <conditionalFormatting sqref="G50">
    <cfRule type="expression" dxfId="155" priority="8" stopIfTrue="1">
      <formula>$H$50="超过30%"</formula>
    </cfRule>
  </conditionalFormatting>
  <conditionalFormatting sqref="E50">
    <cfRule type="expression" dxfId="154" priority="6" stopIfTrue="1">
      <formula>$F$50="超过30%"</formula>
    </cfRule>
  </conditionalFormatting>
  <conditionalFormatting sqref="G48">
    <cfRule type="expression" dxfId="153" priority="5" stopIfTrue="1">
      <formula>$H$48="超过30%"</formula>
    </cfRule>
  </conditionalFormatting>
  <conditionalFormatting sqref="G49">
    <cfRule type="expression" dxfId="152" priority="4" stopIfTrue="1">
      <formula>$H$49="超过20%"</formula>
    </cfRule>
  </conditionalFormatting>
  <conditionalFormatting sqref="I48">
    <cfRule type="expression" dxfId="151" priority="3" stopIfTrue="1">
      <formula>$J$48="超过30%"</formula>
    </cfRule>
  </conditionalFormatting>
  <conditionalFormatting sqref="I49">
    <cfRule type="expression" dxfId="150" priority="2" stopIfTrue="1">
      <formula>$J$49="超过20%"</formula>
    </cfRule>
  </conditionalFormatting>
  <conditionalFormatting sqref="I50">
    <cfRule type="expression" dxfId="149" priority="1" stopIfTrue="1">
      <formula>$J$50="超过30%"</formula>
    </cfRule>
  </conditionalFormatting>
  <conditionalFormatting sqref="E49">
    <cfRule type="expression" dxfId="14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018" t="s">
        <v>2984</v>
      </c>
      <c r="B15" s="2939">
        <f>SUM(B6:B13)</f>
        <v>375</v>
      </c>
      <c r="C15" s="2939">
        <f t="shared" ref="C15:H15" si="0">SUM(C6:C13)</f>
        <v>375</v>
      </c>
      <c r="D15" s="2939">
        <f t="shared" si="0"/>
        <v>300</v>
      </c>
      <c r="E15" s="2939">
        <f t="shared" si="0"/>
        <v>300</v>
      </c>
      <c r="F15" s="2939">
        <f t="shared" si="0"/>
        <v>300</v>
      </c>
      <c r="G15" s="2939">
        <f t="shared" si="0"/>
        <v>300</v>
      </c>
      <c r="H15" s="2939">
        <f t="shared" si="0"/>
        <v>300</v>
      </c>
      <c r="I15" s="2939">
        <f>SUM(I6:I10,I13)</f>
        <v>155</v>
      </c>
      <c r="J15" s="2939">
        <f t="shared" ref="J15:M15" si="1">SUM(J6:J10,J13)</f>
        <v>155</v>
      </c>
      <c r="K15" s="2939">
        <f t="shared" si="1"/>
        <v>155</v>
      </c>
      <c r="L15" s="2939">
        <f t="shared" si="1"/>
        <v>155</v>
      </c>
      <c r="M15" s="2939">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3" customFormat="1" ht="19.5" customHeight="1">
      <c r="A18" s="3447" t="s">
        <v>1007</v>
      </c>
      <c r="B18" s="1149" t="s">
        <v>1446</v>
      </c>
      <c r="C18" s="1126" t="s">
        <v>1447</v>
      </c>
      <c r="D18" s="1127"/>
      <c r="E18" s="1149">
        <v>1</v>
      </c>
      <c r="F18" s="1128" t="s">
        <v>1448</v>
      </c>
      <c r="G18" s="1129"/>
      <c r="H18" s="1100"/>
      <c r="I18" s="1100"/>
    </row>
    <row r="19" spans="1:9" s="1583" customFormat="1" ht="19.5" customHeight="1">
      <c r="A19" s="3447"/>
      <c r="B19" s="3447" t="s">
        <v>1449</v>
      </c>
      <c r="C19" s="1126" t="s">
        <v>1450</v>
      </c>
      <c r="D19" s="1127"/>
      <c r="E19" s="1149">
        <v>0.9</v>
      </c>
      <c r="F19" s="1128" t="s">
        <v>1451</v>
      </c>
      <c r="G19" s="1129"/>
      <c r="H19" s="1100"/>
      <c r="I19" s="1100"/>
    </row>
    <row r="20" spans="1:9" s="1583" customFormat="1" ht="19.5" customHeight="1">
      <c r="A20" s="3447"/>
      <c r="B20" s="3447"/>
      <c r="C20" s="1126" t="s">
        <v>1452</v>
      </c>
      <c r="D20" s="1127"/>
      <c r="E20" s="1149">
        <v>1.1000000000000001</v>
      </c>
      <c r="F20" s="1128" t="s">
        <v>1453</v>
      </c>
      <c r="G20" s="1129"/>
      <c r="H20" s="1100"/>
      <c r="I20" s="1100"/>
    </row>
    <row r="21" spans="1:9" s="1583" customFormat="1" ht="19.5" customHeight="1">
      <c r="A21" s="3447"/>
      <c r="B21" s="3447"/>
      <c r="C21" s="1126" t="s">
        <v>1454</v>
      </c>
      <c r="D21" s="1127"/>
      <c r="E21" s="1149">
        <v>0.8</v>
      </c>
      <c r="F21" s="1128" t="s">
        <v>1455</v>
      </c>
      <c r="G21" s="1129"/>
      <c r="H21" s="1100"/>
      <c r="I21" s="1100"/>
    </row>
    <row r="22" spans="1:9" s="1583" customFormat="1" ht="19.5" customHeight="1">
      <c r="A22" s="3447"/>
      <c r="B22" s="3447"/>
      <c r="C22" s="1126" t="s">
        <v>1456</v>
      </c>
      <c r="D22" s="1127"/>
      <c r="E22" s="1149">
        <v>0.5</v>
      </c>
      <c r="F22" s="1128"/>
      <c r="G22" s="1129"/>
      <c r="H22" s="1100"/>
      <c r="I22" s="1100"/>
    </row>
    <row r="23" spans="1:9" s="1583" customFormat="1" ht="19.5" customHeight="1">
      <c r="A23" s="3447" t="s">
        <v>1029</v>
      </c>
      <c r="B23" s="1149" t="s">
        <v>1446</v>
      </c>
      <c r="C23" s="1126" t="s">
        <v>1457</v>
      </c>
      <c r="D23" s="1127"/>
      <c r="E23" s="1149">
        <v>1</v>
      </c>
      <c r="F23" s="1128" t="s">
        <v>1458</v>
      </c>
      <c r="G23" s="1129"/>
      <c r="H23" s="1100"/>
      <c r="I23" s="1100"/>
    </row>
    <row r="24" spans="1:9" s="1583" customFormat="1" ht="19.5" customHeight="1">
      <c r="A24" s="3447"/>
      <c r="B24" s="3447" t="s">
        <v>1449</v>
      </c>
      <c r="C24" s="1126" t="s">
        <v>1459</v>
      </c>
      <c r="D24" s="1127"/>
      <c r="E24" s="1149">
        <v>0.5</v>
      </c>
      <c r="F24" s="1128"/>
      <c r="G24" s="1129"/>
      <c r="H24" s="1100"/>
      <c r="I24" s="1100"/>
    </row>
    <row r="25" spans="1:9" s="1583" customFormat="1" ht="19.5" customHeight="1">
      <c r="A25" s="3447"/>
      <c r="B25" s="3447"/>
      <c r="C25" s="1126" t="s">
        <v>1460</v>
      </c>
      <c r="D25" s="1127"/>
      <c r="E25" s="1149">
        <v>1.1000000000000001</v>
      </c>
      <c r="F25" s="1128"/>
      <c r="G25" s="1129"/>
      <c r="H25" s="1100"/>
      <c r="I25" s="1100"/>
    </row>
    <row r="26" spans="1:9" s="1583" customFormat="1" ht="19.5" customHeight="1">
      <c r="A26" s="3447"/>
      <c r="B26" s="3447"/>
      <c r="C26" s="1126" t="s">
        <v>1461</v>
      </c>
      <c r="D26" s="1127"/>
      <c r="E26" s="1149">
        <v>1.1000000000000001</v>
      </c>
      <c r="F26" s="1128"/>
      <c r="G26" s="1129"/>
      <c r="H26" s="1100"/>
      <c r="I26" s="1100"/>
    </row>
    <row r="27" spans="1:9" s="1583" customFormat="1" ht="19.5" customHeight="1">
      <c r="A27" s="3447"/>
      <c r="B27" s="3447"/>
      <c r="C27" s="1126" t="s">
        <v>1462</v>
      </c>
      <c r="D27" s="1127"/>
      <c r="E27" s="1149">
        <v>0.9</v>
      </c>
      <c r="F27" s="1128" t="s">
        <v>1463</v>
      </c>
      <c r="G27" s="1129"/>
      <c r="H27" s="1100"/>
      <c r="I27" s="1100"/>
    </row>
    <row r="28" spans="1:9" s="1583" customFormat="1" ht="19.5" customHeight="1">
      <c r="A28" s="3447"/>
      <c r="B28" s="3447"/>
      <c r="C28" s="1126" t="s">
        <v>1464</v>
      </c>
      <c r="D28" s="1127"/>
      <c r="E28" s="1149">
        <v>0.9</v>
      </c>
      <c r="F28" s="1128" t="s">
        <v>1465</v>
      </c>
      <c r="G28" s="1129"/>
      <c r="H28" s="1100"/>
      <c r="I28" s="1100"/>
    </row>
    <row r="29" spans="1:9" s="1583" customFormat="1" ht="19.5" customHeight="1">
      <c r="A29" s="3447"/>
      <c r="B29" s="3447"/>
      <c r="C29" s="1126" t="s">
        <v>1466</v>
      </c>
      <c r="D29" s="1127"/>
      <c r="E29" s="1149">
        <v>0.9</v>
      </c>
      <c r="F29" s="1128" t="s">
        <v>1467</v>
      </c>
      <c r="G29" s="1129"/>
      <c r="H29" s="1100"/>
      <c r="I29" s="1100"/>
    </row>
    <row r="30" spans="1:9" s="1583" customFormat="1" ht="19.5" customHeight="1">
      <c r="A30" s="3447"/>
      <c r="B30" s="3447"/>
      <c r="C30" s="1126" t="s">
        <v>1468</v>
      </c>
      <c r="D30" s="1127"/>
      <c r="E30" s="1149">
        <v>0.9</v>
      </c>
      <c r="F30" s="1128" t="s">
        <v>1469</v>
      </c>
      <c r="G30" s="1129"/>
      <c r="H30" s="1100"/>
      <c r="I30" s="1100"/>
    </row>
    <row r="31" spans="1:9" s="1583" customFormat="1" ht="19.5" customHeight="1">
      <c r="A31" s="3447"/>
      <c r="B31" s="3447"/>
      <c r="C31" s="1126" t="s">
        <v>1470</v>
      </c>
      <c r="D31" s="1127"/>
      <c r="E31" s="1149">
        <v>0.8</v>
      </c>
      <c r="F31" s="1128" t="s">
        <v>1471</v>
      </c>
      <c r="G31" s="1129"/>
      <c r="H31" s="1100"/>
      <c r="I31" s="1100"/>
    </row>
    <row r="32" spans="1:9" s="1583" customFormat="1" ht="19.5" customHeight="1">
      <c r="A32" s="3447"/>
      <c r="B32" s="3447"/>
      <c r="C32" s="1126" t="s">
        <v>1472</v>
      </c>
      <c r="D32" s="1127"/>
      <c r="E32" s="1149">
        <v>0.8</v>
      </c>
      <c r="F32" s="1128" t="s">
        <v>1473</v>
      </c>
      <c r="G32" s="1129"/>
      <c r="H32" s="1100"/>
      <c r="I32" s="1100"/>
    </row>
    <row r="33" spans="1:9" s="1583" customFormat="1" ht="19.5" customHeight="1">
      <c r="A33" s="3447" t="s">
        <v>1474</v>
      </c>
      <c r="B33" s="1149" t="s">
        <v>1446</v>
      </c>
      <c r="C33" s="1126" t="s">
        <v>1475</v>
      </c>
      <c r="D33" s="1127"/>
      <c r="E33" s="1149">
        <v>1</v>
      </c>
      <c r="F33" s="1128" t="s">
        <v>1476</v>
      </c>
      <c r="G33" s="1129"/>
      <c r="H33" s="1100"/>
      <c r="I33" s="1100"/>
    </row>
    <row r="34" spans="1:9" s="1583" customFormat="1" ht="19.5" customHeight="1">
      <c r="A34" s="3447"/>
      <c r="B34" s="1149" t="s">
        <v>1449</v>
      </c>
      <c r="C34" s="1126" t="s">
        <v>1477</v>
      </c>
      <c r="D34" s="1127"/>
      <c r="E34" s="1149">
        <v>1.5</v>
      </c>
      <c r="F34" s="1128" t="s">
        <v>1478</v>
      </c>
      <c r="G34" s="1129"/>
      <c r="H34" s="1100"/>
      <c r="I34" s="1100"/>
    </row>
    <row r="35" spans="1:9" s="1583" customFormat="1" ht="19.5" customHeight="1">
      <c r="A35" s="3447" t="s">
        <v>1432</v>
      </c>
      <c r="B35" s="1149" t="s">
        <v>1446</v>
      </c>
      <c r="C35" s="1126" t="s">
        <v>1479</v>
      </c>
      <c r="D35" s="1127"/>
      <c r="E35" s="1149">
        <v>1</v>
      </c>
      <c r="F35" s="1128" t="s">
        <v>1480</v>
      </c>
      <c r="G35" s="1129"/>
      <c r="H35" s="1100"/>
      <c r="I35" s="1100"/>
    </row>
    <row r="36" spans="1:9" s="1583" customFormat="1" ht="19.5" customHeight="1">
      <c r="A36" s="3447"/>
      <c r="B36" s="3447" t="s">
        <v>1449</v>
      </c>
      <c r="C36" s="1126" t="s">
        <v>1481</v>
      </c>
      <c r="D36" s="1127"/>
      <c r="E36" s="1149">
        <v>1</v>
      </c>
      <c r="F36" s="1128" t="s">
        <v>1482</v>
      </c>
      <c r="G36" s="1129"/>
      <c r="H36" s="1100"/>
      <c r="I36" s="1100"/>
    </row>
    <row r="37" spans="1:9" s="1583" customFormat="1" ht="19.5" customHeight="1">
      <c r="A37" s="3447"/>
      <c r="B37" s="3447"/>
      <c r="C37" s="1126" t="s">
        <v>1483</v>
      </c>
      <c r="D37" s="1127"/>
      <c r="E37" s="1149">
        <v>1.5</v>
      </c>
      <c r="F37" s="1128" t="s">
        <v>1484</v>
      </c>
      <c r="G37" s="1129"/>
      <c r="H37" s="1100"/>
      <c r="I37" s="1100"/>
    </row>
    <row r="38" spans="1:9" s="1583" customFormat="1" ht="19.5" customHeight="1">
      <c r="A38" s="3447"/>
      <c r="B38" s="3447"/>
      <c r="C38" s="1126" t="s">
        <v>1485</v>
      </c>
      <c r="D38" s="1127"/>
      <c r="E38" s="1149">
        <v>1</v>
      </c>
      <c r="F38" s="1128" t="s">
        <v>1486</v>
      </c>
      <c r="G38" s="1129"/>
      <c r="H38" s="1100"/>
      <c r="I38" s="1100"/>
    </row>
    <row r="39" spans="1:9" s="1583" customFormat="1" ht="19.5" customHeight="1">
      <c r="A39" s="3447"/>
      <c r="B39" s="3447"/>
      <c r="C39" s="1126" t="s">
        <v>1487</v>
      </c>
      <c r="D39" s="1127"/>
      <c r="E39" s="1149">
        <v>1</v>
      </c>
      <c r="F39" s="1128" t="s">
        <v>1488</v>
      </c>
      <c r="G39" s="1129"/>
      <c r="H39" s="1100"/>
      <c r="I39" s="1100"/>
    </row>
    <row r="40" spans="1:9" s="1583" customFormat="1" ht="19.5" customHeight="1">
      <c r="A40" s="1584" t="s">
        <v>1489</v>
      </c>
      <c r="B40" s="1584"/>
      <c r="C40" s="1584"/>
      <c r="D40" s="1584"/>
      <c r="E40" s="158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47" t="s">
        <v>1501</v>
      </c>
      <c r="C61" s="1063" t="s">
        <v>1502</v>
      </c>
      <c r="D61" s="1063" t="s">
        <v>1503</v>
      </c>
      <c r="E61" s="1134">
        <v>0.5</v>
      </c>
      <c r="F61" s="1149">
        <v>80</v>
      </c>
      <c r="H61" s="1100">
        <f>SUMIF(C59:C119,'基准地价-住宅'!C8,E59:E119)</f>
        <v>0</v>
      </c>
    </row>
    <row r="62" spans="1:8" s="1100" customFormat="1" ht="24">
      <c r="A62" s="1149">
        <v>2</v>
      </c>
      <c r="B62" s="3447"/>
      <c r="C62" s="1063" t="s">
        <v>1504</v>
      </c>
      <c r="D62" s="1063" t="s">
        <v>1505</v>
      </c>
      <c r="E62" s="1134">
        <v>0.5</v>
      </c>
      <c r="F62" s="1149">
        <v>80</v>
      </c>
    </row>
    <row r="63" spans="1:8" s="1100" customFormat="1" ht="36">
      <c r="A63" s="1149">
        <v>3</v>
      </c>
      <c r="B63" s="3447"/>
      <c r="C63" s="1063" t="s">
        <v>1506</v>
      </c>
      <c r="D63" s="1063" t="s">
        <v>1507</v>
      </c>
      <c r="E63" s="1134">
        <v>0.5</v>
      </c>
      <c r="F63" s="1149">
        <v>80</v>
      </c>
    </row>
    <row r="64" spans="1:8" s="1100" customFormat="1" ht="36">
      <c r="A64" s="1149">
        <v>4</v>
      </c>
      <c r="B64" s="3447"/>
      <c r="C64" s="1063" t="s">
        <v>1508</v>
      </c>
      <c r="D64" s="1063" t="s">
        <v>1509</v>
      </c>
      <c r="E64" s="1134">
        <v>0.4</v>
      </c>
      <c r="F64" s="1149">
        <v>60</v>
      </c>
    </row>
    <row r="65" spans="1:6" s="1100" customFormat="1" ht="36">
      <c r="A65" s="1149">
        <v>5</v>
      </c>
      <c r="B65" s="3447"/>
      <c r="C65" s="1063" t="s">
        <v>1510</v>
      </c>
      <c r="D65" s="1063" t="s">
        <v>1511</v>
      </c>
      <c r="E65" s="1134">
        <v>0.2</v>
      </c>
      <c r="F65" s="1149">
        <v>30</v>
      </c>
    </row>
    <row r="66" spans="1:6" s="1100" customFormat="1" ht="36">
      <c r="A66" s="1149">
        <v>6</v>
      </c>
      <c r="B66" s="3447"/>
      <c r="C66" s="1063" t="s">
        <v>1512</v>
      </c>
      <c r="D66" s="1063" t="s">
        <v>1513</v>
      </c>
      <c r="E66" s="1134">
        <v>0.3</v>
      </c>
      <c r="F66" s="1149">
        <v>50</v>
      </c>
    </row>
    <row r="67" spans="1:6" s="1100" customFormat="1" ht="36">
      <c r="A67" s="1149">
        <v>7</v>
      </c>
      <c r="B67" s="3447"/>
      <c r="C67" s="1063" t="s">
        <v>1514</v>
      </c>
      <c r="D67" s="1063" t="s">
        <v>1515</v>
      </c>
      <c r="E67" s="1134">
        <v>0.2</v>
      </c>
      <c r="F67" s="1149">
        <v>30</v>
      </c>
    </row>
    <row r="68" spans="1:6" s="1100" customFormat="1" ht="36">
      <c r="A68" s="1149">
        <v>8</v>
      </c>
      <c r="B68" s="3447"/>
      <c r="C68" s="1063" t="s">
        <v>1516</v>
      </c>
      <c r="D68" s="1063" t="s">
        <v>1517</v>
      </c>
      <c r="E68" s="1134">
        <v>0.2</v>
      </c>
      <c r="F68" s="1149">
        <v>30</v>
      </c>
    </row>
    <row r="69" spans="1:6" s="1100" customFormat="1" ht="36">
      <c r="A69" s="1149">
        <v>9</v>
      </c>
      <c r="B69" s="3447"/>
      <c r="C69" s="1063" t="s">
        <v>1518</v>
      </c>
      <c r="D69" s="1063" t="s">
        <v>1519</v>
      </c>
      <c r="E69" s="1134">
        <v>0.2</v>
      </c>
      <c r="F69" s="1149">
        <v>30</v>
      </c>
    </row>
    <row r="70" spans="1:6" s="1100" customFormat="1" ht="48">
      <c r="A70" s="1149">
        <v>10</v>
      </c>
      <c r="B70" s="3447"/>
      <c r="C70" s="1063" t="s">
        <v>1520</v>
      </c>
      <c r="D70" s="1063" t="s">
        <v>1521</v>
      </c>
      <c r="E70" s="1134">
        <v>0.2</v>
      </c>
      <c r="F70" s="1149">
        <v>30</v>
      </c>
    </row>
    <row r="71" spans="1:6" s="1100" customFormat="1" ht="48">
      <c r="A71" s="1149">
        <v>11</v>
      </c>
      <c r="B71" s="3447"/>
      <c r="C71" s="1063" t="s">
        <v>1522</v>
      </c>
      <c r="D71" s="1063" t="s">
        <v>1523</v>
      </c>
      <c r="E71" s="1134">
        <v>0.2</v>
      </c>
      <c r="F71" s="1149">
        <v>30</v>
      </c>
    </row>
    <row r="72" spans="1:6" s="1100" customFormat="1" ht="36">
      <c r="A72" s="1149">
        <v>12</v>
      </c>
      <c r="B72" s="3447"/>
      <c r="C72" s="1063" t="s">
        <v>1524</v>
      </c>
      <c r="D72" s="1063" t="s">
        <v>1525</v>
      </c>
      <c r="E72" s="1134">
        <v>0.5</v>
      </c>
      <c r="F72" s="1149">
        <v>80</v>
      </c>
    </row>
    <row r="73" spans="1:6" s="1100" customFormat="1" ht="24">
      <c r="A73" s="1149">
        <v>13</v>
      </c>
      <c r="B73" s="3447"/>
      <c r="C73" s="1063" t="s">
        <v>1526</v>
      </c>
      <c r="D73" s="1063" t="s">
        <v>1527</v>
      </c>
      <c r="E73" s="1134">
        <v>0.4</v>
      </c>
      <c r="F73" s="1149">
        <v>60</v>
      </c>
    </row>
    <row r="74" spans="1:6" s="1100" customFormat="1" ht="24">
      <c r="A74" s="1149">
        <v>14</v>
      </c>
      <c r="B74" s="3447"/>
      <c r="C74" s="1063" t="s">
        <v>1528</v>
      </c>
      <c r="D74" s="1063" t="s">
        <v>1529</v>
      </c>
      <c r="E74" s="1134">
        <v>0.2</v>
      </c>
      <c r="F74" s="1149">
        <v>30</v>
      </c>
    </row>
    <row r="75" spans="1:6" s="1100" customFormat="1" ht="24">
      <c r="A75" s="1149">
        <v>15</v>
      </c>
      <c r="B75" s="3447"/>
      <c r="C75" s="1063" t="s">
        <v>1530</v>
      </c>
      <c r="D75" s="1063" t="s">
        <v>1531</v>
      </c>
      <c r="E75" s="1134">
        <v>0.2</v>
      </c>
      <c r="F75" s="1149">
        <v>30</v>
      </c>
    </row>
    <row r="76" spans="1:6" s="1100" customFormat="1" ht="24">
      <c r="A76" s="1149">
        <v>16</v>
      </c>
      <c r="B76" s="3447" t="s">
        <v>1532</v>
      </c>
      <c r="C76" s="1063" t="s">
        <v>1533</v>
      </c>
      <c r="D76" s="1063" t="s">
        <v>1534</v>
      </c>
      <c r="E76" s="1134">
        <v>0.5</v>
      </c>
      <c r="F76" s="1149">
        <v>80</v>
      </c>
    </row>
    <row r="77" spans="1:6" s="1100" customFormat="1" ht="24">
      <c r="A77" s="1149">
        <v>17</v>
      </c>
      <c r="B77" s="3447"/>
      <c r="C77" s="1063" t="s">
        <v>1535</v>
      </c>
      <c r="D77" s="1063" t="s">
        <v>1536</v>
      </c>
      <c r="E77" s="1134">
        <v>0.5</v>
      </c>
      <c r="F77" s="1149">
        <v>80</v>
      </c>
    </row>
    <row r="78" spans="1:6" s="1100" customFormat="1" ht="24">
      <c r="A78" s="1149">
        <v>18</v>
      </c>
      <c r="B78" s="3447"/>
      <c r="C78" s="1063" t="s">
        <v>1537</v>
      </c>
      <c r="D78" s="1063" t="s">
        <v>1538</v>
      </c>
      <c r="E78" s="1134">
        <v>0.2</v>
      </c>
      <c r="F78" s="1149">
        <v>30</v>
      </c>
    </row>
    <row r="79" spans="1:6" s="1100" customFormat="1" ht="24">
      <c r="A79" s="1149">
        <v>19</v>
      </c>
      <c r="B79" s="3447"/>
      <c r="C79" s="1063" t="s">
        <v>1539</v>
      </c>
      <c r="D79" s="1063" t="s">
        <v>1540</v>
      </c>
      <c r="E79" s="1134">
        <v>0.5</v>
      </c>
      <c r="F79" s="1149">
        <v>80</v>
      </c>
    </row>
    <row r="80" spans="1:6" s="1100" customFormat="1" ht="36">
      <c r="A80" s="1149">
        <v>20</v>
      </c>
      <c r="B80" s="3447"/>
      <c r="C80" s="1063" t="s">
        <v>1541</v>
      </c>
      <c r="D80" s="1063" t="s">
        <v>1542</v>
      </c>
      <c r="E80" s="1134">
        <v>0.2</v>
      </c>
      <c r="F80" s="1149">
        <v>30</v>
      </c>
    </row>
    <row r="81" spans="1:6" s="1100" customFormat="1" ht="36">
      <c r="A81" s="1149">
        <v>21</v>
      </c>
      <c r="B81" s="3447"/>
      <c r="C81" s="1063" t="s">
        <v>1543</v>
      </c>
      <c r="D81" s="1063" t="s">
        <v>1544</v>
      </c>
      <c r="E81" s="1134">
        <v>0.2</v>
      </c>
      <c r="F81" s="1149">
        <v>30</v>
      </c>
    </row>
    <row r="82" spans="1:6" s="1100" customFormat="1" ht="48">
      <c r="A82" s="1149">
        <v>22</v>
      </c>
      <c r="B82" s="3447"/>
      <c r="C82" s="1063" t="s">
        <v>1545</v>
      </c>
      <c r="D82" s="1063" t="s">
        <v>1546</v>
      </c>
      <c r="E82" s="1134">
        <v>0.2</v>
      </c>
      <c r="F82" s="1149">
        <v>30</v>
      </c>
    </row>
    <row r="83" spans="1:6" s="1100" customFormat="1" ht="48">
      <c r="A83" s="1149">
        <v>23</v>
      </c>
      <c r="B83" s="3447"/>
      <c r="C83" s="1063" t="s">
        <v>1547</v>
      </c>
      <c r="D83" s="1063" t="s">
        <v>1548</v>
      </c>
      <c r="E83" s="1134">
        <v>0.2</v>
      </c>
      <c r="F83" s="1149">
        <v>30</v>
      </c>
    </row>
    <row r="84" spans="1:6" s="1100" customFormat="1" ht="36">
      <c r="A84" s="1149">
        <v>24</v>
      </c>
      <c r="B84" s="3447"/>
      <c r="C84" s="1063" t="s">
        <v>1549</v>
      </c>
      <c r="D84" s="1063" t="s">
        <v>1550</v>
      </c>
      <c r="E84" s="1134">
        <v>0.2</v>
      </c>
      <c r="F84" s="1149">
        <v>30</v>
      </c>
    </row>
    <row r="85" spans="1:6" s="1100" customFormat="1" ht="36">
      <c r="A85" s="1149">
        <v>25</v>
      </c>
      <c r="B85" s="3447"/>
      <c r="C85" s="1063" t="s">
        <v>1551</v>
      </c>
      <c r="D85" s="1063" t="s">
        <v>1552</v>
      </c>
      <c r="E85" s="1134">
        <v>0.5</v>
      </c>
      <c r="F85" s="1149">
        <v>80</v>
      </c>
    </row>
    <row r="86" spans="1:6" s="1100" customFormat="1" ht="36">
      <c r="A86" s="1149">
        <v>26</v>
      </c>
      <c r="B86" s="3447"/>
      <c r="C86" s="1063" t="s">
        <v>1553</v>
      </c>
      <c r="D86" s="1063" t="s">
        <v>1554</v>
      </c>
      <c r="E86" s="1134">
        <v>0.2</v>
      </c>
      <c r="F86" s="1149">
        <v>30</v>
      </c>
    </row>
    <row r="87" spans="1:6" s="1100" customFormat="1" ht="36">
      <c r="A87" s="1149">
        <v>27</v>
      </c>
      <c r="B87" s="3447"/>
      <c r="C87" s="1063" t="s">
        <v>1555</v>
      </c>
      <c r="D87" s="1063" t="s">
        <v>1556</v>
      </c>
      <c r="E87" s="1134">
        <v>0.2</v>
      </c>
      <c r="F87" s="1149">
        <v>30</v>
      </c>
    </row>
    <row r="88" spans="1:6" s="1100" customFormat="1" ht="36">
      <c r="A88" s="1149">
        <v>28</v>
      </c>
      <c r="B88" s="3447"/>
      <c r="C88" s="1063" t="s">
        <v>1557</v>
      </c>
      <c r="D88" s="1063" t="s">
        <v>1558</v>
      </c>
      <c r="E88" s="1134">
        <v>0.2</v>
      </c>
      <c r="F88" s="1149">
        <v>30</v>
      </c>
    </row>
    <row r="89" spans="1:6" s="1100" customFormat="1" ht="24">
      <c r="A89" s="1149">
        <v>29</v>
      </c>
      <c r="B89" s="3447"/>
      <c r="C89" s="1063" t="s">
        <v>1559</v>
      </c>
      <c r="D89" s="1063" t="s">
        <v>1560</v>
      </c>
      <c r="E89" s="1134">
        <v>0.2</v>
      </c>
      <c r="F89" s="1149">
        <v>30</v>
      </c>
    </row>
    <row r="90" spans="1:6" s="1100" customFormat="1" ht="24">
      <c r="A90" s="1149">
        <v>30</v>
      </c>
      <c r="B90" s="3447"/>
      <c r="C90" s="1063" t="s">
        <v>1561</v>
      </c>
      <c r="D90" s="1063" t="s">
        <v>1562</v>
      </c>
      <c r="E90" s="1134">
        <v>0.2</v>
      </c>
      <c r="F90" s="1149">
        <v>30</v>
      </c>
    </row>
    <row r="91" spans="1:6" s="1100" customFormat="1" ht="36">
      <c r="A91" s="1149">
        <v>31</v>
      </c>
      <c r="B91" s="3447"/>
      <c r="C91" s="1063" t="s">
        <v>1563</v>
      </c>
      <c r="D91" s="1063" t="s">
        <v>1564</v>
      </c>
      <c r="E91" s="1134">
        <v>0.2</v>
      </c>
      <c r="F91" s="1149">
        <v>30</v>
      </c>
    </row>
    <row r="92" spans="1:6" s="1100" customFormat="1" ht="24">
      <c r="A92" s="1149">
        <v>32</v>
      </c>
      <c r="B92" s="3447" t="s">
        <v>1565</v>
      </c>
      <c r="C92" s="1149" t="s">
        <v>1566</v>
      </c>
      <c r="D92" s="1063" t="s">
        <v>1567</v>
      </c>
      <c r="E92" s="1134">
        <v>0.2</v>
      </c>
      <c r="F92" s="1149">
        <v>30</v>
      </c>
    </row>
    <row r="93" spans="1:6" s="1100" customFormat="1" ht="36">
      <c r="A93" s="1149">
        <v>33</v>
      </c>
      <c r="B93" s="3447"/>
      <c r="C93" s="1149" t="s">
        <v>1568</v>
      </c>
      <c r="D93" s="1063" t="s">
        <v>1569</v>
      </c>
      <c r="E93" s="1134">
        <v>0.2</v>
      </c>
      <c r="F93" s="1149">
        <v>30</v>
      </c>
    </row>
    <row r="94" spans="1:6" s="1100" customFormat="1" ht="48">
      <c r="A94" s="1149">
        <v>34</v>
      </c>
      <c r="B94" s="3447"/>
      <c r="C94" s="1149" t="s">
        <v>1570</v>
      </c>
      <c r="D94" s="1063" t="s">
        <v>1571</v>
      </c>
      <c r="E94" s="1134">
        <v>0.2</v>
      </c>
      <c r="F94" s="1149">
        <v>30</v>
      </c>
    </row>
    <row r="95" spans="1:6" s="1100" customFormat="1" ht="36">
      <c r="A95" s="1149">
        <v>35</v>
      </c>
      <c r="B95" s="3447"/>
      <c r="C95" s="1149" t="s">
        <v>1572</v>
      </c>
      <c r="D95" s="1063" t="s">
        <v>1573</v>
      </c>
      <c r="E95" s="1134">
        <v>0.2</v>
      </c>
      <c r="F95" s="1149">
        <v>30</v>
      </c>
    </row>
    <row r="96" spans="1:6" s="1100" customFormat="1" ht="48">
      <c r="A96" s="1149">
        <v>36</v>
      </c>
      <c r="B96" s="3447"/>
      <c r="C96" s="1063" t="s">
        <v>1574</v>
      </c>
      <c r="D96" s="1063" t="s">
        <v>1575</v>
      </c>
      <c r="E96" s="1134">
        <v>0.2</v>
      </c>
      <c r="F96" s="1149">
        <v>30</v>
      </c>
    </row>
    <row r="97" spans="1:6" s="1100" customFormat="1" ht="36">
      <c r="A97" s="1149">
        <v>37</v>
      </c>
      <c r="B97" s="3447"/>
      <c r="C97" s="1149" t="s">
        <v>1576</v>
      </c>
      <c r="D97" s="1063" t="s">
        <v>1577</v>
      </c>
      <c r="E97" s="1134">
        <v>0.2</v>
      </c>
      <c r="F97" s="1149">
        <v>30</v>
      </c>
    </row>
    <row r="98" spans="1:6" s="1100" customFormat="1" ht="36">
      <c r="A98" s="1149">
        <v>38</v>
      </c>
      <c r="B98" s="3447"/>
      <c r="C98" s="1149" t="s">
        <v>1578</v>
      </c>
      <c r="D98" s="1063" t="s">
        <v>1579</v>
      </c>
      <c r="E98" s="1134">
        <v>0.2</v>
      </c>
      <c r="F98" s="1149">
        <v>30</v>
      </c>
    </row>
    <row r="99" spans="1:6" s="1100" customFormat="1" ht="36">
      <c r="A99" s="1149">
        <v>39</v>
      </c>
      <c r="B99" s="3447" t="s">
        <v>1580</v>
      </c>
      <c r="C99" s="1149" t="s">
        <v>1581</v>
      </c>
      <c r="D99" s="1063" t="s">
        <v>1582</v>
      </c>
      <c r="E99" s="1134">
        <v>0.3</v>
      </c>
      <c r="F99" s="1149">
        <v>50</v>
      </c>
    </row>
    <row r="100" spans="1:6" s="1100" customFormat="1" ht="24">
      <c r="A100" s="1149">
        <v>40</v>
      </c>
      <c r="B100" s="3447"/>
      <c r="C100" s="1149" t="s">
        <v>1583</v>
      </c>
      <c r="D100" s="1063" t="s">
        <v>1584</v>
      </c>
      <c r="E100" s="1134">
        <v>0.2</v>
      </c>
      <c r="F100" s="1149">
        <v>30</v>
      </c>
    </row>
    <row r="101" spans="1:6" s="1100" customFormat="1" ht="36">
      <c r="A101" s="1149">
        <v>41</v>
      </c>
      <c r="B101" s="3447"/>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47" t="s">
        <v>1595</v>
      </c>
      <c r="C105" s="1149" t="s">
        <v>1596</v>
      </c>
      <c r="D105" s="1063" t="s">
        <v>1597</v>
      </c>
      <c r="E105" s="1134">
        <v>0.2</v>
      </c>
      <c r="F105" s="1149">
        <v>30</v>
      </c>
    </row>
    <row r="106" spans="1:6" s="1100" customFormat="1" ht="36">
      <c r="A106" s="1149">
        <v>46</v>
      </c>
      <c r="B106" s="3447"/>
      <c r="C106" s="1149" t="s">
        <v>1598</v>
      </c>
      <c r="D106" s="1063" t="s">
        <v>1599</v>
      </c>
      <c r="E106" s="1134">
        <v>0.2</v>
      </c>
      <c r="F106" s="1149">
        <v>30</v>
      </c>
    </row>
    <row r="107" spans="1:6" s="1100" customFormat="1" ht="36">
      <c r="A107" s="1149">
        <v>47</v>
      </c>
      <c r="B107" s="3447" t="s">
        <v>1600</v>
      </c>
      <c r="C107" s="1149" t="s">
        <v>1601</v>
      </c>
      <c r="D107" s="1063" t="s">
        <v>1602</v>
      </c>
      <c r="E107" s="1134">
        <v>0.3</v>
      </c>
      <c r="F107" s="1149">
        <v>50</v>
      </c>
    </row>
    <row r="108" spans="1:6" s="1100" customFormat="1" ht="36">
      <c r="A108" s="1149">
        <v>48</v>
      </c>
      <c r="B108" s="3447"/>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47" t="s">
        <v>1611</v>
      </c>
      <c r="C111" s="1149" t="s">
        <v>1612</v>
      </c>
      <c r="D111" s="1063" t="s">
        <v>1613</v>
      </c>
      <c r="E111" s="1134">
        <v>0.2</v>
      </c>
      <c r="F111" s="1149">
        <v>30</v>
      </c>
    </row>
    <row r="112" spans="1:6" s="1100" customFormat="1" ht="24">
      <c r="A112" s="1149">
        <v>52</v>
      </c>
      <c r="B112" s="3447"/>
      <c r="C112" s="1149" t="s">
        <v>1614</v>
      </c>
      <c r="D112" s="1063" t="s">
        <v>1615</v>
      </c>
      <c r="E112" s="1134">
        <v>0.2</v>
      </c>
      <c r="F112" s="1149">
        <v>30</v>
      </c>
    </row>
    <row r="113" spans="1:14" s="1100" customFormat="1" ht="24">
      <c r="A113" s="1149">
        <v>53</v>
      </c>
      <c r="B113" s="3447"/>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47" t="s">
        <v>1624</v>
      </c>
      <c r="C116" s="1149" t="s">
        <v>1625</v>
      </c>
      <c r="D116" s="1063" t="s">
        <v>1626</v>
      </c>
      <c r="E116" s="1134">
        <v>0.2</v>
      </c>
      <c r="F116" s="1149">
        <v>30</v>
      </c>
    </row>
    <row r="117" spans="1:14" ht="36">
      <c r="A117" s="1149">
        <v>57</v>
      </c>
      <c r="B117" s="3447"/>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46" t="s">
        <v>1633</v>
      </c>
      <c r="B121" s="3446"/>
      <c r="C121" s="3446"/>
      <c r="D121" s="3446"/>
      <c r="E121" s="3446"/>
      <c r="F121" s="3446"/>
      <c r="G121" s="3446"/>
      <c r="H121" s="3446"/>
      <c r="I121" s="3446"/>
      <c r="J121" s="3446"/>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506" t="s">
        <v>1039</v>
      </c>
      <c r="B1" s="3506"/>
      <c r="C1" s="3506"/>
      <c r="D1" s="3506"/>
      <c r="E1" s="3506"/>
      <c r="F1" s="3506"/>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507" t="s">
        <v>1052</v>
      </c>
      <c r="B2" s="3507"/>
      <c r="C2" s="3507"/>
      <c r="D2" s="3507"/>
      <c r="E2" s="3507"/>
      <c r="F2" s="3507"/>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508"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509"/>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SUMPRODUCT((B5:B9='基准地价-住宅'!I2)*(C3:F3='基准地价-住宅'!E2)*(C5:F9))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SUMPRODUCT((B10:B28='基准地价-住宅'!I2)*(C3:F3='基准地价-住宅'!E2)*(C10:F28))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SUMPRODUCT((B29:B48='基准地价-住宅'!I2)*(C3:F3='基准地价-住宅'!E2)*(C29:F48))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SUMPRODUCT((B49:B75='基准地价-住宅'!I2)*(C3:F3='基准地价-住宅'!E2)*(C49:F75))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SUMPRODUCT((B76:B109='基准地价-住宅'!I2)*(C3:F3='基准地价-住宅'!E2)*(C76:F109))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SUMPRODUCT((B110:B157='基准地价-住宅'!I2)*(C3:F3='基准地价-住宅'!E2)*(C110:F157))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SUMPRODUCT((B158:B205='基准地价-住宅'!I2)*(C3:F3='基准地价-住宅'!E2)*(C158:F205))</f>
        <v>7500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SUMPRODUCT((B206:B244='基准地价-住宅'!I2)*(C3:F3='基准地价-住宅'!E2)*(C206:F244))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SUMPRODUCT((B245:B289='基准地价-住宅'!I2)*(C3:F3='基准地价-住宅'!E2)*(C245:F289))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SUMPRODUCT((B290:B316='基准地价-住宅'!I2)*(C3:F3='基准地价-住宅'!E2)*(C290:F316))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SUMPRODUCT((B317:B337='基准地价-住宅'!I2)*(C3:F3='基准地价-住宅'!E2)*(C317:F337))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SUMPRODUCT((B338:B344='基准地价-住宅'!I2)*(C3:F3='基准地价-住宅'!E2)*(C338:F344))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2419</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2420</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SUMPRODUCT((A105:A204=ROUNDDOWN('基准地价-住宅'!G3,1))*(B104:M104='基准地价-住宅'!G2)*(B105:M204))</f>
        <v>1.0901000000000001</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510" t="s">
        <v>2077</v>
      </c>
      <c r="B1" s="3510"/>
    </row>
    <row r="2" spans="1:6" ht="14.25" thickBot="1">
      <c r="A2" s="1835"/>
      <c r="B2" s="1835"/>
    </row>
    <row r="3" spans="1:6" ht="14.25" thickBot="1">
      <c r="A3" s="1835"/>
      <c r="B3" s="1835"/>
      <c r="C3" s="1836" t="s">
        <v>2078</v>
      </c>
      <c r="D3" s="1836" t="s">
        <v>2079</v>
      </c>
      <c r="E3" s="1836" t="s">
        <v>2080</v>
      </c>
      <c r="F3" s="1836" t="s">
        <v>2081</v>
      </c>
    </row>
    <row r="4" spans="1:6" ht="14.25" thickBot="1">
      <c r="A4" s="1837" t="s">
        <v>2082</v>
      </c>
      <c r="B4" s="1838" t="s">
        <v>2083</v>
      </c>
      <c r="C4" s="1836"/>
      <c r="D4" s="1836"/>
      <c r="E4" s="1836"/>
      <c r="F4" s="1836"/>
    </row>
    <row r="5" spans="1:6" ht="14.25" thickBot="1">
      <c r="A5" s="1839" t="s">
        <v>2084</v>
      </c>
      <c r="B5" s="1840" t="s">
        <v>2085</v>
      </c>
      <c r="C5" s="1841">
        <v>8.8999999999999996E-2</v>
      </c>
      <c r="D5" s="1841">
        <v>7.3999999999999996E-2</v>
      </c>
      <c r="E5" s="1841">
        <v>7.4999999999999997E-2</v>
      </c>
      <c r="F5" s="1842">
        <v>0.1</v>
      </c>
    </row>
    <row r="6" spans="1:6" ht="14.25" thickBot="1">
      <c r="A6" s="1839" t="s">
        <v>1096</v>
      </c>
      <c r="B6" s="1843" t="s">
        <v>2086</v>
      </c>
      <c r="C6" s="1844">
        <v>0.1</v>
      </c>
      <c r="D6" s="1844">
        <v>9.0999999999999998E-2</v>
      </c>
      <c r="E6" s="1844">
        <v>9.0999999999999998E-2</v>
      </c>
      <c r="F6" s="1845">
        <v>0.1</v>
      </c>
    </row>
    <row r="7" spans="1:6" ht="14.25" thickBot="1">
      <c r="A7" s="1839" t="s">
        <v>1096</v>
      </c>
      <c r="B7" s="1846" t="s">
        <v>1084</v>
      </c>
      <c r="C7" s="1844">
        <v>8.5999999999999993E-2</v>
      </c>
      <c r="D7" s="1844">
        <v>9.6000000000000002E-2</v>
      </c>
      <c r="E7" s="1844">
        <v>7.5999999999999998E-2</v>
      </c>
      <c r="F7" s="1845">
        <v>0.1</v>
      </c>
    </row>
    <row r="8" spans="1:6" ht="14.25" thickBot="1">
      <c r="A8" s="1839" t="s">
        <v>1096</v>
      </c>
      <c r="B8" s="1843" t="s">
        <v>1097</v>
      </c>
      <c r="C8" s="1844">
        <v>9.9000000000000005E-2</v>
      </c>
      <c r="D8" s="1844">
        <v>9.8000000000000004E-2</v>
      </c>
      <c r="E8" s="1844">
        <v>9.8000000000000004E-2</v>
      </c>
      <c r="F8" s="1845">
        <v>0.1</v>
      </c>
    </row>
    <row r="9" spans="1:6" ht="14.25" thickBot="1">
      <c r="A9" s="1847" t="s">
        <v>1096</v>
      </c>
      <c r="B9" s="1848" t="s">
        <v>1111</v>
      </c>
      <c r="C9" s="1849">
        <v>0.05</v>
      </c>
      <c r="D9" s="1850"/>
      <c r="E9" s="1850"/>
      <c r="F9" s="1851"/>
    </row>
    <row r="10" spans="1:6" ht="14.25" thickBot="1">
      <c r="A10" s="1839" t="s">
        <v>1155</v>
      </c>
      <c r="B10" s="1840" t="s">
        <v>2087</v>
      </c>
      <c r="C10" s="1841">
        <v>8.8999999999999996E-2</v>
      </c>
      <c r="D10" s="1841">
        <v>7.2999999999999995E-2</v>
      </c>
      <c r="E10" s="1841">
        <v>8.2000000000000003E-2</v>
      </c>
      <c r="F10" s="1842">
        <v>0.1</v>
      </c>
    </row>
    <row r="11" spans="1:6" ht="14.25" thickBot="1">
      <c r="A11" s="1839" t="s">
        <v>1155</v>
      </c>
      <c r="B11" s="1846" t="s">
        <v>1071</v>
      </c>
      <c r="C11" s="1844">
        <v>8.8999999999999996E-2</v>
      </c>
      <c r="D11" s="1844">
        <v>7.2999999999999995E-2</v>
      </c>
      <c r="E11" s="1844">
        <v>8.2000000000000003E-2</v>
      </c>
      <c r="F11" s="1845">
        <v>0.1</v>
      </c>
    </row>
    <row r="12" spans="1:6" ht="14.25" thickBot="1">
      <c r="A12" s="1839" t="s">
        <v>1155</v>
      </c>
      <c r="B12" s="1846" t="s">
        <v>1085</v>
      </c>
      <c r="C12" s="1844">
        <v>6.0999999999999999E-2</v>
      </c>
      <c r="D12" s="1844">
        <v>7.0999999999999994E-2</v>
      </c>
      <c r="E12" s="1844">
        <v>9.6000000000000002E-2</v>
      </c>
      <c r="F12" s="1845">
        <v>0.1</v>
      </c>
    </row>
    <row r="13" spans="1:6" ht="14.25" thickBot="1">
      <c r="A13" s="1839" t="s">
        <v>1155</v>
      </c>
      <c r="B13" s="1846" t="s">
        <v>1098</v>
      </c>
      <c r="C13" s="1844">
        <v>6.9000000000000006E-2</v>
      </c>
      <c r="D13" s="1844">
        <v>6.5000000000000002E-2</v>
      </c>
      <c r="E13" s="1844">
        <v>6.6000000000000003E-2</v>
      </c>
      <c r="F13" s="1845">
        <v>0.1</v>
      </c>
    </row>
    <row r="14" spans="1:6" ht="14.25" thickBot="1">
      <c r="A14" s="1839" t="s">
        <v>1155</v>
      </c>
      <c r="B14" s="1846" t="s">
        <v>1112</v>
      </c>
      <c r="C14" s="1844">
        <v>0.1</v>
      </c>
      <c r="D14" s="1844">
        <v>6.5000000000000002E-2</v>
      </c>
      <c r="E14" s="1844">
        <v>7.0000000000000007E-2</v>
      </c>
      <c r="F14" s="1845">
        <v>0.1</v>
      </c>
    </row>
    <row r="15" spans="1:6" ht="14.25" thickBot="1">
      <c r="A15" s="1839" t="s">
        <v>1155</v>
      </c>
      <c r="B15" s="1846" t="s">
        <v>1123</v>
      </c>
      <c r="C15" s="1844">
        <v>9.8000000000000004E-2</v>
      </c>
      <c r="D15" s="1844">
        <v>8.8999999999999996E-2</v>
      </c>
      <c r="E15" s="1844">
        <v>8.8999999999999996E-2</v>
      </c>
      <c r="F15" s="1845">
        <v>0.1</v>
      </c>
    </row>
    <row r="16" spans="1:6" ht="14.25" thickBot="1">
      <c r="A16" s="1839" t="s">
        <v>1155</v>
      </c>
      <c r="B16" s="1846" t="s">
        <v>1134</v>
      </c>
      <c r="C16" s="1844">
        <v>7.0000000000000007E-2</v>
      </c>
      <c r="D16" s="1844">
        <v>9.2999999999999999E-2</v>
      </c>
      <c r="E16" s="1844">
        <v>9.6000000000000002E-2</v>
      </c>
      <c r="F16" s="1845">
        <v>0.1</v>
      </c>
    </row>
    <row r="17" spans="1:6" ht="14.25" thickBot="1">
      <c r="A17" s="1839" t="s">
        <v>1155</v>
      </c>
      <c r="B17" s="1846" t="s">
        <v>1145</v>
      </c>
      <c r="C17" s="1844">
        <v>9.5000000000000001E-2</v>
      </c>
      <c r="D17" s="1844">
        <v>0.1</v>
      </c>
      <c r="E17" s="1844">
        <v>0.1</v>
      </c>
      <c r="F17" s="1852"/>
    </row>
    <row r="18" spans="1:6" ht="14.25" thickBot="1">
      <c r="A18" s="1839" t="s">
        <v>1155</v>
      </c>
      <c r="B18" s="1846" t="s">
        <v>1157</v>
      </c>
      <c r="C18" s="1844">
        <v>7.3999999999999996E-2</v>
      </c>
      <c r="D18" s="1844">
        <v>9.9000000000000005E-2</v>
      </c>
      <c r="E18" s="1844">
        <v>0.1</v>
      </c>
      <c r="F18" s="1852"/>
    </row>
    <row r="19" spans="1:6" ht="14.25" thickBot="1">
      <c r="A19" s="1839" t="s">
        <v>1155</v>
      </c>
      <c r="B19" s="1846" t="s">
        <v>1167</v>
      </c>
      <c r="C19" s="1844">
        <v>9.9000000000000005E-2</v>
      </c>
      <c r="D19" s="1844">
        <v>7.5999999999999998E-2</v>
      </c>
      <c r="E19" s="1844">
        <v>8.6999999999999994E-2</v>
      </c>
      <c r="F19" s="1852"/>
    </row>
    <row r="20" spans="1:6" ht="14.25" thickBot="1">
      <c r="A20" s="1839" t="s">
        <v>1155</v>
      </c>
      <c r="B20" s="1846" t="s">
        <v>1177</v>
      </c>
      <c r="C20" s="1844">
        <v>9.8000000000000004E-2</v>
      </c>
      <c r="D20" s="1844">
        <v>8.5000000000000006E-2</v>
      </c>
      <c r="E20" s="1844">
        <v>8.2000000000000003E-2</v>
      </c>
      <c r="F20" s="1852"/>
    </row>
    <row r="21" spans="1:6" ht="14.25" thickBot="1">
      <c r="A21" s="1839" t="s">
        <v>1155</v>
      </c>
      <c r="B21" s="1846" t="s">
        <v>1187</v>
      </c>
      <c r="C21" s="1844">
        <v>6.6000000000000003E-2</v>
      </c>
      <c r="D21" s="1844">
        <v>6.4000000000000001E-2</v>
      </c>
      <c r="E21" s="1844">
        <v>6.5000000000000002E-2</v>
      </c>
      <c r="F21" s="1852"/>
    </row>
    <row r="22" spans="1:6" ht="14.25" thickBot="1">
      <c r="A22" s="1839" t="s">
        <v>1155</v>
      </c>
      <c r="B22" s="1846" t="s">
        <v>2088</v>
      </c>
      <c r="C22" s="1844">
        <v>0.08</v>
      </c>
      <c r="D22" s="1844">
        <v>9.8000000000000004E-2</v>
      </c>
      <c r="E22" s="1844">
        <v>9.8000000000000004E-2</v>
      </c>
      <c r="F22" s="1852"/>
    </row>
    <row r="23" spans="1:6" ht="14.25" thickBot="1">
      <c r="A23" s="1839" t="s">
        <v>1155</v>
      </c>
      <c r="B23" s="1846" t="s">
        <v>1207</v>
      </c>
      <c r="C23" s="1844">
        <v>9.9000000000000005E-2</v>
      </c>
      <c r="D23" s="1844">
        <v>9.8000000000000004E-2</v>
      </c>
      <c r="E23" s="1844">
        <v>9.0999999999999998E-2</v>
      </c>
      <c r="F23" s="1852"/>
    </row>
    <row r="24" spans="1:6" ht="14.25" thickBot="1">
      <c r="A24" s="1839" t="s">
        <v>1155</v>
      </c>
      <c r="B24" s="1846" t="s">
        <v>1217</v>
      </c>
      <c r="C24" s="1844">
        <v>8.8999999999999996E-2</v>
      </c>
      <c r="D24" s="1844">
        <v>9.7000000000000003E-2</v>
      </c>
      <c r="E24" s="1844">
        <v>7.0000000000000007E-2</v>
      </c>
      <c r="F24" s="1852"/>
    </row>
    <row r="25" spans="1:6" ht="14.25" thickBot="1">
      <c r="A25" s="1839" t="s">
        <v>1155</v>
      </c>
      <c r="B25" s="1846" t="s">
        <v>1227</v>
      </c>
      <c r="C25" s="1844">
        <v>8.8999999999999996E-2</v>
      </c>
      <c r="D25" s="1844">
        <v>0.1</v>
      </c>
      <c r="E25" s="1844">
        <v>8.1000000000000003E-2</v>
      </c>
      <c r="F25" s="1852"/>
    </row>
    <row r="26" spans="1:6" ht="14.25" thickBot="1">
      <c r="A26" s="1839" t="s">
        <v>1155</v>
      </c>
      <c r="B26" s="1846" t="s">
        <v>1237</v>
      </c>
      <c r="C26" s="1853"/>
      <c r="D26" s="1844">
        <v>9.6000000000000002E-2</v>
      </c>
      <c r="E26" s="1844">
        <v>9.2999999999999999E-2</v>
      </c>
      <c r="F26" s="1852"/>
    </row>
    <row r="27" spans="1:6" ht="14.25" thickBot="1">
      <c r="A27" s="1839" t="s">
        <v>1155</v>
      </c>
      <c r="B27" s="1846" t="s">
        <v>1247</v>
      </c>
      <c r="C27" s="1853"/>
      <c r="D27" s="1844">
        <v>7.5999999999999998E-2</v>
      </c>
      <c r="E27" s="1844">
        <v>9.1999999999999998E-2</v>
      </c>
      <c r="F27" s="1852"/>
    </row>
    <row r="28" spans="1:6" ht="14.25" thickBot="1">
      <c r="A28" s="1847" t="s">
        <v>1155</v>
      </c>
      <c r="B28" s="1848" t="s">
        <v>1257</v>
      </c>
      <c r="C28" s="1850"/>
      <c r="D28" s="1849">
        <v>7.5999999999999998E-2</v>
      </c>
      <c r="E28" s="1849">
        <v>9.1999999999999998E-2</v>
      </c>
      <c r="F28" s="1851"/>
    </row>
    <row r="29" spans="1:6" ht="14.25" thickBot="1">
      <c r="A29" s="1839" t="s">
        <v>1326</v>
      </c>
      <c r="B29" s="1840" t="s">
        <v>2089</v>
      </c>
      <c r="C29" s="1841">
        <v>6.4000000000000001E-2</v>
      </c>
      <c r="D29" s="1841">
        <v>6.5000000000000002E-2</v>
      </c>
      <c r="E29" s="1841">
        <v>6.9000000000000006E-2</v>
      </c>
      <c r="F29" s="1842">
        <v>0.1</v>
      </c>
    </row>
    <row r="30" spans="1:6" ht="14.25" thickBot="1">
      <c r="A30" s="1839" t="s">
        <v>1326</v>
      </c>
      <c r="B30" s="1846" t="s">
        <v>1072</v>
      </c>
      <c r="C30" s="1844">
        <v>6.4000000000000001E-2</v>
      </c>
      <c r="D30" s="1844">
        <v>9.9000000000000005E-2</v>
      </c>
      <c r="E30" s="1844">
        <v>0.1</v>
      </c>
      <c r="F30" s="1845">
        <v>0.1</v>
      </c>
    </row>
    <row r="31" spans="1:6" ht="14.25" thickBot="1">
      <c r="A31" s="1839" t="s">
        <v>1326</v>
      </c>
      <c r="B31" s="1846" t="s">
        <v>1086</v>
      </c>
      <c r="C31" s="1844">
        <v>0.1</v>
      </c>
      <c r="D31" s="1844">
        <v>9.5000000000000001E-2</v>
      </c>
      <c r="E31" s="1844">
        <v>8.8999999999999996E-2</v>
      </c>
      <c r="F31" s="1845">
        <v>0.1</v>
      </c>
    </row>
    <row r="32" spans="1:6" ht="14.25" thickBot="1">
      <c r="A32" s="1839" t="s">
        <v>1326</v>
      </c>
      <c r="B32" s="1846" t="s">
        <v>1099</v>
      </c>
      <c r="C32" s="1844">
        <v>0.05</v>
      </c>
      <c r="D32" s="1844">
        <v>0.05</v>
      </c>
      <c r="E32" s="1844">
        <v>8.7999999999999995E-2</v>
      </c>
      <c r="F32" s="1845">
        <v>0.1</v>
      </c>
    </row>
    <row r="33" spans="1:6" ht="14.25" thickBot="1">
      <c r="A33" s="1839" t="s">
        <v>1326</v>
      </c>
      <c r="B33" s="1846" t="s">
        <v>1113</v>
      </c>
      <c r="C33" s="1844">
        <v>7.4999999999999997E-2</v>
      </c>
      <c r="D33" s="1844">
        <v>9.4E-2</v>
      </c>
      <c r="E33" s="1844">
        <v>9.7000000000000003E-2</v>
      </c>
      <c r="F33" s="1845">
        <v>0.1</v>
      </c>
    </row>
    <row r="34" spans="1:6" ht="14.25" thickBot="1">
      <c r="A34" s="1839" t="s">
        <v>1326</v>
      </c>
      <c r="B34" s="1846" t="s">
        <v>1124</v>
      </c>
      <c r="C34" s="1844">
        <v>9.8000000000000004E-2</v>
      </c>
      <c r="D34" s="1844">
        <v>8.5999999999999993E-2</v>
      </c>
      <c r="E34" s="1844">
        <v>9.7000000000000003E-2</v>
      </c>
      <c r="F34" s="1845">
        <v>0.1</v>
      </c>
    </row>
    <row r="35" spans="1:6" ht="14.25" thickBot="1">
      <c r="A35" s="1839" t="s">
        <v>1326</v>
      </c>
      <c r="B35" s="1846" t="s">
        <v>1135</v>
      </c>
      <c r="C35" s="1844">
        <v>5.8999999999999997E-2</v>
      </c>
      <c r="D35" s="1844">
        <v>6.5000000000000002E-2</v>
      </c>
      <c r="E35" s="1844">
        <v>7.0000000000000007E-2</v>
      </c>
      <c r="F35" s="1845">
        <v>0.1</v>
      </c>
    </row>
    <row r="36" spans="1:6" ht="14.25" thickBot="1">
      <c r="A36" s="1839" t="s">
        <v>1326</v>
      </c>
      <c r="B36" s="1846" t="s">
        <v>1146</v>
      </c>
      <c r="C36" s="1844">
        <v>6.3E-2</v>
      </c>
      <c r="D36" s="1844">
        <v>0.1</v>
      </c>
      <c r="E36" s="1844">
        <v>0.1</v>
      </c>
      <c r="F36" s="1845">
        <v>0.1</v>
      </c>
    </row>
    <row r="37" spans="1:6" ht="14.25" thickBot="1">
      <c r="A37" s="1839" t="s">
        <v>1326</v>
      </c>
      <c r="B37" s="1846" t="s">
        <v>1158</v>
      </c>
      <c r="C37" s="1844">
        <v>7.3999999999999996E-2</v>
      </c>
      <c r="D37" s="1844">
        <v>0.1</v>
      </c>
      <c r="E37" s="1844">
        <v>0.1</v>
      </c>
      <c r="F37" s="1845">
        <v>0.1</v>
      </c>
    </row>
    <row r="38" spans="1:6" ht="14.25" thickBot="1">
      <c r="A38" s="1839" t="s">
        <v>1326</v>
      </c>
      <c r="B38" s="1846" t="s">
        <v>1168</v>
      </c>
      <c r="C38" s="1844">
        <v>0.1</v>
      </c>
      <c r="D38" s="1844">
        <v>9.6000000000000002E-2</v>
      </c>
      <c r="E38" s="1844">
        <v>9.6000000000000002E-2</v>
      </c>
      <c r="F38" s="1852"/>
    </row>
    <row r="39" spans="1:6" ht="14.25" thickBot="1">
      <c r="A39" s="1839" t="s">
        <v>1326</v>
      </c>
      <c r="B39" s="1846" t="s">
        <v>1178</v>
      </c>
      <c r="C39" s="1844">
        <v>0.1</v>
      </c>
      <c r="D39" s="1844">
        <v>9.6000000000000002E-2</v>
      </c>
      <c r="E39" s="1844">
        <v>9.6000000000000002E-2</v>
      </c>
      <c r="F39" s="1852"/>
    </row>
    <row r="40" spans="1:6" ht="14.25" thickBot="1">
      <c r="A40" s="1839" t="s">
        <v>1326</v>
      </c>
      <c r="B40" s="1846" t="s">
        <v>1188</v>
      </c>
      <c r="C40" s="1844">
        <v>9.6000000000000002E-2</v>
      </c>
      <c r="D40" s="1844">
        <v>0.1</v>
      </c>
      <c r="E40" s="1844">
        <v>9.9000000000000005E-2</v>
      </c>
      <c r="F40" s="1852"/>
    </row>
    <row r="41" spans="1:6" ht="14.25" thickBot="1">
      <c r="A41" s="1839" t="s">
        <v>1326</v>
      </c>
      <c r="B41" s="1846" t="s">
        <v>1198</v>
      </c>
      <c r="C41" s="1844">
        <v>9.6000000000000002E-2</v>
      </c>
      <c r="D41" s="1844">
        <v>9.8000000000000004E-2</v>
      </c>
      <c r="E41" s="1844">
        <v>9.8000000000000004E-2</v>
      </c>
      <c r="F41" s="1852"/>
    </row>
    <row r="42" spans="1:6" ht="14.25" thickBot="1">
      <c r="A42" s="1839" t="s">
        <v>1326</v>
      </c>
      <c r="B42" s="1846" t="s">
        <v>1208</v>
      </c>
      <c r="C42" s="1844">
        <v>0.1</v>
      </c>
      <c r="D42" s="1844">
        <v>8.7999999999999995E-2</v>
      </c>
      <c r="E42" s="1844">
        <v>0.1</v>
      </c>
      <c r="F42" s="1852"/>
    </row>
    <row r="43" spans="1:6" ht="14.25" thickBot="1">
      <c r="A43" s="1839" t="s">
        <v>1326</v>
      </c>
      <c r="B43" s="1846" t="s">
        <v>1218</v>
      </c>
      <c r="C43" s="1844">
        <v>9.8000000000000004E-2</v>
      </c>
      <c r="D43" s="1844">
        <v>9.7000000000000003E-2</v>
      </c>
      <c r="E43" s="1844">
        <v>9.6000000000000002E-2</v>
      </c>
      <c r="F43" s="1852"/>
    </row>
    <row r="44" spans="1:6" ht="14.25" thickBot="1">
      <c r="A44" s="1839" t="s">
        <v>1326</v>
      </c>
      <c r="B44" s="1846" t="s">
        <v>1228</v>
      </c>
      <c r="C44" s="1844">
        <v>8.5999999999999993E-2</v>
      </c>
      <c r="D44" s="1844">
        <v>7.9000000000000001E-2</v>
      </c>
      <c r="E44" s="1844">
        <v>7.0999999999999994E-2</v>
      </c>
      <c r="F44" s="1852"/>
    </row>
    <row r="45" spans="1:6" ht="14.25" thickBot="1">
      <c r="A45" s="1839" t="s">
        <v>1326</v>
      </c>
      <c r="B45" s="1846" t="s">
        <v>1238</v>
      </c>
      <c r="C45" s="1844">
        <v>9.8000000000000004E-2</v>
      </c>
      <c r="D45" s="1844">
        <v>9.6000000000000002E-2</v>
      </c>
      <c r="E45" s="1844">
        <v>9.6000000000000002E-2</v>
      </c>
      <c r="F45" s="1852"/>
    </row>
    <row r="46" spans="1:6" ht="14.25" thickBot="1">
      <c r="A46" s="1839" t="s">
        <v>1326</v>
      </c>
      <c r="B46" s="1846" t="s">
        <v>1248</v>
      </c>
      <c r="C46" s="1844">
        <v>8.5999999999999993E-2</v>
      </c>
      <c r="D46" s="1844">
        <v>9.8000000000000004E-2</v>
      </c>
      <c r="E46" s="1844">
        <v>8.7999999999999995E-2</v>
      </c>
      <c r="F46" s="1852"/>
    </row>
    <row r="47" spans="1:6" ht="14.25" thickBot="1">
      <c r="A47" s="1839" t="s">
        <v>1326</v>
      </c>
      <c r="B47" s="1846" t="s">
        <v>1258</v>
      </c>
      <c r="C47" s="1844">
        <v>9.6000000000000002E-2</v>
      </c>
      <c r="D47" s="1853"/>
      <c r="E47" s="1844">
        <v>6.9000000000000006E-2</v>
      </c>
      <c r="F47" s="1852"/>
    </row>
    <row r="48" spans="1:6" ht="14.25" thickBot="1">
      <c r="A48" s="1847" t="s">
        <v>1326</v>
      </c>
      <c r="B48" s="1848" t="s">
        <v>1267</v>
      </c>
      <c r="C48" s="1849">
        <v>9.8000000000000004E-2</v>
      </c>
      <c r="D48" s="1850"/>
      <c r="E48" s="1849">
        <v>9.5000000000000001E-2</v>
      </c>
      <c r="F48" s="1851"/>
    </row>
    <row r="49" spans="1:6" ht="14.25" thickBot="1">
      <c r="A49" s="1839" t="s">
        <v>925</v>
      </c>
      <c r="B49" s="1840" t="s">
        <v>2090</v>
      </c>
      <c r="C49" s="1841">
        <v>9.7000000000000003E-2</v>
      </c>
      <c r="D49" s="1841">
        <v>9.5000000000000001E-2</v>
      </c>
      <c r="E49" s="1841">
        <v>9.7000000000000003E-2</v>
      </c>
      <c r="F49" s="1842">
        <v>0.1</v>
      </c>
    </row>
    <row r="50" spans="1:6" ht="14.25" thickBot="1">
      <c r="A50" s="1839" t="s">
        <v>925</v>
      </c>
      <c r="B50" s="1843" t="s">
        <v>1073</v>
      </c>
      <c r="C50" s="1844">
        <v>7.4999999999999997E-2</v>
      </c>
      <c r="D50" s="1844">
        <v>9.5000000000000001E-2</v>
      </c>
      <c r="E50" s="1844">
        <v>0.1</v>
      </c>
      <c r="F50" s="1845">
        <v>0.1</v>
      </c>
    </row>
    <row r="51" spans="1:6" ht="14.25" thickBot="1">
      <c r="A51" s="1839" t="s">
        <v>925</v>
      </c>
      <c r="B51" s="1843" t="s">
        <v>1087</v>
      </c>
      <c r="C51" s="1844">
        <v>9.8000000000000004E-2</v>
      </c>
      <c r="D51" s="1844">
        <v>8.8999999999999996E-2</v>
      </c>
      <c r="E51" s="1844">
        <v>0.1</v>
      </c>
      <c r="F51" s="1845">
        <v>0.1</v>
      </c>
    </row>
    <row r="52" spans="1:6" ht="14.25" thickBot="1">
      <c r="A52" s="1839" t="s">
        <v>925</v>
      </c>
      <c r="B52" s="1843" t="s">
        <v>1100</v>
      </c>
      <c r="C52" s="1844">
        <v>9.8000000000000004E-2</v>
      </c>
      <c r="D52" s="1844">
        <v>9.7000000000000003E-2</v>
      </c>
      <c r="E52" s="1844">
        <v>8.1000000000000003E-2</v>
      </c>
      <c r="F52" s="1845">
        <v>0.1</v>
      </c>
    </row>
    <row r="53" spans="1:6" ht="14.25" thickBot="1">
      <c r="A53" s="1839" t="s">
        <v>925</v>
      </c>
      <c r="B53" s="1843" t="s">
        <v>1114</v>
      </c>
      <c r="C53" s="1844">
        <v>9.7000000000000003E-2</v>
      </c>
      <c r="D53" s="1844">
        <v>7.5999999999999998E-2</v>
      </c>
      <c r="E53" s="1844">
        <v>7.0999999999999994E-2</v>
      </c>
      <c r="F53" s="1845">
        <v>0.1</v>
      </c>
    </row>
    <row r="54" spans="1:6" ht="14.25" thickBot="1">
      <c r="A54" s="1839" t="s">
        <v>925</v>
      </c>
      <c r="B54" s="1843" t="s">
        <v>1125</v>
      </c>
      <c r="C54" s="1844">
        <v>7.5999999999999998E-2</v>
      </c>
      <c r="D54" s="1844">
        <v>0.1</v>
      </c>
      <c r="E54" s="1844">
        <v>9.9000000000000005E-2</v>
      </c>
      <c r="F54" s="1845">
        <v>0.1</v>
      </c>
    </row>
    <row r="55" spans="1:6" ht="14.25" thickBot="1">
      <c r="A55" s="1839" t="s">
        <v>925</v>
      </c>
      <c r="B55" s="1843" t="s">
        <v>1136</v>
      </c>
      <c r="C55" s="1844">
        <v>0.1</v>
      </c>
      <c r="D55" s="1844">
        <v>0.1</v>
      </c>
      <c r="E55" s="1844">
        <v>9.6000000000000002E-2</v>
      </c>
      <c r="F55" s="1845">
        <v>0.1</v>
      </c>
    </row>
    <row r="56" spans="1:6" ht="14.25" thickBot="1">
      <c r="A56" s="1839" t="s">
        <v>925</v>
      </c>
      <c r="B56" s="1843" t="s">
        <v>1147</v>
      </c>
      <c r="C56" s="1844">
        <v>0.1</v>
      </c>
      <c r="D56" s="1844">
        <v>9.6000000000000002E-2</v>
      </c>
      <c r="E56" s="1844">
        <v>5.1999999999999998E-2</v>
      </c>
      <c r="F56" s="1845">
        <v>0.1</v>
      </c>
    </row>
    <row r="57" spans="1:6" ht="14.25" thickBot="1">
      <c r="A57" s="1839" t="s">
        <v>925</v>
      </c>
      <c r="B57" s="1843" t="s">
        <v>1159</v>
      </c>
      <c r="C57" s="1844">
        <v>9.7000000000000003E-2</v>
      </c>
      <c r="D57" s="1844">
        <v>9.6000000000000002E-2</v>
      </c>
      <c r="E57" s="1844">
        <v>9.6000000000000002E-2</v>
      </c>
      <c r="F57" s="1845">
        <v>0.1</v>
      </c>
    </row>
    <row r="58" spans="1:6" ht="14.25" thickBot="1">
      <c r="A58" s="1839" t="s">
        <v>925</v>
      </c>
      <c r="B58" s="1843" t="s">
        <v>1169</v>
      </c>
      <c r="C58" s="1844">
        <v>9.6000000000000002E-2</v>
      </c>
      <c r="D58" s="1844">
        <v>9.9000000000000005E-2</v>
      </c>
      <c r="E58" s="1844">
        <v>9.6000000000000002E-2</v>
      </c>
      <c r="F58" s="1845">
        <v>0.1</v>
      </c>
    </row>
    <row r="59" spans="1:6" ht="14.25" thickBot="1">
      <c r="A59" s="1839" t="s">
        <v>925</v>
      </c>
      <c r="B59" s="1843" t="s">
        <v>1179</v>
      </c>
      <c r="C59" s="1844">
        <v>7.1999999999999995E-2</v>
      </c>
      <c r="D59" s="1844">
        <v>9.6000000000000002E-2</v>
      </c>
      <c r="E59" s="1844">
        <v>7.0999999999999994E-2</v>
      </c>
      <c r="F59" s="1845">
        <v>0.1</v>
      </c>
    </row>
    <row r="60" spans="1:6" ht="14.25" thickBot="1">
      <c r="A60" s="1839" t="s">
        <v>925</v>
      </c>
      <c r="B60" s="1843" t="s">
        <v>1189</v>
      </c>
      <c r="C60" s="1844">
        <v>9.6000000000000002E-2</v>
      </c>
      <c r="D60" s="1844">
        <v>8.8999999999999996E-2</v>
      </c>
      <c r="E60" s="1844">
        <v>9.6000000000000002E-2</v>
      </c>
      <c r="F60" s="1845">
        <v>0.1</v>
      </c>
    </row>
    <row r="61" spans="1:6" ht="14.25" thickBot="1">
      <c r="A61" s="1839" t="s">
        <v>925</v>
      </c>
      <c r="B61" s="1843" t="s">
        <v>1199</v>
      </c>
      <c r="C61" s="1844">
        <v>8.8999999999999996E-2</v>
      </c>
      <c r="D61" s="1844">
        <v>9.8000000000000004E-2</v>
      </c>
      <c r="E61" s="1844">
        <v>8.7999999999999995E-2</v>
      </c>
      <c r="F61" s="1852"/>
    </row>
    <row r="62" spans="1:6" ht="14.25" thickBot="1">
      <c r="A62" s="1839" t="s">
        <v>925</v>
      </c>
      <c r="B62" s="1843" t="s">
        <v>1209</v>
      </c>
      <c r="C62" s="1844">
        <v>9.8000000000000004E-2</v>
      </c>
      <c r="D62" s="1844">
        <v>9.2999999999999999E-2</v>
      </c>
      <c r="E62" s="1844">
        <v>9.7000000000000003E-2</v>
      </c>
      <c r="F62" s="1852"/>
    </row>
    <row r="63" spans="1:6" ht="14.25" thickBot="1">
      <c r="A63" s="1839" t="s">
        <v>925</v>
      </c>
      <c r="B63" s="1843" t="s">
        <v>1219</v>
      </c>
      <c r="C63" s="1844">
        <v>9.6000000000000002E-2</v>
      </c>
      <c r="D63" s="1844">
        <v>9.8000000000000004E-2</v>
      </c>
      <c r="E63" s="1844">
        <v>0.09</v>
      </c>
      <c r="F63" s="1852"/>
    </row>
    <row r="64" spans="1:6" ht="14.25" thickBot="1">
      <c r="A64" s="1839" t="s">
        <v>925</v>
      </c>
      <c r="B64" s="1843" t="s">
        <v>1229</v>
      </c>
      <c r="C64" s="1844">
        <v>9.9000000000000005E-2</v>
      </c>
      <c r="D64" s="1844">
        <v>9.7000000000000003E-2</v>
      </c>
      <c r="E64" s="1844">
        <v>9.9000000000000005E-2</v>
      </c>
      <c r="F64" s="1852"/>
    </row>
    <row r="65" spans="1:6" ht="14.25" thickBot="1">
      <c r="A65" s="1839" t="s">
        <v>925</v>
      </c>
      <c r="B65" s="1843" t="s">
        <v>1239</v>
      </c>
      <c r="C65" s="1844">
        <v>9.8000000000000004E-2</v>
      </c>
      <c r="D65" s="1844">
        <v>9.6000000000000002E-2</v>
      </c>
      <c r="E65" s="1844">
        <v>9.6000000000000002E-2</v>
      </c>
      <c r="F65" s="1852"/>
    </row>
    <row r="66" spans="1:6" ht="14.25" thickBot="1">
      <c r="A66" s="1839" t="s">
        <v>925</v>
      </c>
      <c r="B66" s="1843" t="s">
        <v>1249</v>
      </c>
      <c r="C66" s="1844">
        <v>9.6000000000000002E-2</v>
      </c>
      <c r="D66" s="1844">
        <v>9.1999999999999998E-2</v>
      </c>
      <c r="E66" s="1844">
        <v>9.6000000000000002E-2</v>
      </c>
      <c r="F66" s="1852"/>
    </row>
    <row r="67" spans="1:6" ht="14.25" thickBot="1">
      <c r="A67" s="1839" t="s">
        <v>925</v>
      </c>
      <c r="B67" s="1843" t="s">
        <v>1259</v>
      </c>
      <c r="C67" s="1844">
        <v>9.4E-2</v>
      </c>
      <c r="D67" s="1844">
        <v>0.1</v>
      </c>
      <c r="E67" s="1844">
        <v>8.7999999999999995E-2</v>
      </c>
      <c r="F67" s="1852"/>
    </row>
    <row r="68" spans="1:6" ht="14.25" thickBot="1">
      <c r="A68" s="1839" t="s">
        <v>925</v>
      </c>
      <c r="B68" s="1843" t="s">
        <v>1268</v>
      </c>
      <c r="C68" s="1844">
        <v>0.1</v>
      </c>
      <c r="D68" s="1844">
        <v>8.7999999999999995E-2</v>
      </c>
      <c r="E68" s="1844">
        <v>9.7000000000000003E-2</v>
      </c>
      <c r="F68" s="1852"/>
    </row>
    <row r="69" spans="1:6" ht="14.25" thickBot="1">
      <c r="A69" s="1839" t="s">
        <v>925</v>
      </c>
      <c r="B69" s="1843" t="s">
        <v>1277</v>
      </c>
      <c r="C69" s="1844">
        <v>6.4000000000000001E-2</v>
      </c>
      <c r="D69" s="1844">
        <v>0.1</v>
      </c>
      <c r="E69" s="1844">
        <v>0.1</v>
      </c>
      <c r="F69" s="1852"/>
    </row>
    <row r="70" spans="1:6" ht="14.25" thickBot="1">
      <c r="A70" s="1839" t="s">
        <v>925</v>
      </c>
      <c r="B70" s="1843" t="s">
        <v>1285</v>
      </c>
      <c r="C70" s="1844">
        <v>9.0999999999999998E-2</v>
      </c>
      <c r="D70" s="1853"/>
      <c r="E70" s="1853"/>
      <c r="F70" s="1852"/>
    </row>
    <row r="71" spans="1:6" ht="14.25" thickBot="1">
      <c r="A71" s="1839" t="s">
        <v>925</v>
      </c>
      <c r="B71" s="1843" t="s">
        <v>1292</v>
      </c>
      <c r="C71" s="1844">
        <v>0.1</v>
      </c>
      <c r="D71" s="1853"/>
      <c r="E71" s="1853"/>
      <c r="F71" s="1852"/>
    </row>
    <row r="72" spans="1:6" ht="14.25" thickBot="1">
      <c r="A72" s="1839" t="s">
        <v>925</v>
      </c>
      <c r="B72" s="1843" t="s">
        <v>2091</v>
      </c>
      <c r="C72" s="1853"/>
      <c r="D72" s="1853"/>
      <c r="E72" s="1853"/>
      <c r="F72" s="1845">
        <v>0.05</v>
      </c>
    </row>
    <row r="73" spans="1:6" ht="14.25" thickBot="1">
      <c r="A73" s="1839" t="s">
        <v>925</v>
      </c>
      <c r="B73" s="1843" t="s">
        <v>2092</v>
      </c>
      <c r="C73" s="1853"/>
      <c r="D73" s="1853"/>
      <c r="E73" s="1853"/>
      <c r="F73" s="1845">
        <v>0.05</v>
      </c>
    </row>
    <row r="74" spans="1:6" ht="14.25" thickBot="1">
      <c r="A74" s="1839" t="s">
        <v>925</v>
      </c>
      <c r="B74" s="1843" t="s">
        <v>2093</v>
      </c>
      <c r="C74" s="1853"/>
      <c r="D74" s="1853"/>
      <c r="E74" s="1853"/>
      <c r="F74" s="1845">
        <v>0.05</v>
      </c>
    </row>
    <row r="75" spans="1:6" ht="14.25" thickBot="1">
      <c r="A75" s="1847" t="s">
        <v>925</v>
      </c>
      <c r="B75" s="1854" t="s">
        <v>2094</v>
      </c>
      <c r="C75" s="1850"/>
      <c r="D75" s="1850"/>
      <c r="E75" s="1850"/>
      <c r="F75" s="1855">
        <v>0.05</v>
      </c>
    </row>
    <row r="76" spans="1:6" ht="14.25" thickBot="1">
      <c r="A76" s="1839" t="s">
        <v>1407</v>
      </c>
      <c r="B76" s="1840" t="s">
        <v>2095</v>
      </c>
      <c r="C76" s="1841">
        <v>0.1</v>
      </c>
      <c r="D76" s="1841">
        <v>0.1</v>
      </c>
      <c r="E76" s="1841">
        <v>0.1</v>
      </c>
      <c r="F76" s="1842">
        <v>0.1</v>
      </c>
    </row>
    <row r="77" spans="1:6" ht="14.25" thickBot="1">
      <c r="A77" s="1839" t="s">
        <v>1407</v>
      </c>
      <c r="B77" s="1843" t="s">
        <v>1074</v>
      </c>
      <c r="C77" s="1844">
        <v>8.7999999999999995E-2</v>
      </c>
      <c r="D77" s="1844">
        <v>8.6999999999999994E-2</v>
      </c>
      <c r="E77" s="1844">
        <v>7.9000000000000001E-2</v>
      </c>
      <c r="F77" s="1845">
        <v>0.1</v>
      </c>
    </row>
    <row r="78" spans="1:6" ht="14.25" thickBot="1">
      <c r="A78" s="1839" t="s">
        <v>1407</v>
      </c>
      <c r="B78" s="1843" t="s">
        <v>1088</v>
      </c>
      <c r="C78" s="1844">
        <v>8.6999999999999994E-2</v>
      </c>
      <c r="D78" s="1844">
        <v>8.4000000000000005E-2</v>
      </c>
      <c r="E78" s="1844">
        <v>9.6000000000000002E-2</v>
      </c>
      <c r="F78" s="1845">
        <v>0.1</v>
      </c>
    </row>
    <row r="79" spans="1:6" ht="14.25" thickBot="1">
      <c r="A79" s="1839" t="s">
        <v>1407</v>
      </c>
      <c r="B79" s="1843" t="s">
        <v>1101</v>
      </c>
      <c r="C79" s="1844">
        <v>9.8000000000000004E-2</v>
      </c>
      <c r="D79" s="1844">
        <v>9.8000000000000004E-2</v>
      </c>
      <c r="E79" s="1844">
        <v>9.0999999999999998E-2</v>
      </c>
      <c r="F79" s="1845">
        <v>0.1</v>
      </c>
    </row>
    <row r="80" spans="1:6" ht="14.25" thickBot="1">
      <c r="A80" s="1839" t="s">
        <v>1407</v>
      </c>
      <c r="B80" s="1843" t="s">
        <v>1115</v>
      </c>
      <c r="C80" s="1844">
        <v>9.6000000000000002E-2</v>
      </c>
      <c r="D80" s="1844">
        <v>9.6000000000000002E-2</v>
      </c>
      <c r="E80" s="1844">
        <v>0.1</v>
      </c>
      <c r="F80" s="1845">
        <v>0.1</v>
      </c>
    </row>
    <row r="81" spans="1:6" ht="14.25" thickBot="1">
      <c r="A81" s="1839" t="s">
        <v>1407</v>
      </c>
      <c r="B81" s="1843" t="s">
        <v>1126</v>
      </c>
      <c r="C81" s="1844">
        <v>9.9000000000000005E-2</v>
      </c>
      <c r="D81" s="1844">
        <v>9.9000000000000005E-2</v>
      </c>
      <c r="E81" s="1844">
        <v>9.8000000000000004E-2</v>
      </c>
      <c r="F81" s="1845">
        <v>0.1</v>
      </c>
    </row>
    <row r="82" spans="1:6" ht="14.25" thickBot="1">
      <c r="A82" s="1839" t="s">
        <v>1407</v>
      </c>
      <c r="B82" s="1843" t="s">
        <v>1137</v>
      </c>
      <c r="C82" s="1844">
        <v>9.9000000000000005E-2</v>
      </c>
      <c r="D82" s="1844">
        <v>9.9000000000000005E-2</v>
      </c>
      <c r="E82" s="1844">
        <v>9.7000000000000003E-2</v>
      </c>
      <c r="F82" s="1845">
        <v>0.1</v>
      </c>
    </row>
    <row r="83" spans="1:6" ht="14.25" thickBot="1">
      <c r="A83" s="1839" t="s">
        <v>1407</v>
      </c>
      <c r="B83" s="1843" t="s">
        <v>1148</v>
      </c>
      <c r="C83" s="1844">
        <v>9.8000000000000004E-2</v>
      </c>
      <c r="D83" s="1844">
        <v>9.8000000000000004E-2</v>
      </c>
      <c r="E83" s="1844">
        <v>9.8000000000000004E-2</v>
      </c>
      <c r="F83" s="1845">
        <v>0.1</v>
      </c>
    </row>
    <row r="84" spans="1:6" ht="14.25" thickBot="1">
      <c r="A84" s="1839" t="s">
        <v>1407</v>
      </c>
      <c r="B84" s="1843" t="s">
        <v>1160</v>
      </c>
      <c r="C84" s="1844">
        <v>9.9000000000000005E-2</v>
      </c>
      <c r="D84" s="1844">
        <v>9.9000000000000005E-2</v>
      </c>
      <c r="E84" s="1844">
        <v>9.9000000000000005E-2</v>
      </c>
      <c r="F84" s="1845">
        <v>0.1</v>
      </c>
    </row>
    <row r="85" spans="1:6" ht="14.25" thickBot="1">
      <c r="A85" s="1839" t="s">
        <v>1407</v>
      </c>
      <c r="B85" s="1843" t="s">
        <v>1170</v>
      </c>
      <c r="C85" s="1844">
        <v>9.9000000000000005E-2</v>
      </c>
      <c r="D85" s="1844">
        <v>9.9000000000000005E-2</v>
      </c>
      <c r="E85" s="1844">
        <v>9.9000000000000005E-2</v>
      </c>
      <c r="F85" s="1845">
        <v>0.1</v>
      </c>
    </row>
    <row r="86" spans="1:6" ht="14.25" thickBot="1">
      <c r="A86" s="1839" t="s">
        <v>1407</v>
      </c>
      <c r="B86" s="1843" t="s">
        <v>1180</v>
      </c>
      <c r="C86" s="1844">
        <v>0.1</v>
      </c>
      <c r="D86" s="1844">
        <v>0.1</v>
      </c>
      <c r="E86" s="1844">
        <v>7.6999999999999999E-2</v>
      </c>
      <c r="F86" s="1845">
        <v>0.1</v>
      </c>
    </row>
    <row r="87" spans="1:6" ht="14.25" thickBot="1">
      <c r="A87" s="1839" t="s">
        <v>1407</v>
      </c>
      <c r="B87" s="1843" t="s">
        <v>1190</v>
      </c>
      <c r="C87" s="1844">
        <v>0.1</v>
      </c>
      <c r="D87" s="1844">
        <v>0.1</v>
      </c>
      <c r="E87" s="1844">
        <v>9.8000000000000004E-2</v>
      </c>
      <c r="F87" s="1852"/>
    </row>
    <row r="88" spans="1:6" ht="14.25" thickBot="1">
      <c r="A88" s="1839" t="s">
        <v>1407</v>
      </c>
      <c r="B88" s="1843" t="s">
        <v>1200</v>
      </c>
      <c r="C88" s="1844">
        <v>9.1999999999999998E-2</v>
      </c>
      <c r="D88" s="1844">
        <v>8.5000000000000006E-2</v>
      </c>
      <c r="E88" s="1844">
        <v>9.6000000000000002E-2</v>
      </c>
      <c r="F88" s="1852"/>
    </row>
    <row r="89" spans="1:6" ht="14.25" thickBot="1">
      <c r="A89" s="1839" t="s">
        <v>1407</v>
      </c>
      <c r="B89" s="1843" t="s">
        <v>1210</v>
      </c>
      <c r="C89" s="1844">
        <v>0.1</v>
      </c>
      <c r="D89" s="1844">
        <v>0.1</v>
      </c>
      <c r="E89" s="1844">
        <v>9.7000000000000003E-2</v>
      </c>
      <c r="F89" s="1852"/>
    </row>
    <row r="90" spans="1:6" ht="14.25" thickBot="1">
      <c r="A90" s="1839" t="s">
        <v>1407</v>
      </c>
      <c r="B90" s="1843" t="s">
        <v>1220</v>
      </c>
      <c r="C90" s="1844">
        <v>9.8000000000000004E-2</v>
      </c>
      <c r="D90" s="1844">
        <v>9.8000000000000004E-2</v>
      </c>
      <c r="E90" s="1844">
        <v>8.7999999999999995E-2</v>
      </c>
      <c r="F90" s="1852"/>
    </row>
    <row r="91" spans="1:6" ht="14.25" thickBot="1">
      <c r="A91" s="1839" t="s">
        <v>1407</v>
      </c>
      <c r="B91" s="1843" t="s">
        <v>1230</v>
      </c>
      <c r="C91" s="1844">
        <v>9.9000000000000005E-2</v>
      </c>
      <c r="D91" s="1844">
        <v>9.9000000000000005E-2</v>
      </c>
      <c r="E91" s="1844">
        <v>9.0999999999999998E-2</v>
      </c>
      <c r="F91" s="1852"/>
    </row>
    <row r="92" spans="1:6" ht="14.25" thickBot="1">
      <c r="A92" s="1839" t="s">
        <v>1407</v>
      </c>
      <c r="B92" s="1843" t="s">
        <v>1240</v>
      </c>
      <c r="C92" s="1844">
        <v>9.6000000000000002E-2</v>
      </c>
      <c r="D92" s="1844">
        <v>9.6000000000000002E-2</v>
      </c>
      <c r="E92" s="1844">
        <v>7.2999999999999995E-2</v>
      </c>
      <c r="F92" s="1852"/>
    </row>
    <row r="93" spans="1:6" ht="14.25" thickBot="1">
      <c r="A93" s="1839" t="s">
        <v>1407</v>
      </c>
      <c r="B93" s="1843" t="s">
        <v>1250</v>
      </c>
      <c r="C93" s="1844">
        <v>9.6000000000000002E-2</v>
      </c>
      <c r="D93" s="1844">
        <v>9.6000000000000002E-2</v>
      </c>
      <c r="E93" s="1844">
        <v>9.9000000000000005E-2</v>
      </c>
      <c r="F93" s="1852"/>
    </row>
    <row r="94" spans="1:6" ht="14.25" thickBot="1">
      <c r="A94" s="1839" t="s">
        <v>1407</v>
      </c>
      <c r="B94" s="1843" t="s">
        <v>1260</v>
      </c>
      <c r="C94" s="1844">
        <v>7.5999999999999998E-2</v>
      </c>
      <c r="D94" s="1844">
        <v>7.3999999999999996E-2</v>
      </c>
      <c r="E94" s="1844">
        <v>9.7000000000000003E-2</v>
      </c>
      <c r="F94" s="1852"/>
    </row>
    <row r="95" spans="1:6" ht="14.25" thickBot="1">
      <c r="A95" s="1839" t="s">
        <v>1407</v>
      </c>
      <c r="B95" s="1843" t="s">
        <v>1269</v>
      </c>
      <c r="C95" s="1844">
        <v>9.9000000000000005E-2</v>
      </c>
      <c r="D95" s="1844">
        <v>9.4E-2</v>
      </c>
      <c r="E95" s="1844">
        <v>9.6000000000000002E-2</v>
      </c>
      <c r="F95" s="1852"/>
    </row>
    <row r="96" spans="1:6" ht="14.25" thickBot="1">
      <c r="A96" s="1839" t="s">
        <v>1407</v>
      </c>
      <c r="B96" s="1843" t="s">
        <v>1278</v>
      </c>
      <c r="C96" s="1844">
        <v>9.9000000000000005E-2</v>
      </c>
      <c r="D96" s="1844">
        <v>9.9000000000000005E-2</v>
      </c>
      <c r="E96" s="1844">
        <v>9.9000000000000005E-2</v>
      </c>
      <c r="F96" s="1852"/>
    </row>
    <row r="97" spans="1:6" ht="14.25" thickBot="1">
      <c r="A97" s="1839" t="s">
        <v>1407</v>
      </c>
      <c r="B97" s="1843" t="s">
        <v>1286</v>
      </c>
      <c r="C97" s="1844">
        <v>9.8000000000000004E-2</v>
      </c>
      <c r="D97" s="1844">
        <v>9.8000000000000004E-2</v>
      </c>
      <c r="E97" s="1844">
        <v>9.7000000000000003E-2</v>
      </c>
      <c r="F97" s="1852"/>
    </row>
    <row r="98" spans="1:6" ht="14.25" thickBot="1">
      <c r="A98" s="1839" t="s">
        <v>1407</v>
      </c>
      <c r="B98" s="1843" t="s">
        <v>1293</v>
      </c>
      <c r="C98" s="1844">
        <v>0.1</v>
      </c>
      <c r="D98" s="1844">
        <v>0.1</v>
      </c>
      <c r="E98" s="1844">
        <v>9.7000000000000003E-2</v>
      </c>
      <c r="F98" s="1852"/>
    </row>
    <row r="99" spans="1:6" ht="14.25" thickBot="1">
      <c r="A99" s="1839" t="s">
        <v>1407</v>
      </c>
      <c r="B99" s="1843" t="s">
        <v>1300</v>
      </c>
      <c r="C99" s="1844">
        <v>0.1</v>
      </c>
      <c r="D99" s="1844">
        <v>0.1</v>
      </c>
      <c r="E99" s="1853"/>
      <c r="F99" s="1852"/>
    </row>
    <row r="100" spans="1:6" ht="14.25" thickBot="1">
      <c r="A100" s="1839" t="s">
        <v>1407</v>
      </c>
      <c r="B100" s="1843" t="s">
        <v>1307</v>
      </c>
      <c r="C100" s="1844">
        <v>0.09</v>
      </c>
      <c r="D100" s="1844">
        <v>8.8999999999999996E-2</v>
      </c>
      <c r="E100" s="1853"/>
      <c r="F100" s="1852"/>
    </row>
    <row r="101" spans="1:6" ht="14.25" thickBot="1">
      <c r="A101" s="1839" t="s">
        <v>1407</v>
      </c>
      <c r="B101" s="1843" t="s">
        <v>1314</v>
      </c>
      <c r="C101" s="1844">
        <v>9.8000000000000004E-2</v>
      </c>
      <c r="D101" s="1844">
        <v>9.7000000000000003E-2</v>
      </c>
      <c r="E101" s="1853"/>
      <c r="F101" s="1852"/>
    </row>
    <row r="102" spans="1:6" ht="14.25" thickBot="1">
      <c r="A102" s="1839" t="s">
        <v>1407</v>
      </c>
      <c r="B102" s="1843" t="s">
        <v>2096</v>
      </c>
      <c r="C102" s="1853"/>
      <c r="D102" s="1853"/>
      <c r="E102" s="1853"/>
      <c r="F102" s="1845">
        <v>0.05</v>
      </c>
    </row>
    <row r="103" spans="1:6" ht="24.75" thickBot="1">
      <c r="A103" s="1839" t="s">
        <v>1407</v>
      </c>
      <c r="B103" s="1843" t="s">
        <v>2097</v>
      </c>
      <c r="C103" s="1853"/>
      <c r="D103" s="1853"/>
      <c r="E103" s="1853"/>
      <c r="F103" s="1845">
        <v>0.05</v>
      </c>
    </row>
    <row r="104" spans="1:6" ht="14.25" thickBot="1">
      <c r="A104" s="1839" t="s">
        <v>1407</v>
      </c>
      <c r="B104" s="1843" t="s">
        <v>2098</v>
      </c>
      <c r="C104" s="1853"/>
      <c r="D104" s="1853"/>
      <c r="E104" s="1853"/>
      <c r="F104" s="1845">
        <v>0.05</v>
      </c>
    </row>
    <row r="105" spans="1:6" ht="14.25" thickBot="1">
      <c r="A105" s="1839" t="s">
        <v>1407</v>
      </c>
      <c r="B105" s="1843" t="s">
        <v>2099</v>
      </c>
      <c r="C105" s="1853"/>
      <c r="D105" s="1853"/>
      <c r="E105" s="1853"/>
      <c r="F105" s="1845">
        <v>0.05</v>
      </c>
    </row>
    <row r="106" spans="1:6" ht="14.25" thickBot="1">
      <c r="A106" s="1839" t="s">
        <v>1407</v>
      </c>
      <c r="B106" s="1843" t="s">
        <v>2100</v>
      </c>
      <c r="C106" s="1853"/>
      <c r="D106" s="1853"/>
      <c r="E106" s="1853"/>
      <c r="F106" s="1845">
        <v>0.05</v>
      </c>
    </row>
    <row r="107" spans="1:6" ht="24.75" thickBot="1">
      <c r="A107" s="1839" t="s">
        <v>1407</v>
      </c>
      <c r="B107" s="1843" t="s">
        <v>2101</v>
      </c>
      <c r="C107" s="1853"/>
      <c r="D107" s="1853"/>
      <c r="E107" s="1853"/>
      <c r="F107" s="1845">
        <v>0.05</v>
      </c>
    </row>
    <row r="108" spans="1:6" ht="24.75" thickBot="1">
      <c r="A108" s="1839" t="s">
        <v>1407</v>
      </c>
      <c r="B108" s="1843" t="s">
        <v>2102</v>
      </c>
      <c r="C108" s="1853"/>
      <c r="D108" s="1853"/>
      <c r="E108" s="1853"/>
      <c r="F108" s="1845">
        <v>0.05</v>
      </c>
    </row>
    <row r="109" spans="1:6" ht="24.75" thickBot="1">
      <c r="A109" s="1847" t="s">
        <v>1407</v>
      </c>
      <c r="B109" s="1854" t="s">
        <v>2103</v>
      </c>
      <c r="C109" s="1850"/>
      <c r="D109" s="1850"/>
      <c r="E109" s="1850"/>
      <c r="F109" s="1855">
        <v>0.05</v>
      </c>
    </row>
    <row r="110" spans="1:6" ht="14.25" thickBot="1">
      <c r="A110" s="1839" t="s">
        <v>1409</v>
      </c>
      <c r="B110" s="1840" t="s">
        <v>2104</v>
      </c>
      <c r="C110" s="1841">
        <v>0.129</v>
      </c>
      <c r="D110" s="1841">
        <v>0.129</v>
      </c>
      <c r="E110" s="1841">
        <v>0.126</v>
      </c>
      <c r="F110" s="1842">
        <v>0.13</v>
      </c>
    </row>
    <row r="111" spans="1:6" ht="14.25" thickBot="1">
      <c r="A111" s="1839" t="s">
        <v>1409</v>
      </c>
      <c r="B111" s="1843" t="s">
        <v>1075</v>
      </c>
      <c r="C111" s="1844">
        <v>0.11</v>
      </c>
      <c r="D111" s="1844">
        <v>0.11</v>
      </c>
      <c r="E111" s="1844">
        <v>9.9000000000000005E-2</v>
      </c>
      <c r="F111" s="1845">
        <v>0.128</v>
      </c>
    </row>
    <row r="112" spans="1:6" ht="14.25" thickBot="1">
      <c r="A112" s="1839" t="s">
        <v>1409</v>
      </c>
      <c r="B112" s="1843" t="s">
        <v>1089</v>
      </c>
      <c r="C112" s="1844">
        <v>0.125</v>
      </c>
      <c r="D112" s="1844">
        <v>0.125</v>
      </c>
      <c r="E112" s="1844">
        <v>0.12</v>
      </c>
      <c r="F112" s="1845">
        <v>0.125</v>
      </c>
    </row>
    <row r="113" spans="1:6" ht="14.25" thickBot="1">
      <c r="A113" s="1839" t="s">
        <v>1409</v>
      </c>
      <c r="B113" s="1843" t="s">
        <v>1102</v>
      </c>
      <c r="C113" s="1844">
        <v>0.13</v>
      </c>
      <c r="D113" s="1844">
        <v>0.13</v>
      </c>
      <c r="E113" s="1844">
        <v>0.13</v>
      </c>
      <c r="F113" s="1845">
        <v>0.13</v>
      </c>
    </row>
    <row r="114" spans="1:6" ht="14.25" thickBot="1">
      <c r="A114" s="1839" t="s">
        <v>1409</v>
      </c>
      <c r="B114" s="1843" t="s">
        <v>1116</v>
      </c>
      <c r="C114" s="1844">
        <v>0.123</v>
      </c>
      <c r="D114" s="1844">
        <v>0.123</v>
      </c>
      <c r="E114" s="1844">
        <v>0.12</v>
      </c>
      <c r="F114" s="1845">
        <v>0.13</v>
      </c>
    </row>
    <row r="115" spans="1:6" ht="14.25" thickBot="1">
      <c r="A115" s="1839" t="s">
        <v>1409</v>
      </c>
      <c r="B115" s="1843" t="s">
        <v>1127</v>
      </c>
      <c r="C115" s="1844">
        <v>0.125</v>
      </c>
      <c r="D115" s="1844">
        <v>0.125</v>
      </c>
      <c r="E115" s="1844">
        <v>0.11700000000000001</v>
      </c>
      <c r="F115" s="1845">
        <v>0.13</v>
      </c>
    </row>
    <row r="116" spans="1:6" ht="14.25" thickBot="1">
      <c r="A116" s="1839" t="s">
        <v>1409</v>
      </c>
      <c r="B116" s="1843" t="s">
        <v>1138</v>
      </c>
      <c r="C116" s="1844">
        <v>0.11700000000000001</v>
      </c>
      <c r="D116" s="1844">
        <v>0.11700000000000001</v>
      </c>
      <c r="E116" s="1844">
        <v>8.7999999999999995E-2</v>
      </c>
      <c r="F116" s="1845">
        <v>0.13</v>
      </c>
    </row>
    <row r="117" spans="1:6" ht="14.25" thickBot="1">
      <c r="A117" s="1839" t="s">
        <v>1409</v>
      </c>
      <c r="B117" s="1843" t="s">
        <v>1149</v>
      </c>
      <c r="C117" s="1844">
        <v>0.13</v>
      </c>
      <c r="D117" s="1844">
        <v>0.13</v>
      </c>
      <c r="E117" s="1844">
        <v>0.129</v>
      </c>
      <c r="F117" s="1845">
        <v>0.13</v>
      </c>
    </row>
    <row r="118" spans="1:6" ht="14.25" thickBot="1">
      <c r="A118" s="1839" t="s">
        <v>1409</v>
      </c>
      <c r="B118" s="1843" t="s">
        <v>1161</v>
      </c>
      <c r="C118" s="1844">
        <v>0.123</v>
      </c>
      <c r="D118" s="1844">
        <v>0.123</v>
      </c>
      <c r="E118" s="1844">
        <v>0.11600000000000001</v>
      </c>
      <c r="F118" s="1845">
        <v>0.13</v>
      </c>
    </row>
    <row r="119" spans="1:6" ht="14.25" thickBot="1">
      <c r="A119" s="1839" t="s">
        <v>1409</v>
      </c>
      <c r="B119" s="1843" t="s">
        <v>1171</v>
      </c>
      <c r="C119" s="1844">
        <v>0.127</v>
      </c>
      <c r="D119" s="1844">
        <v>0.127</v>
      </c>
      <c r="E119" s="1844">
        <v>0.124</v>
      </c>
      <c r="F119" s="1845">
        <v>0.13</v>
      </c>
    </row>
    <row r="120" spans="1:6" ht="14.25" thickBot="1">
      <c r="A120" s="1839" t="s">
        <v>1409</v>
      </c>
      <c r="B120" s="1843" t="s">
        <v>1181</v>
      </c>
      <c r="C120" s="1844">
        <v>0.125</v>
      </c>
      <c r="D120" s="1844">
        <v>0.125</v>
      </c>
      <c r="E120" s="1844">
        <v>0.122</v>
      </c>
      <c r="F120" s="1845">
        <v>0.13</v>
      </c>
    </row>
    <row r="121" spans="1:6" ht="14.25" thickBot="1">
      <c r="A121" s="1839" t="s">
        <v>1409</v>
      </c>
      <c r="B121" s="1843" t="s">
        <v>1191</v>
      </c>
      <c r="C121" s="1844">
        <v>0.13</v>
      </c>
      <c r="D121" s="1844">
        <v>0.13</v>
      </c>
      <c r="E121" s="1844">
        <v>0.13</v>
      </c>
      <c r="F121" s="1845">
        <v>0.13</v>
      </c>
    </row>
    <row r="122" spans="1:6" ht="14.25" thickBot="1">
      <c r="A122" s="1839" t="s">
        <v>1409</v>
      </c>
      <c r="B122" s="1843" t="s">
        <v>1201</v>
      </c>
      <c r="C122" s="1844">
        <v>0.13</v>
      </c>
      <c r="D122" s="1844">
        <v>0.13</v>
      </c>
      <c r="E122" s="1844">
        <v>0.125</v>
      </c>
      <c r="F122" s="1845">
        <v>0.13</v>
      </c>
    </row>
    <row r="123" spans="1:6" ht="14.25" thickBot="1">
      <c r="A123" s="1839" t="s">
        <v>1409</v>
      </c>
      <c r="B123" s="1843" t="s">
        <v>1211</v>
      </c>
      <c r="C123" s="1844">
        <v>0.129</v>
      </c>
      <c r="D123" s="1844">
        <v>0.129</v>
      </c>
      <c r="E123" s="1844">
        <v>0.123</v>
      </c>
      <c r="F123" s="1845">
        <v>0.13</v>
      </c>
    </row>
    <row r="124" spans="1:6" ht="14.25" thickBot="1">
      <c r="A124" s="1839" t="s">
        <v>1409</v>
      </c>
      <c r="B124" s="1843" t="s">
        <v>1221</v>
      </c>
      <c r="C124" s="1844">
        <v>0.10199999999999999</v>
      </c>
      <c r="D124" s="1844">
        <v>0.10100000000000001</v>
      </c>
      <c r="E124" s="1844">
        <v>0.08</v>
      </c>
      <c r="F124" s="1852"/>
    </row>
    <row r="125" spans="1:6" ht="14.25" thickBot="1">
      <c r="A125" s="1839" t="s">
        <v>1409</v>
      </c>
      <c r="B125" s="1843" t="s">
        <v>1231</v>
      </c>
      <c r="C125" s="1844">
        <v>0.13</v>
      </c>
      <c r="D125" s="1844">
        <v>0.13</v>
      </c>
      <c r="E125" s="1844">
        <v>0.129</v>
      </c>
      <c r="F125" s="1852"/>
    </row>
    <row r="126" spans="1:6" ht="14.25" thickBot="1">
      <c r="A126" s="1839" t="s">
        <v>1409</v>
      </c>
      <c r="B126" s="1843" t="s">
        <v>1241</v>
      </c>
      <c r="C126" s="1844">
        <v>0.13</v>
      </c>
      <c r="D126" s="1844">
        <v>0.13</v>
      </c>
      <c r="E126" s="1844">
        <v>0.126</v>
      </c>
      <c r="F126" s="1852"/>
    </row>
    <row r="127" spans="1:6" ht="14.25" thickBot="1">
      <c r="A127" s="1839" t="s">
        <v>1409</v>
      </c>
      <c r="B127" s="1843" t="s">
        <v>1251</v>
      </c>
      <c r="C127" s="1844">
        <v>0.125</v>
      </c>
      <c r="D127" s="1844">
        <v>0.125</v>
      </c>
      <c r="E127" s="1844">
        <v>0.121</v>
      </c>
      <c r="F127" s="1852"/>
    </row>
    <row r="128" spans="1:6" ht="14.25" thickBot="1">
      <c r="A128" s="1839" t="s">
        <v>1409</v>
      </c>
      <c r="B128" s="1843" t="s">
        <v>1261</v>
      </c>
      <c r="C128" s="1844">
        <v>0.12</v>
      </c>
      <c r="D128" s="1844">
        <v>0.12</v>
      </c>
      <c r="E128" s="1844">
        <v>0.105</v>
      </c>
      <c r="F128" s="1852"/>
    </row>
    <row r="129" spans="1:6" ht="14.25" thickBot="1">
      <c r="A129" s="1839" t="s">
        <v>1409</v>
      </c>
      <c r="B129" s="1843" t="s">
        <v>1270</v>
      </c>
      <c r="C129" s="1844">
        <v>0.13</v>
      </c>
      <c r="D129" s="1844">
        <v>0.13</v>
      </c>
      <c r="E129" s="1844">
        <v>0.126</v>
      </c>
      <c r="F129" s="1852"/>
    </row>
    <row r="130" spans="1:6" ht="14.25" thickBot="1">
      <c r="A130" s="1839" t="s">
        <v>1409</v>
      </c>
      <c r="B130" s="1843" t="s">
        <v>1279</v>
      </c>
      <c r="C130" s="1844">
        <v>0.125</v>
      </c>
      <c r="D130" s="1844">
        <v>0.125</v>
      </c>
      <c r="E130" s="1844">
        <v>0.122</v>
      </c>
      <c r="F130" s="1852"/>
    </row>
    <row r="131" spans="1:6" ht="14.25" thickBot="1">
      <c r="A131" s="1839" t="s">
        <v>1409</v>
      </c>
      <c r="B131" s="1843" t="s">
        <v>1287</v>
      </c>
      <c r="C131" s="1844">
        <v>0.127</v>
      </c>
      <c r="D131" s="1844">
        <v>0.126</v>
      </c>
      <c r="E131" s="1844">
        <v>0.123</v>
      </c>
      <c r="F131" s="1852"/>
    </row>
    <row r="132" spans="1:6" ht="14.25" thickBot="1">
      <c r="A132" s="1839" t="s">
        <v>1409</v>
      </c>
      <c r="B132" s="1843" t="s">
        <v>1294</v>
      </c>
      <c r="C132" s="1844">
        <v>9.0999999999999998E-2</v>
      </c>
      <c r="D132" s="1844">
        <v>0.121</v>
      </c>
      <c r="E132" s="1844">
        <v>9.9000000000000005E-2</v>
      </c>
      <c r="F132" s="1852"/>
    </row>
    <row r="133" spans="1:6" ht="14.25" thickBot="1">
      <c r="A133" s="1839" t="s">
        <v>1409</v>
      </c>
      <c r="B133" s="1843" t="s">
        <v>1301</v>
      </c>
      <c r="C133" s="1844">
        <v>0.13</v>
      </c>
      <c r="D133" s="1844">
        <v>0.13</v>
      </c>
      <c r="E133" s="1844">
        <v>0.129</v>
      </c>
      <c r="F133" s="1852"/>
    </row>
    <row r="134" spans="1:6" ht="14.25" thickBot="1">
      <c r="A134" s="1839" t="s">
        <v>1409</v>
      </c>
      <c r="B134" s="1843" t="s">
        <v>2105</v>
      </c>
      <c r="C134" s="1844">
        <v>6.8000000000000005E-2</v>
      </c>
      <c r="D134" s="1844">
        <v>6.5000000000000002E-2</v>
      </c>
      <c r="E134" s="1844">
        <v>6.5000000000000002E-2</v>
      </c>
      <c r="F134" s="1845">
        <v>0.13</v>
      </c>
    </row>
    <row r="135" spans="1:6" ht="14.25" thickBot="1">
      <c r="A135" s="1839" t="s">
        <v>1409</v>
      </c>
      <c r="B135" s="1843" t="s">
        <v>1315</v>
      </c>
      <c r="C135" s="1844">
        <v>0.123</v>
      </c>
      <c r="D135" s="1844">
        <v>0.123</v>
      </c>
      <c r="E135" s="1844">
        <v>0.11</v>
      </c>
      <c r="F135" s="1852"/>
    </row>
    <row r="136" spans="1:6" ht="14.25" thickBot="1">
      <c r="A136" s="1839" t="s">
        <v>1409</v>
      </c>
      <c r="B136" s="1843" t="s">
        <v>1322</v>
      </c>
      <c r="C136" s="1844">
        <v>0.13</v>
      </c>
      <c r="D136" s="1844">
        <v>0.13</v>
      </c>
      <c r="E136" s="1844">
        <v>0.125</v>
      </c>
      <c r="F136" s="1852"/>
    </row>
    <row r="137" spans="1:6" ht="14.25" thickBot="1">
      <c r="A137" s="1839" t="s">
        <v>1409</v>
      </c>
      <c r="B137" s="1843" t="s">
        <v>1329</v>
      </c>
      <c r="C137" s="1844">
        <v>0.121</v>
      </c>
      <c r="D137" s="1844">
        <v>0.122</v>
      </c>
      <c r="E137" s="1844">
        <v>0.115</v>
      </c>
      <c r="F137" s="1852"/>
    </row>
    <row r="138" spans="1:6" ht="14.25" thickBot="1">
      <c r="A138" s="1839" t="s">
        <v>1409</v>
      </c>
      <c r="B138" s="1843" t="s">
        <v>2106</v>
      </c>
      <c r="C138" s="1844">
        <v>0.105</v>
      </c>
      <c r="D138" s="1844">
        <v>0.125</v>
      </c>
      <c r="E138" s="1844">
        <v>0.112</v>
      </c>
      <c r="F138" s="1852"/>
    </row>
    <row r="139" spans="1:6" ht="14.25" thickBot="1">
      <c r="A139" s="1839" t="s">
        <v>1409</v>
      </c>
      <c r="B139" s="1843" t="s">
        <v>2107</v>
      </c>
      <c r="C139" s="1844">
        <v>0.127</v>
      </c>
      <c r="D139" s="1844">
        <v>0.127</v>
      </c>
      <c r="E139" s="1844">
        <v>0.122</v>
      </c>
      <c r="F139" s="1845">
        <v>0.13</v>
      </c>
    </row>
    <row r="140" spans="1:6" ht="14.25" thickBot="1">
      <c r="A140" s="1839" t="s">
        <v>1409</v>
      </c>
      <c r="B140" s="1843" t="s">
        <v>2108</v>
      </c>
      <c r="C140" s="1844">
        <v>0.125</v>
      </c>
      <c r="D140" s="1844">
        <v>0.125</v>
      </c>
      <c r="E140" s="1844">
        <v>0.11899999999999999</v>
      </c>
      <c r="F140" s="1845">
        <v>0.13</v>
      </c>
    </row>
    <row r="141" spans="1:6" ht="14.25" thickBot="1">
      <c r="A141" s="1839" t="s">
        <v>1409</v>
      </c>
      <c r="B141" s="1843" t="s">
        <v>1348</v>
      </c>
      <c r="C141" s="1844">
        <v>0.125</v>
      </c>
      <c r="D141" s="1844">
        <v>0.125</v>
      </c>
      <c r="E141" s="1844">
        <v>0.11700000000000001</v>
      </c>
      <c r="F141" s="1852"/>
    </row>
    <row r="142" spans="1:6" ht="14.25" thickBot="1">
      <c r="A142" s="1839" t="s">
        <v>1409</v>
      </c>
      <c r="B142" s="1843" t="s">
        <v>1353</v>
      </c>
      <c r="C142" s="1844">
        <v>0.125</v>
      </c>
      <c r="D142" s="1844">
        <v>0.125</v>
      </c>
      <c r="E142" s="1844">
        <v>0.115</v>
      </c>
      <c r="F142" s="1852"/>
    </row>
    <row r="143" spans="1:6" ht="14.25" thickBot="1">
      <c r="A143" s="1839" t="s">
        <v>1409</v>
      </c>
      <c r="B143" s="1843" t="s">
        <v>1358</v>
      </c>
      <c r="C143" s="1844">
        <v>0.121</v>
      </c>
      <c r="D143" s="1844">
        <v>0.121</v>
      </c>
      <c r="E143" s="1844">
        <v>0.108</v>
      </c>
      <c r="F143" s="1852"/>
    </row>
    <row r="144" spans="1:6" ht="14.25" thickBot="1">
      <c r="A144" s="1839" t="s">
        <v>1409</v>
      </c>
      <c r="B144" s="1856" t="s">
        <v>2109</v>
      </c>
      <c r="C144" s="1857">
        <v>0.126</v>
      </c>
      <c r="D144" s="1857">
        <v>0.126</v>
      </c>
      <c r="E144" s="1857">
        <v>0.121</v>
      </c>
      <c r="F144" s="1852"/>
    </row>
    <row r="145" spans="1:6" ht="14.25" thickBot="1">
      <c r="A145" s="1847" t="s">
        <v>1409</v>
      </c>
      <c r="B145" s="1858" t="s">
        <v>2110</v>
      </c>
      <c r="C145" s="1859"/>
      <c r="D145" s="1859"/>
      <c r="E145" s="1859"/>
      <c r="F145" s="1860">
        <v>0.05</v>
      </c>
    </row>
    <row r="146" spans="1:6" ht="24.75" thickBot="1">
      <c r="A146" s="1861" t="s">
        <v>1409</v>
      </c>
      <c r="B146" s="1846" t="s">
        <v>2111</v>
      </c>
      <c r="C146" s="1853"/>
      <c r="D146" s="1853"/>
      <c r="E146" s="1853"/>
      <c r="F146" s="1862">
        <v>0.05</v>
      </c>
    </row>
    <row r="147" spans="1:6" ht="24.75" thickBot="1">
      <c r="A147" s="1839" t="s">
        <v>1409</v>
      </c>
      <c r="B147" s="1843" t="s">
        <v>2112</v>
      </c>
      <c r="C147" s="1853"/>
      <c r="D147" s="1853"/>
      <c r="E147" s="1853"/>
      <c r="F147" s="1845">
        <v>0.05</v>
      </c>
    </row>
    <row r="148" spans="1:6" ht="24.75" thickBot="1">
      <c r="A148" s="1839" t="s">
        <v>1409</v>
      </c>
      <c r="B148" s="1843" t="s">
        <v>2113</v>
      </c>
      <c r="C148" s="1853"/>
      <c r="D148" s="1853"/>
      <c r="E148" s="1853"/>
      <c r="F148" s="1845">
        <v>0.05</v>
      </c>
    </row>
    <row r="149" spans="1:6" ht="24.75" thickBot="1">
      <c r="A149" s="1839" t="s">
        <v>1409</v>
      </c>
      <c r="B149" s="1843" t="s">
        <v>2114</v>
      </c>
      <c r="C149" s="1853"/>
      <c r="D149" s="1853"/>
      <c r="E149" s="1853"/>
      <c r="F149" s="1845">
        <v>0.05</v>
      </c>
    </row>
    <row r="150" spans="1:6" ht="24.75" thickBot="1">
      <c r="A150" s="1839" t="s">
        <v>1409</v>
      </c>
      <c r="B150" s="1843" t="s">
        <v>2115</v>
      </c>
      <c r="C150" s="1853"/>
      <c r="D150" s="1853"/>
      <c r="E150" s="1853"/>
      <c r="F150" s="1845">
        <v>0.05</v>
      </c>
    </row>
    <row r="151" spans="1:6" ht="24.75" thickBot="1">
      <c r="A151" s="1839" t="s">
        <v>1409</v>
      </c>
      <c r="B151" s="1843" t="s">
        <v>2116</v>
      </c>
      <c r="C151" s="1853"/>
      <c r="D151" s="1853"/>
      <c r="E151" s="1853"/>
      <c r="F151" s="1845">
        <v>0.05</v>
      </c>
    </row>
    <row r="152" spans="1:6" ht="24.75" thickBot="1">
      <c r="A152" s="1839" t="s">
        <v>1409</v>
      </c>
      <c r="B152" s="1843" t="s">
        <v>1391</v>
      </c>
      <c r="C152" s="1853"/>
      <c r="D152" s="1853"/>
      <c r="E152" s="1853"/>
      <c r="F152" s="1845">
        <v>0.05</v>
      </c>
    </row>
    <row r="153" spans="1:6" ht="14.25" thickBot="1">
      <c r="A153" s="1839" t="s">
        <v>1409</v>
      </c>
      <c r="B153" s="1843" t="s">
        <v>2117</v>
      </c>
      <c r="C153" s="1853"/>
      <c r="D153" s="1853"/>
      <c r="E153" s="1853"/>
      <c r="F153" s="1845">
        <v>0.05</v>
      </c>
    </row>
    <row r="154" spans="1:6" ht="14.25" thickBot="1">
      <c r="A154" s="1839" t="s">
        <v>1409</v>
      </c>
      <c r="B154" s="1843" t="s">
        <v>2118</v>
      </c>
      <c r="C154" s="1853"/>
      <c r="D154" s="1853"/>
      <c r="E154" s="1853"/>
      <c r="F154" s="1845">
        <v>0.05</v>
      </c>
    </row>
    <row r="155" spans="1:6" ht="24.75" thickBot="1">
      <c r="A155" s="1839" t="s">
        <v>1409</v>
      </c>
      <c r="B155" s="1843" t="s">
        <v>2119</v>
      </c>
      <c r="C155" s="1853"/>
      <c r="D155" s="1853"/>
      <c r="E155" s="1853"/>
      <c r="F155" s="1845">
        <v>0.05</v>
      </c>
    </row>
    <row r="156" spans="1:6" ht="24.75" thickBot="1">
      <c r="A156" s="1839" t="s">
        <v>1409</v>
      </c>
      <c r="B156" s="1843" t="s">
        <v>2120</v>
      </c>
      <c r="C156" s="1853"/>
      <c r="D156" s="1853"/>
      <c r="E156" s="1853"/>
      <c r="F156" s="1845">
        <v>0.05</v>
      </c>
    </row>
    <row r="157" spans="1:6" ht="14.25" thickBot="1">
      <c r="A157" s="1847" t="s">
        <v>1409</v>
      </c>
      <c r="B157" s="1854" t="s">
        <v>2121</v>
      </c>
      <c r="C157" s="1850"/>
      <c r="D157" s="1850"/>
      <c r="E157" s="1850"/>
      <c r="F157" s="1855">
        <v>0.05</v>
      </c>
    </row>
    <row r="158" spans="1:6" ht="14.25" thickBot="1">
      <c r="A158" s="1839" t="s">
        <v>1411</v>
      </c>
      <c r="B158" s="1840" t="s">
        <v>2122</v>
      </c>
      <c r="C158" s="1841">
        <v>0.13</v>
      </c>
      <c r="D158" s="1841">
        <v>0.13</v>
      </c>
      <c r="E158" s="1841">
        <v>0.13</v>
      </c>
      <c r="F158" s="1842">
        <v>0.13</v>
      </c>
    </row>
    <row r="159" spans="1:6" ht="14.25" thickBot="1">
      <c r="A159" s="1839" t="s">
        <v>1411</v>
      </c>
      <c r="B159" s="1843" t="s">
        <v>1076</v>
      </c>
      <c r="C159" s="1844">
        <v>0.13</v>
      </c>
      <c r="D159" s="1844">
        <v>0.13</v>
      </c>
      <c r="E159" s="1844">
        <v>0.13</v>
      </c>
      <c r="F159" s="1845">
        <v>0.13</v>
      </c>
    </row>
    <row r="160" spans="1:6" ht="14.25" thickBot="1">
      <c r="A160" s="1839" t="s">
        <v>1411</v>
      </c>
      <c r="B160" s="1843" t="s">
        <v>1090</v>
      </c>
      <c r="C160" s="1844">
        <v>0.13</v>
      </c>
      <c r="D160" s="1844">
        <v>0.13</v>
      </c>
      <c r="E160" s="1844">
        <v>0.129</v>
      </c>
      <c r="F160" s="1845">
        <v>0.13</v>
      </c>
    </row>
    <row r="161" spans="1:6" ht="14.25" thickBot="1">
      <c r="A161" s="1839" t="s">
        <v>1411</v>
      </c>
      <c r="B161" s="1843" t="s">
        <v>1103</v>
      </c>
      <c r="C161" s="1844">
        <v>0.128</v>
      </c>
      <c r="D161" s="1844">
        <v>0.128</v>
      </c>
      <c r="E161" s="1844">
        <v>0.125</v>
      </c>
      <c r="F161" s="1845">
        <v>0.13</v>
      </c>
    </row>
    <row r="162" spans="1:6" ht="14.25" thickBot="1">
      <c r="A162" s="1839" t="s">
        <v>1411</v>
      </c>
      <c r="B162" s="1843" t="s">
        <v>1117</v>
      </c>
      <c r="C162" s="1844">
        <v>0.122</v>
      </c>
      <c r="D162" s="1844">
        <v>0.122</v>
      </c>
      <c r="E162" s="1844">
        <v>0.126</v>
      </c>
      <c r="F162" s="1845">
        <v>0.122</v>
      </c>
    </row>
    <row r="163" spans="1:6" ht="14.25" thickBot="1">
      <c r="A163" s="1839" t="s">
        <v>1411</v>
      </c>
      <c r="B163" s="1843" t="s">
        <v>1128</v>
      </c>
      <c r="C163" s="1844">
        <v>0.13</v>
      </c>
      <c r="D163" s="1844">
        <v>0.13</v>
      </c>
      <c r="E163" s="1844">
        <v>0.125</v>
      </c>
      <c r="F163" s="1845">
        <v>0.13</v>
      </c>
    </row>
    <row r="164" spans="1:6" ht="14.25" thickBot="1">
      <c r="A164" s="1839" t="s">
        <v>1411</v>
      </c>
      <c r="B164" s="1843" t="s">
        <v>1139</v>
      </c>
      <c r="C164" s="1844">
        <v>0.13</v>
      </c>
      <c r="D164" s="1844">
        <v>0.13</v>
      </c>
      <c r="E164" s="1844">
        <v>0.13</v>
      </c>
      <c r="F164" s="1845">
        <v>0.13</v>
      </c>
    </row>
    <row r="165" spans="1:6" ht="14.25" thickBot="1">
      <c r="A165" s="1839" t="s">
        <v>1411</v>
      </c>
      <c r="B165" s="1843" t="s">
        <v>1150</v>
      </c>
      <c r="C165" s="1844">
        <v>0.13</v>
      </c>
      <c r="D165" s="1844">
        <v>0.13</v>
      </c>
      <c r="E165" s="1844">
        <v>0.124</v>
      </c>
      <c r="F165" s="1845">
        <v>0.13</v>
      </c>
    </row>
    <row r="166" spans="1:6" ht="14.25" thickBot="1">
      <c r="A166" s="1839" t="s">
        <v>1411</v>
      </c>
      <c r="B166" s="1843" t="s">
        <v>1162</v>
      </c>
      <c r="C166" s="1844">
        <v>0.13</v>
      </c>
      <c r="D166" s="1844">
        <v>0.13</v>
      </c>
      <c r="E166" s="1844">
        <v>0.13</v>
      </c>
      <c r="F166" s="1845">
        <v>0.13</v>
      </c>
    </row>
    <row r="167" spans="1:6" ht="14.25" thickBot="1">
      <c r="A167" s="1839" t="s">
        <v>1411</v>
      </c>
      <c r="B167" s="1843" t="s">
        <v>1172</v>
      </c>
      <c r="C167" s="1844">
        <v>0.125</v>
      </c>
      <c r="D167" s="1844">
        <v>0.125</v>
      </c>
      <c r="E167" s="1844">
        <v>0.121</v>
      </c>
      <c r="F167" s="1852"/>
    </row>
    <row r="168" spans="1:6" ht="14.25" thickBot="1">
      <c r="A168" s="1839" t="s">
        <v>1411</v>
      </c>
      <c r="B168" s="1843" t="s">
        <v>1182</v>
      </c>
      <c r="C168" s="1844">
        <v>0.13</v>
      </c>
      <c r="D168" s="1844">
        <v>0.13</v>
      </c>
      <c r="E168" s="1844">
        <v>0.126</v>
      </c>
      <c r="F168" s="1852"/>
    </row>
    <row r="169" spans="1:6" ht="14.25" thickBot="1">
      <c r="A169" s="1839" t="s">
        <v>1411</v>
      </c>
      <c r="B169" s="1843" t="s">
        <v>1192</v>
      </c>
      <c r="C169" s="1844">
        <v>0.128</v>
      </c>
      <c r="D169" s="1844">
        <v>0.129</v>
      </c>
      <c r="E169" s="1844">
        <v>0.13</v>
      </c>
      <c r="F169" s="1852"/>
    </row>
    <row r="170" spans="1:6" ht="14.25" thickBot="1">
      <c r="A170" s="1839" t="s">
        <v>1411</v>
      </c>
      <c r="B170" s="1843" t="s">
        <v>1202</v>
      </c>
      <c r="C170" s="1844">
        <v>0.14099999999999999</v>
      </c>
      <c r="D170" s="1844">
        <v>0.13</v>
      </c>
      <c r="E170" s="1844">
        <v>0.125</v>
      </c>
      <c r="F170" s="1852"/>
    </row>
    <row r="171" spans="1:6" ht="14.25" thickBot="1">
      <c r="A171" s="1839" t="s">
        <v>1411</v>
      </c>
      <c r="B171" s="1843" t="s">
        <v>2123</v>
      </c>
      <c r="C171" s="1844">
        <v>0.127</v>
      </c>
      <c r="D171" s="1844">
        <v>0.126</v>
      </c>
      <c r="E171" s="1844">
        <v>0.126</v>
      </c>
      <c r="F171" s="1845">
        <v>0.11799999999999999</v>
      </c>
    </row>
    <row r="172" spans="1:6" ht="14.25" thickBot="1">
      <c r="A172" s="1839" t="s">
        <v>1411</v>
      </c>
      <c r="B172" s="1843" t="s">
        <v>2124</v>
      </c>
      <c r="C172" s="1844">
        <v>0.13</v>
      </c>
      <c r="D172" s="1844">
        <v>0.13</v>
      </c>
      <c r="E172" s="1844">
        <v>0.13</v>
      </c>
      <c r="F172" s="1852"/>
    </row>
    <row r="173" spans="1:6" ht="14.25" thickBot="1">
      <c r="A173" s="1839" t="s">
        <v>1411</v>
      </c>
      <c r="B173" s="1843" t="s">
        <v>1232</v>
      </c>
      <c r="C173" s="1844">
        <v>0.13</v>
      </c>
      <c r="D173" s="1844">
        <v>0.13</v>
      </c>
      <c r="E173" s="1844">
        <v>0.13</v>
      </c>
      <c r="F173" s="1852"/>
    </row>
    <row r="174" spans="1:6" ht="14.25" thickBot="1">
      <c r="A174" s="1839" t="s">
        <v>1411</v>
      </c>
      <c r="B174" s="1843" t="s">
        <v>2125</v>
      </c>
      <c r="C174" s="1844">
        <v>0.13</v>
      </c>
      <c r="D174" s="1844">
        <v>0.13</v>
      </c>
      <c r="E174" s="1844">
        <v>0.13</v>
      </c>
      <c r="F174" s="1845">
        <v>0.13</v>
      </c>
    </row>
    <row r="175" spans="1:6" ht="14.25" thickBot="1">
      <c r="A175" s="1839" t="s">
        <v>1411</v>
      </c>
      <c r="B175" s="1843" t="s">
        <v>2126</v>
      </c>
      <c r="C175" s="1844">
        <v>0.13</v>
      </c>
      <c r="D175" s="1844">
        <v>0.13</v>
      </c>
      <c r="E175" s="1844">
        <v>0.13</v>
      </c>
      <c r="F175" s="1845">
        <v>0.13</v>
      </c>
    </row>
    <row r="176" spans="1:6" ht="14.25" thickBot="1">
      <c r="A176" s="1839" t="s">
        <v>1411</v>
      </c>
      <c r="B176" s="1843" t="s">
        <v>1262</v>
      </c>
      <c r="C176" s="1844">
        <v>0.13</v>
      </c>
      <c r="D176" s="1844">
        <v>0.13</v>
      </c>
      <c r="E176" s="1844">
        <v>0.13</v>
      </c>
      <c r="F176" s="1845">
        <v>0.13</v>
      </c>
    </row>
    <row r="177" spans="1:6" ht="14.25" thickBot="1">
      <c r="A177" s="1839" t="s">
        <v>1411</v>
      </c>
      <c r="B177" s="1843" t="s">
        <v>2127</v>
      </c>
      <c r="C177" s="1844">
        <v>0.13</v>
      </c>
      <c r="D177" s="1844">
        <v>0.13</v>
      </c>
      <c r="E177" s="1844">
        <v>0.13</v>
      </c>
      <c r="F177" s="1845">
        <v>0.13</v>
      </c>
    </row>
    <row r="178" spans="1:6" ht="14.25" thickBot="1">
      <c r="A178" s="1839" t="s">
        <v>1411</v>
      </c>
      <c r="B178" s="1843" t="s">
        <v>1280</v>
      </c>
      <c r="C178" s="1844">
        <v>0.13</v>
      </c>
      <c r="D178" s="1844">
        <v>0.13</v>
      </c>
      <c r="E178" s="1844">
        <v>0.13</v>
      </c>
      <c r="F178" s="1845">
        <v>0.127</v>
      </c>
    </row>
    <row r="179" spans="1:6" ht="14.25" thickBot="1">
      <c r="A179" s="1839" t="s">
        <v>1411</v>
      </c>
      <c r="B179" s="1843" t="s">
        <v>1288</v>
      </c>
      <c r="C179" s="1844">
        <v>0.13</v>
      </c>
      <c r="D179" s="1844">
        <v>0.13</v>
      </c>
      <c r="E179" s="1844">
        <v>0.13</v>
      </c>
      <c r="F179" s="1852"/>
    </row>
    <row r="180" spans="1:6" ht="14.25" thickBot="1">
      <c r="A180" s="1839" t="s">
        <v>1411</v>
      </c>
      <c r="B180" s="1843" t="s">
        <v>2128</v>
      </c>
      <c r="C180" s="1844">
        <v>0.13</v>
      </c>
      <c r="D180" s="1844">
        <v>0.13</v>
      </c>
      <c r="E180" s="1844">
        <v>0.125</v>
      </c>
      <c r="F180" s="1845">
        <v>0.13</v>
      </c>
    </row>
    <row r="181" spans="1:6" ht="14.25" thickBot="1">
      <c r="A181" s="1839" t="s">
        <v>1411</v>
      </c>
      <c r="B181" s="1843" t="s">
        <v>1302</v>
      </c>
      <c r="C181" s="1844">
        <v>0.122</v>
      </c>
      <c r="D181" s="1844">
        <v>0.123</v>
      </c>
      <c r="E181" s="1844">
        <v>0.126</v>
      </c>
      <c r="F181" s="1845">
        <v>0.121</v>
      </c>
    </row>
    <row r="182" spans="1:6" ht="14.25" thickBot="1">
      <c r="A182" s="1839" t="s">
        <v>1411</v>
      </c>
      <c r="B182" s="1843" t="s">
        <v>1309</v>
      </c>
      <c r="C182" s="1844">
        <v>0.125</v>
      </c>
      <c r="D182" s="1844">
        <v>0.125</v>
      </c>
      <c r="E182" s="1844">
        <v>0.11700000000000001</v>
      </c>
      <c r="F182" s="1845">
        <v>0.13</v>
      </c>
    </row>
    <row r="183" spans="1:6" ht="14.25" thickBot="1">
      <c r="A183" s="1839" t="s">
        <v>1411</v>
      </c>
      <c r="B183" s="1843" t="s">
        <v>1316</v>
      </c>
      <c r="C183" s="1844">
        <v>0.127</v>
      </c>
      <c r="D183" s="1844">
        <v>0.127</v>
      </c>
      <c r="E183" s="1844">
        <v>0.128</v>
      </c>
      <c r="F183" s="1852"/>
    </row>
    <row r="184" spans="1:6" ht="14.25" thickBot="1">
      <c r="A184" s="1839" t="s">
        <v>1411</v>
      </c>
      <c r="B184" s="1843" t="s">
        <v>1323</v>
      </c>
      <c r="C184" s="1844">
        <v>0.125</v>
      </c>
      <c r="D184" s="1844">
        <v>0.125</v>
      </c>
      <c r="E184" s="1844">
        <v>0.127</v>
      </c>
      <c r="F184" s="1852"/>
    </row>
    <row r="185" spans="1:6" ht="14.25" thickBot="1">
      <c r="A185" s="1839" t="s">
        <v>1411</v>
      </c>
      <c r="B185" s="1843" t="s">
        <v>2129</v>
      </c>
      <c r="C185" s="1844">
        <v>0.127</v>
      </c>
      <c r="D185" s="1844">
        <v>0.127</v>
      </c>
      <c r="E185" s="1844">
        <v>0.128</v>
      </c>
      <c r="F185" s="1845">
        <v>0.13</v>
      </c>
    </row>
    <row r="186" spans="1:6" ht="24.75" thickBot="1">
      <c r="A186" s="1839" t="s">
        <v>1411</v>
      </c>
      <c r="B186" s="1843" t="s">
        <v>2130</v>
      </c>
      <c r="C186" s="1853"/>
      <c r="D186" s="1853"/>
      <c r="E186" s="1853"/>
      <c r="F186" s="1845">
        <v>0.05</v>
      </c>
    </row>
    <row r="187" spans="1:6" ht="14.25" thickBot="1">
      <c r="A187" s="1839" t="s">
        <v>1411</v>
      </c>
      <c r="B187" s="1843" t="s">
        <v>2131</v>
      </c>
      <c r="C187" s="1853"/>
      <c r="D187" s="1853"/>
      <c r="E187" s="1853"/>
      <c r="F187" s="1845">
        <v>0.05</v>
      </c>
    </row>
    <row r="188" spans="1:6" ht="14.25" thickBot="1">
      <c r="A188" s="1839" t="s">
        <v>1411</v>
      </c>
      <c r="B188" s="1843" t="s">
        <v>2132</v>
      </c>
      <c r="C188" s="1853"/>
      <c r="D188" s="1853"/>
      <c r="E188" s="1853"/>
      <c r="F188" s="1845">
        <v>0.05</v>
      </c>
    </row>
    <row r="189" spans="1:6" ht="24.75" thickBot="1">
      <c r="A189" s="1839" t="s">
        <v>1411</v>
      </c>
      <c r="B189" s="1843" t="s">
        <v>2133</v>
      </c>
      <c r="C189" s="1853"/>
      <c r="D189" s="1853"/>
      <c r="E189" s="1853"/>
      <c r="F189" s="1845">
        <v>0.05</v>
      </c>
    </row>
    <row r="190" spans="1:6" ht="24.75" thickBot="1">
      <c r="A190" s="1839" t="s">
        <v>1411</v>
      </c>
      <c r="B190" s="1843" t="s">
        <v>2134</v>
      </c>
      <c r="C190" s="1853"/>
      <c r="D190" s="1853"/>
      <c r="E190" s="1853"/>
      <c r="F190" s="1845">
        <v>0.05</v>
      </c>
    </row>
    <row r="191" spans="1:6" ht="24.75" thickBot="1">
      <c r="A191" s="1839" t="s">
        <v>1411</v>
      </c>
      <c r="B191" s="1843" t="s">
        <v>2135</v>
      </c>
      <c r="C191" s="1853"/>
      <c r="D191" s="1853"/>
      <c r="E191" s="1853"/>
      <c r="F191" s="1845">
        <v>0.05</v>
      </c>
    </row>
    <row r="192" spans="1:6" ht="24.75" thickBot="1">
      <c r="A192" s="1839" t="s">
        <v>1411</v>
      </c>
      <c r="B192" s="1843" t="s">
        <v>2136</v>
      </c>
      <c r="C192" s="1853"/>
      <c r="D192" s="1853"/>
      <c r="E192" s="1853"/>
      <c r="F192" s="1845">
        <v>0.05</v>
      </c>
    </row>
    <row r="193" spans="1:6" ht="24.75" thickBot="1">
      <c r="A193" s="1839" t="s">
        <v>1411</v>
      </c>
      <c r="B193" s="1843" t="s">
        <v>2137</v>
      </c>
      <c r="C193" s="1853"/>
      <c r="D193" s="1853"/>
      <c r="E193" s="1853"/>
      <c r="F193" s="1845">
        <v>0.05</v>
      </c>
    </row>
    <row r="194" spans="1:6" ht="24.75" thickBot="1">
      <c r="A194" s="1839" t="s">
        <v>1411</v>
      </c>
      <c r="B194" s="1843" t="s">
        <v>2138</v>
      </c>
      <c r="C194" s="1853"/>
      <c r="D194" s="1853"/>
      <c r="E194" s="1853"/>
      <c r="F194" s="1845">
        <v>0.05</v>
      </c>
    </row>
    <row r="195" spans="1:6" ht="14.25" thickBot="1">
      <c r="A195" s="1839" t="s">
        <v>1411</v>
      </c>
      <c r="B195" s="1843" t="s">
        <v>2139</v>
      </c>
      <c r="C195" s="1853"/>
      <c r="D195" s="1853"/>
      <c r="E195" s="1853"/>
      <c r="F195" s="1845">
        <v>0.05</v>
      </c>
    </row>
    <row r="196" spans="1:6" ht="24.75" thickBot="1">
      <c r="A196" s="1839" t="s">
        <v>1411</v>
      </c>
      <c r="B196" s="1843" t="s">
        <v>2140</v>
      </c>
      <c r="C196" s="1853"/>
      <c r="D196" s="1853"/>
      <c r="E196" s="1853"/>
      <c r="F196" s="1845">
        <v>0.05</v>
      </c>
    </row>
    <row r="197" spans="1:6" ht="24.75" thickBot="1">
      <c r="A197" s="1839" t="s">
        <v>1411</v>
      </c>
      <c r="B197" s="1843" t="s">
        <v>2141</v>
      </c>
      <c r="C197" s="1853"/>
      <c r="D197" s="1853"/>
      <c r="E197" s="1853"/>
      <c r="F197" s="1845">
        <v>0.05</v>
      </c>
    </row>
    <row r="198" spans="1:6" ht="24.75" thickBot="1">
      <c r="A198" s="1839" t="s">
        <v>1411</v>
      </c>
      <c r="B198" s="1843" t="s">
        <v>2142</v>
      </c>
      <c r="C198" s="1853"/>
      <c r="D198" s="1853"/>
      <c r="E198" s="1853"/>
      <c r="F198" s="1845">
        <v>0.05</v>
      </c>
    </row>
    <row r="199" spans="1:6" ht="24.75" thickBot="1">
      <c r="A199" s="1839" t="s">
        <v>1411</v>
      </c>
      <c r="B199" s="1843" t="s">
        <v>2143</v>
      </c>
      <c r="C199" s="1853"/>
      <c r="D199" s="1853"/>
      <c r="E199" s="1853"/>
      <c r="F199" s="1845">
        <v>0.05</v>
      </c>
    </row>
    <row r="200" spans="1:6" ht="24.75" thickBot="1">
      <c r="A200" s="1839" t="s">
        <v>1411</v>
      </c>
      <c r="B200" s="1843" t="s">
        <v>2144</v>
      </c>
      <c r="C200" s="1853"/>
      <c r="D200" s="1853"/>
      <c r="E200" s="1853"/>
      <c r="F200" s="1845">
        <v>0.05</v>
      </c>
    </row>
    <row r="201" spans="1:6" ht="24.75" thickBot="1">
      <c r="A201" s="1839" t="s">
        <v>1411</v>
      </c>
      <c r="B201" s="1843" t="s">
        <v>2145</v>
      </c>
      <c r="C201" s="1853"/>
      <c r="D201" s="1853"/>
      <c r="E201" s="1853"/>
      <c r="F201" s="1845">
        <v>0.05</v>
      </c>
    </row>
    <row r="202" spans="1:6" ht="24.75" thickBot="1">
      <c r="A202" s="1839" t="s">
        <v>1411</v>
      </c>
      <c r="B202" s="1843" t="s">
        <v>2146</v>
      </c>
      <c r="C202" s="1853"/>
      <c r="D202" s="1853"/>
      <c r="E202" s="1853"/>
      <c r="F202" s="1845">
        <v>0.05</v>
      </c>
    </row>
    <row r="203" spans="1:6" ht="24.75" thickBot="1">
      <c r="A203" s="1839" t="s">
        <v>1411</v>
      </c>
      <c r="B203" s="1843" t="s">
        <v>2147</v>
      </c>
      <c r="C203" s="1853"/>
      <c r="D203" s="1853"/>
      <c r="E203" s="1853"/>
      <c r="F203" s="1845">
        <v>0.05</v>
      </c>
    </row>
    <row r="204" spans="1:6" ht="14.25" thickBot="1">
      <c r="A204" s="1839" t="s">
        <v>1411</v>
      </c>
      <c r="B204" s="1843" t="s">
        <v>2148</v>
      </c>
      <c r="C204" s="1853"/>
      <c r="D204" s="1853"/>
      <c r="E204" s="1853"/>
      <c r="F204" s="1845">
        <v>0.05</v>
      </c>
    </row>
    <row r="205" spans="1:6" ht="14.25" thickBot="1">
      <c r="A205" s="1847" t="s">
        <v>1411</v>
      </c>
      <c r="B205" s="1854" t="s">
        <v>2149</v>
      </c>
      <c r="C205" s="1850"/>
      <c r="D205" s="1850"/>
      <c r="E205" s="1850"/>
      <c r="F205" s="1855">
        <v>0.05</v>
      </c>
    </row>
    <row r="206" spans="1:6" ht="14.25" thickBot="1">
      <c r="A206" s="1839" t="s">
        <v>1413</v>
      </c>
      <c r="B206" s="1840" t="s">
        <v>2150</v>
      </c>
      <c r="C206" s="1841">
        <v>0.15</v>
      </c>
      <c r="D206" s="1841">
        <v>0.15</v>
      </c>
      <c r="E206" s="1841">
        <v>0.15</v>
      </c>
      <c r="F206" s="1842">
        <v>0.15</v>
      </c>
    </row>
    <row r="207" spans="1:6" ht="14.25" thickBot="1">
      <c r="A207" s="1839" t="s">
        <v>1413</v>
      </c>
      <c r="B207" s="1843" t="s">
        <v>1077</v>
      </c>
      <c r="C207" s="1844">
        <v>0.15</v>
      </c>
      <c r="D207" s="1844">
        <v>0.15</v>
      </c>
      <c r="E207" s="1844">
        <v>0.15</v>
      </c>
      <c r="F207" s="1845">
        <v>0.14399999999999999</v>
      </c>
    </row>
    <row r="208" spans="1:6" ht="14.25" thickBot="1">
      <c r="A208" s="1839" t="s">
        <v>1413</v>
      </c>
      <c r="B208" s="1843" t="s">
        <v>1091</v>
      </c>
      <c r="C208" s="1844">
        <v>0.15</v>
      </c>
      <c r="D208" s="1844">
        <v>0.15</v>
      </c>
      <c r="E208" s="1844">
        <v>0.15</v>
      </c>
      <c r="F208" s="1845">
        <v>0.15</v>
      </c>
    </row>
    <row r="209" spans="1:6" ht="14.25" thickBot="1">
      <c r="A209" s="1839" t="s">
        <v>1413</v>
      </c>
      <c r="B209" s="1843" t="s">
        <v>1104</v>
      </c>
      <c r="C209" s="1844">
        <v>0.13700000000000001</v>
      </c>
      <c r="D209" s="1844">
        <v>0.13700000000000001</v>
      </c>
      <c r="E209" s="1844">
        <v>0.14000000000000001</v>
      </c>
      <c r="F209" s="1845">
        <v>0.11700000000000001</v>
      </c>
    </row>
    <row r="210" spans="1:6" ht="14.25" thickBot="1">
      <c r="A210" s="1839" t="s">
        <v>1413</v>
      </c>
      <c r="B210" s="1843" t="s">
        <v>2151</v>
      </c>
      <c r="C210" s="1844">
        <v>0.15</v>
      </c>
      <c r="D210" s="1844">
        <v>0.15</v>
      </c>
      <c r="E210" s="1844">
        <v>0.15</v>
      </c>
      <c r="F210" s="1845">
        <v>0.13800000000000001</v>
      </c>
    </row>
    <row r="211" spans="1:6" ht="14.25" thickBot="1">
      <c r="A211" s="1839" t="s">
        <v>1413</v>
      </c>
      <c r="B211" s="1843" t="s">
        <v>2152</v>
      </c>
      <c r="C211" s="1844">
        <v>0.13700000000000001</v>
      </c>
      <c r="D211" s="1844">
        <v>0.13500000000000001</v>
      </c>
      <c r="E211" s="1844">
        <v>0.13600000000000001</v>
      </c>
      <c r="F211" s="1845">
        <v>0.1</v>
      </c>
    </row>
    <row r="212" spans="1:6" ht="14.25" thickBot="1">
      <c r="A212" s="1839" t="s">
        <v>1413</v>
      </c>
      <c r="B212" s="1843" t="s">
        <v>2153</v>
      </c>
      <c r="C212" s="1844">
        <v>0.15</v>
      </c>
      <c r="D212" s="1844">
        <v>0.15</v>
      </c>
      <c r="E212" s="1844">
        <v>0.14799999999999999</v>
      </c>
      <c r="F212" s="1845">
        <v>0.13600000000000001</v>
      </c>
    </row>
    <row r="213" spans="1:6" ht="14.25" thickBot="1">
      <c r="A213" s="1839" t="s">
        <v>1413</v>
      </c>
      <c r="B213" s="1843" t="s">
        <v>1151</v>
      </c>
      <c r="C213" s="1844">
        <v>0.15</v>
      </c>
      <c r="D213" s="1844">
        <v>0.15</v>
      </c>
      <c r="E213" s="1844">
        <v>0.15</v>
      </c>
      <c r="F213" s="1845">
        <v>0.13800000000000001</v>
      </c>
    </row>
    <row r="214" spans="1:6" ht="14.25" thickBot="1">
      <c r="A214" s="1839" t="s">
        <v>1413</v>
      </c>
      <c r="B214" s="1843" t="s">
        <v>1163</v>
      </c>
      <c r="C214" s="1844">
        <v>9.0999999999999998E-2</v>
      </c>
      <c r="D214" s="1844">
        <v>0.09</v>
      </c>
      <c r="E214" s="1844">
        <v>9.1999999999999998E-2</v>
      </c>
      <c r="F214" s="1852"/>
    </row>
    <row r="215" spans="1:6" ht="14.25" thickBot="1">
      <c r="A215" s="1839" t="s">
        <v>1413</v>
      </c>
      <c r="B215" s="1843" t="s">
        <v>2154</v>
      </c>
      <c r="C215" s="1844">
        <v>0.15</v>
      </c>
      <c r="D215" s="1844">
        <v>0.15</v>
      </c>
      <c r="E215" s="1844">
        <v>0.15</v>
      </c>
      <c r="F215" s="1845">
        <v>0.15</v>
      </c>
    </row>
    <row r="216" spans="1:6" ht="14.25" thickBot="1">
      <c r="A216" s="1839" t="s">
        <v>1413</v>
      </c>
      <c r="B216" s="1843" t="s">
        <v>1183</v>
      </c>
      <c r="C216" s="1844">
        <v>0.14699999999999999</v>
      </c>
      <c r="D216" s="1844">
        <v>0.14699999999999999</v>
      </c>
      <c r="E216" s="1844">
        <v>0.15</v>
      </c>
      <c r="F216" s="1845">
        <v>0.14000000000000001</v>
      </c>
    </row>
    <row r="217" spans="1:6" ht="14.25" thickBot="1">
      <c r="A217" s="1839" t="s">
        <v>1413</v>
      </c>
      <c r="B217" s="1843" t="s">
        <v>1193</v>
      </c>
      <c r="C217" s="1844">
        <v>0.15</v>
      </c>
      <c r="D217" s="1844">
        <v>0.15</v>
      </c>
      <c r="E217" s="1844">
        <v>0.15</v>
      </c>
      <c r="F217" s="1845">
        <v>0.15</v>
      </c>
    </row>
    <row r="218" spans="1:6" ht="14.25" thickBot="1">
      <c r="A218" s="1839" t="s">
        <v>1413</v>
      </c>
      <c r="B218" s="1843" t="s">
        <v>2155</v>
      </c>
      <c r="C218" s="1844">
        <v>0.15</v>
      </c>
      <c r="D218" s="1844">
        <v>0.15</v>
      </c>
      <c r="E218" s="1844">
        <v>0.15</v>
      </c>
      <c r="F218" s="1845">
        <v>0.15</v>
      </c>
    </row>
    <row r="219" spans="1:6" ht="14.25" thickBot="1">
      <c r="A219" s="1839" t="s">
        <v>1413</v>
      </c>
      <c r="B219" s="1843" t="s">
        <v>1213</v>
      </c>
      <c r="C219" s="1844">
        <v>0.15</v>
      </c>
      <c r="D219" s="1844">
        <v>0.15</v>
      </c>
      <c r="E219" s="1844">
        <v>0.15</v>
      </c>
      <c r="F219" s="1845">
        <v>0.14799999999999999</v>
      </c>
    </row>
    <row r="220" spans="1:6" ht="14.25" thickBot="1">
      <c r="A220" s="1839" t="s">
        <v>1413</v>
      </c>
      <c r="B220" s="1843" t="s">
        <v>2156</v>
      </c>
      <c r="C220" s="1844">
        <v>0.15</v>
      </c>
      <c r="D220" s="1844">
        <v>0.15</v>
      </c>
      <c r="E220" s="1844">
        <v>0.15</v>
      </c>
      <c r="F220" s="1845">
        <v>0.15</v>
      </c>
    </row>
    <row r="221" spans="1:6" ht="14.25" thickBot="1">
      <c r="A221" s="1839" t="s">
        <v>1413</v>
      </c>
      <c r="B221" s="1843" t="s">
        <v>1233</v>
      </c>
      <c r="C221" s="1844"/>
      <c r="D221" s="1853"/>
      <c r="E221" s="1853"/>
      <c r="F221" s="1845">
        <v>0.14799999999999999</v>
      </c>
    </row>
    <row r="222" spans="1:6" ht="14.25" thickBot="1">
      <c r="A222" s="1839" t="s">
        <v>1413</v>
      </c>
      <c r="B222" s="1843" t="s">
        <v>1243</v>
      </c>
      <c r="C222" s="1844"/>
      <c r="D222" s="1853"/>
      <c r="E222" s="1853"/>
      <c r="F222" s="1845">
        <v>0.1</v>
      </c>
    </row>
    <row r="223" spans="1:6" ht="14.25" thickBot="1">
      <c r="A223" s="1839" t="s">
        <v>1413</v>
      </c>
      <c r="B223" s="1843" t="s">
        <v>1253</v>
      </c>
      <c r="C223" s="1844"/>
      <c r="D223" s="1853"/>
      <c r="E223" s="1853"/>
      <c r="F223" s="1845">
        <v>0.15</v>
      </c>
    </row>
    <row r="224" spans="1:6" ht="14.25" thickBot="1">
      <c r="A224" s="1839" t="s">
        <v>1413</v>
      </c>
      <c r="B224" s="1843" t="s">
        <v>1263</v>
      </c>
      <c r="C224" s="1844"/>
      <c r="D224" s="1853"/>
      <c r="E224" s="1853"/>
      <c r="F224" s="1845">
        <v>0.15</v>
      </c>
    </row>
    <row r="225" spans="1:6" ht="14.25" thickBot="1">
      <c r="A225" s="1839" t="s">
        <v>1413</v>
      </c>
      <c r="B225" s="1843" t="s">
        <v>2157</v>
      </c>
      <c r="C225" s="1844">
        <v>0.15</v>
      </c>
      <c r="D225" s="1844">
        <v>0.15</v>
      </c>
      <c r="E225" s="1844">
        <v>0.15</v>
      </c>
      <c r="F225" s="1845">
        <v>0.15</v>
      </c>
    </row>
    <row r="226" spans="1:6" ht="14.25" thickBot="1">
      <c r="A226" s="1839" t="s">
        <v>1413</v>
      </c>
      <c r="B226" s="1843" t="s">
        <v>1281</v>
      </c>
      <c r="C226" s="1844">
        <v>0.15</v>
      </c>
      <c r="D226" s="1844">
        <v>0.15</v>
      </c>
      <c r="E226" s="1844">
        <v>0.15</v>
      </c>
      <c r="F226" s="1845">
        <v>0.14799999999999999</v>
      </c>
    </row>
    <row r="227" spans="1:6" ht="14.25" thickBot="1">
      <c r="A227" s="1839" t="s">
        <v>1413</v>
      </c>
      <c r="B227" s="1843" t="s">
        <v>2158</v>
      </c>
      <c r="C227" s="1844">
        <v>0.15</v>
      </c>
      <c r="D227" s="1844">
        <v>0.15</v>
      </c>
      <c r="E227" s="1844">
        <v>0.15</v>
      </c>
      <c r="F227" s="1845">
        <v>0.15</v>
      </c>
    </row>
    <row r="228" spans="1:6" ht="14.25" thickBot="1">
      <c r="A228" s="1839" t="s">
        <v>1413</v>
      </c>
      <c r="B228" s="1843" t="s">
        <v>1296</v>
      </c>
      <c r="C228" s="1844">
        <v>0.15</v>
      </c>
      <c r="D228" s="1844">
        <v>0.15</v>
      </c>
      <c r="E228" s="1844">
        <v>0.15</v>
      </c>
      <c r="F228" s="1845">
        <v>0.15</v>
      </c>
    </row>
    <row r="229" spans="1:6" ht="14.25" thickBot="1">
      <c r="A229" s="1839" t="s">
        <v>1413</v>
      </c>
      <c r="B229" s="1843" t="s">
        <v>1303</v>
      </c>
      <c r="C229" s="1844">
        <v>0.15</v>
      </c>
      <c r="D229" s="1844">
        <v>0.15</v>
      </c>
      <c r="E229" s="1844">
        <v>0.15</v>
      </c>
      <c r="F229" s="1852"/>
    </row>
    <row r="230" spans="1:6" ht="14.25" thickBot="1">
      <c r="A230" s="1839" t="s">
        <v>1413</v>
      </c>
      <c r="B230" s="1843" t="s">
        <v>1310</v>
      </c>
      <c r="C230" s="1844">
        <v>0.14499999999999999</v>
      </c>
      <c r="D230" s="1844">
        <v>0.14499999999999999</v>
      </c>
      <c r="E230" s="1844">
        <v>0.14399999999999999</v>
      </c>
      <c r="F230" s="1852"/>
    </row>
    <row r="231" spans="1:6" ht="14.25" thickBot="1">
      <c r="A231" s="1839" t="s">
        <v>1413</v>
      </c>
      <c r="B231" s="1843" t="s">
        <v>2159</v>
      </c>
      <c r="C231" s="1844">
        <v>0.128</v>
      </c>
      <c r="D231" s="1844">
        <v>0.125</v>
      </c>
      <c r="E231" s="1844">
        <v>0.13200000000000001</v>
      </c>
      <c r="F231" s="1852"/>
    </row>
    <row r="232" spans="1:6" ht="14.25" thickBot="1">
      <c r="A232" s="1839" t="s">
        <v>1413</v>
      </c>
      <c r="B232" s="1843" t="s">
        <v>2160</v>
      </c>
      <c r="C232" s="1844">
        <v>0.14499999999999999</v>
      </c>
      <c r="D232" s="1844">
        <v>0.14399999999999999</v>
      </c>
      <c r="E232" s="1844">
        <v>0.14599999999999999</v>
      </c>
      <c r="F232" s="1845">
        <v>0.13800000000000001</v>
      </c>
    </row>
    <row r="233" spans="1:6" ht="14.25" thickBot="1">
      <c r="A233" s="1839" t="s">
        <v>1413</v>
      </c>
      <c r="B233" s="1843" t="s">
        <v>2161</v>
      </c>
      <c r="C233" s="1844">
        <v>0.14499999999999999</v>
      </c>
      <c r="D233" s="1844">
        <v>0.14299999999999999</v>
      </c>
      <c r="E233" s="1844">
        <v>0.14199999999999999</v>
      </c>
      <c r="F233" s="1852"/>
    </row>
    <row r="234" spans="1:6" ht="14.25" thickBot="1">
      <c r="A234" s="1839" t="s">
        <v>1413</v>
      </c>
      <c r="B234" s="1843" t="s">
        <v>2162</v>
      </c>
      <c r="C234" s="1844">
        <v>0.14000000000000001</v>
      </c>
      <c r="D234" s="1844">
        <v>0.14000000000000001</v>
      </c>
      <c r="E234" s="1844">
        <v>0.14399999999999999</v>
      </c>
      <c r="F234" s="1852"/>
    </row>
    <row r="235" spans="1:6" ht="14.25" thickBot="1">
      <c r="A235" s="1839" t="s">
        <v>1413</v>
      </c>
      <c r="B235" s="1843" t="s">
        <v>2163</v>
      </c>
      <c r="C235" s="1844">
        <v>0.14099999999999999</v>
      </c>
      <c r="D235" s="1844">
        <v>0.14199999999999999</v>
      </c>
      <c r="E235" s="1844">
        <v>0.14499999999999999</v>
      </c>
      <c r="F235" s="1845">
        <v>0.15</v>
      </c>
    </row>
    <row r="236" spans="1:6" ht="14.25" thickBot="1">
      <c r="A236" s="1839" t="s">
        <v>1413</v>
      </c>
      <c r="B236" s="1843" t="s">
        <v>1345</v>
      </c>
      <c r="C236" s="1853"/>
      <c r="D236" s="1853"/>
      <c r="E236" s="1853"/>
      <c r="F236" s="1845">
        <v>0.14299999999999999</v>
      </c>
    </row>
    <row r="237" spans="1:6" ht="24.75" thickBot="1">
      <c r="A237" s="1839" t="s">
        <v>1413</v>
      </c>
      <c r="B237" s="1843" t="s">
        <v>2164</v>
      </c>
      <c r="C237" s="1853"/>
      <c r="D237" s="1853"/>
      <c r="E237" s="1853"/>
      <c r="F237" s="1845">
        <v>0.05</v>
      </c>
    </row>
    <row r="238" spans="1:6" ht="24.75" thickBot="1">
      <c r="A238" s="1839" t="s">
        <v>1413</v>
      </c>
      <c r="B238" s="1843" t="s">
        <v>2165</v>
      </c>
      <c r="C238" s="1853"/>
      <c r="D238" s="1853"/>
      <c r="E238" s="1853"/>
      <c r="F238" s="1845">
        <v>0.05</v>
      </c>
    </row>
    <row r="239" spans="1:6" ht="24.75" thickBot="1">
      <c r="A239" s="1839" t="s">
        <v>1413</v>
      </c>
      <c r="B239" s="1843" t="s">
        <v>2166</v>
      </c>
      <c r="C239" s="1853"/>
      <c r="D239" s="1853"/>
      <c r="E239" s="1853"/>
      <c r="F239" s="1845">
        <v>0.05</v>
      </c>
    </row>
    <row r="240" spans="1:6" ht="24.75" thickBot="1">
      <c r="A240" s="1839" t="s">
        <v>1413</v>
      </c>
      <c r="B240" s="1843" t="s">
        <v>2167</v>
      </c>
      <c r="C240" s="1853"/>
      <c r="D240" s="1853"/>
      <c r="E240" s="1853"/>
      <c r="F240" s="1845">
        <v>0.05</v>
      </c>
    </row>
    <row r="241" spans="1:6" ht="24.75" thickBot="1">
      <c r="A241" s="1839" t="s">
        <v>1413</v>
      </c>
      <c r="B241" s="1843" t="s">
        <v>2168</v>
      </c>
      <c r="C241" s="1853"/>
      <c r="D241" s="1853"/>
      <c r="E241" s="1853"/>
      <c r="F241" s="1845">
        <v>0.05</v>
      </c>
    </row>
    <row r="242" spans="1:6" ht="24.75" thickBot="1">
      <c r="A242" s="1839" t="s">
        <v>1413</v>
      </c>
      <c r="B242" s="1843" t="s">
        <v>2169</v>
      </c>
      <c r="C242" s="1853"/>
      <c r="D242" s="1853"/>
      <c r="E242" s="1853"/>
      <c r="F242" s="1845">
        <v>0.05</v>
      </c>
    </row>
    <row r="243" spans="1:6" ht="24.75" thickBot="1">
      <c r="A243" s="1839" t="s">
        <v>1413</v>
      </c>
      <c r="B243" s="1843" t="s">
        <v>2170</v>
      </c>
      <c r="C243" s="1853"/>
      <c r="D243" s="1853"/>
      <c r="E243" s="1853"/>
      <c r="F243" s="1845">
        <v>0.05</v>
      </c>
    </row>
    <row r="244" spans="1:6" ht="24.75" thickBot="1">
      <c r="A244" s="1847" t="s">
        <v>1413</v>
      </c>
      <c r="B244" s="1854" t="s">
        <v>2171</v>
      </c>
      <c r="C244" s="1850"/>
      <c r="D244" s="1850"/>
      <c r="E244" s="1850"/>
      <c r="F244" s="1855">
        <v>0.05</v>
      </c>
    </row>
    <row r="245" spans="1:6" ht="14.25" thickBot="1">
      <c r="A245" s="1839" t="s">
        <v>1415</v>
      </c>
      <c r="B245" s="1840" t="s">
        <v>2172</v>
      </c>
      <c r="C245" s="1841">
        <v>0.15</v>
      </c>
      <c r="D245" s="1841">
        <v>0.15</v>
      </c>
      <c r="E245" s="1841">
        <v>0.15</v>
      </c>
      <c r="F245" s="1842">
        <v>0.14299999999999999</v>
      </c>
    </row>
    <row r="246" spans="1:6" ht="14.25" thickBot="1">
      <c r="A246" s="1839" t="s">
        <v>1415</v>
      </c>
      <c r="B246" s="1843" t="s">
        <v>1078</v>
      </c>
      <c r="C246" s="1844">
        <v>0.15</v>
      </c>
      <c r="D246" s="1844">
        <v>0.15</v>
      </c>
      <c r="E246" s="1844">
        <v>0.15</v>
      </c>
      <c r="F246" s="1845">
        <v>0.114</v>
      </c>
    </row>
    <row r="247" spans="1:6" ht="14.25" thickBot="1">
      <c r="A247" s="1839" t="s">
        <v>1415</v>
      </c>
      <c r="B247" s="1843" t="s">
        <v>2173</v>
      </c>
      <c r="C247" s="1844">
        <v>0.15</v>
      </c>
      <c r="D247" s="1844">
        <v>0.15</v>
      </c>
      <c r="E247" s="1844">
        <v>0.15</v>
      </c>
      <c r="F247" s="1845">
        <v>0.15</v>
      </c>
    </row>
    <row r="248" spans="1:6" ht="14.25" thickBot="1">
      <c r="A248" s="1839" t="s">
        <v>1415</v>
      </c>
      <c r="B248" s="1843" t="s">
        <v>2174</v>
      </c>
      <c r="C248" s="1844">
        <v>0.15</v>
      </c>
      <c r="D248" s="1844">
        <v>0.15</v>
      </c>
      <c r="E248" s="1844">
        <v>0.15</v>
      </c>
      <c r="F248" s="1845">
        <v>0.14000000000000001</v>
      </c>
    </row>
    <row r="249" spans="1:6" ht="14.25" thickBot="1">
      <c r="A249" s="1839" t="s">
        <v>1415</v>
      </c>
      <c r="B249" s="1843" t="s">
        <v>2175</v>
      </c>
      <c r="C249" s="1844">
        <v>0.15</v>
      </c>
      <c r="D249" s="1844">
        <v>0.14899999999999999</v>
      </c>
      <c r="E249" s="1844">
        <v>0.15</v>
      </c>
      <c r="F249" s="1845">
        <v>0.1</v>
      </c>
    </row>
    <row r="250" spans="1:6" ht="14.25" thickBot="1">
      <c r="A250" s="1839" t="s">
        <v>1415</v>
      </c>
      <c r="B250" s="1843" t="s">
        <v>2176</v>
      </c>
      <c r="C250" s="1844">
        <v>0.15</v>
      </c>
      <c r="D250" s="1844">
        <v>0.15</v>
      </c>
      <c r="E250" s="1844">
        <v>0.15</v>
      </c>
      <c r="F250" s="1845">
        <v>0.14399999999999999</v>
      </c>
    </row>
    <row r="251" spans="1:6" ht="14.25" thickBot="1">
      <c r="A251" s="1839" t="s">
        <v>1415</v>
      </c>
      <c r="B251" s="1843" t="s">
        <v>1141</v>
      </c>
      <c r="C251" s="1844">
        <v>0.15</v>
      </c>
      <c r="D251" s="1844">
        <v>0.15</v>
      </c>
      <c r="E251" s="1844">
        <v>0.15</v>
      </c>
      <c r="F251" s="1845">
        <v>0.14299999999999999</v>
      </c>
    </row>
    <row r="252" spans="1:6" ht="14.25" thickBot="1">
      <c r="A252" s="1839" t="s">
        <v>1415</v>
      </c>
      <c r="B252" s="1843" t="s">
        <v>1152</v>
      </c>
      <c r="C252" s="1844">
        <v>0.15</v>
      </c>
      <c r="D252" s="1844">
        <v>0.15</v>
      </c>
      <c r="E252" s="1844">
        <v>0.15</v>
      </c>
      <c r="F252" s="1845">
        <v>0.1</v>
      </c>
    </row>
    <row r="253" spans="1:6" ht="14.25" thickBot="1">
      <c r="A253" s="1839" t="s">
        <v>1415</v>
      </c>
      <c r="B253" s="1843" t="s">
        <v>1164</v>
      </c>
      <c r="C253" s="1844">
        <v>0.15</v>
      </c>
      <c r="D253" s="1844">
        <v>0.15</v>
      </c>
      <c r="E253" s="1844">
        <v>0.15</v>
      </c>
      <c r="F253" s="1845">
        <v>0.1</v>
      </c>
    </row>
    <row r="254" spans="1:6" ht="14.25" thickBot="1">
      <c r="A254" s="1839" t="s">
        <v>1415</v>
      </c>
      <c r="B254" s="1843" t="s">
        <v>1174</v>
      </c>
      <c r="C254" s="1853"/>
      <c r="D254" s="1853"/>
      <c r="E254" s="1853"/>
      <c r="F254" s="1845">
        <v>0.15</v>
      </c>
    </row>
    <row r="255" spans="1:6" ht="14.25" thickBot="1">
      <c r="A255" s="1839" t="s">
        <v>1415</v>
      </c>
      <c r="B255" s="1843" t="s">
        <v>1184</v>
      </c>
      <c r="C255" s="1853"/>
      <c r="D255" s="1853"/>
      <c r="E255" s="1853"/>
      <c r="F255" s="1845">
        <v>0.14299999999999999</v>
      </c>
    </row>
    <row r="256" spans="1:6" ht="14.25" thickBot="1">
      <c r="A256" s="1839" t="s">
        <v>1415</v>
      </c>
      <c r="B256" s="1843" t="s">
        <v>2177</v>
      </c>
      <c r="C256" s="1844">
        <v>0.14599999999999999</v>
      </c>
      <c r="D256" s="1844">
        <v>0.14699999999999999</v>
      </c>
      <c r="E256" s="1844">
        <v>0.15</v>
      </c>
      <c r="F256" s="1845">
        <v>0.13200000000000001</v>
      </c>
    </row>
    <row r="257" spans="1:6" ht="14.25" thickBot="1">
      <c r="A257" s="1839" t="s">
        <v>1415</v>
      </c>
      <c r="B257" s="1843" t="s">
        <v>1204</v>
      </c>
      <c r="C257" s="1844">
        <v>0.15</v>
      </c>
      <c r="D257" s="1844">
        <v>0.15</v>
      </c>
      <c r="E257" s="1844">
        <v>0.15</v>
      </c>
      <c r="F257" s="1845">
        <v>0.13900000000000001</v>
      </c>
    </row>
    <row r="258" spans="1:6" ht="14.25" thickBot="1">
      <c r="A258" s="1839" t="s">
        <v>1415</v>
      </c>
      <c r="B258" s="1843" t="s">
        <v>1214</v>
      </c>
      <c r="C258" s="1844">
        <v>0.15</v>
      </c>
      <c r="D258" s="1844">
        <v>0.15</v>
      </c>
      <c r="E258" s="1844">
        <v>0.15</v>
      </c>
      <c r="F258" s="1845">
        <v>0.13</v>
      </c>
    </row>
    <row r="259" spans="1:6" ht="14.25" thickBot="1">
      <c r="A259" s="1839" t="s">
        <v>1415</v>
      </c>
      <c r="B259" s="1843" t="s">
        <v>2178</v>
      </c>
      <c r="C259" s="1844">
        <v>0.14799999999999999</v>
      </c>
      <c r="D259" s="1844">
        <v>0.14899999999999999</v>
      </c>
      <c r="E259" s="1844">
        <v>0.15</v>
      </c>
      <c r="F259" s="1845">
        <v>0.13700000000000001</v>
      </c>
    </row>
    <row r="260" spans="1:6" ht="14.25" thickBot="1">
      <c r="A260" s="1839" t="s">
        <v>1415</v>
      </c>
      <c r="B260" s="1843" t="s">
        <v>1234</v>
      </c>
      <c r="C260" s="1844">
        <v>0.15</v>
      </c>
      <c r="D260" s="1844">
        <v>0.15</v>
      </c>
      <c r="E260" s="1844">
        <v>0.15</v>
      </c>
      <c r="F260" s="1845">
        <v>0.14199999999999999</v>
      </c>
    </row>
    <row r="261" spans="1:6" ht="14.25" thickBot="1">
      <c r="A261" s="1839" t="s">
        <v>1415</v>
      </c>
      <c r="B261" s="1843" t="s">
        <v>1244</v>
      </c>
      <c r="C261" s="1844">
        <v>0.15</v>
      </c>
      <c r="D261" s="1844">
        <v>0.15</v>
      </c>
      <c r="E261" s="1844">
        <v>0.14899999999999999</v>
      </c>
      <c r="F261" s="1845">
        <v>0.14799999999999999</v>
      </c>
    </row>
    <row r="262" spans="1:6" ht="14.25" thickBot="1">
      <c r="A262" s="1839" t="s">
        <v>1415</v>
      </c>
      <c r="B262" s="1843" t="s">
        <v>1254</v>
      </c>
      <c r="C262" s="1844">
        <v>0.15</v>
      </c>
      <c r="D262" s="1844">
        <v>0.15</v>
      </c>
      <c r="E262" s="1844">
        <v>0.15</v>
      </c>
      <c r="F262" s="1852"/>
    </row>
    <row r="263" spans="1:6" ht="14.25" thickBot="1">
      <c r="A263" s="1839" t="s">
        <v>1415</v>
      </c>
      <c r="B263" s="1843" t="s">
        <v>2179</v>
      </c>
      <c r="C263" s="1844">
        <v>0.14899999999999999</v>
      </c>
      <c r="D263" s="1844">
        <v>0.14899999999999999</v>
      </c>
      <c r="E263" s="1844">
        <v>0.15</v>
      </c>
      <c r="F263" s="1845">
        <v>0.13</v>
      </c>
    </row>
    <row r="264" spans="1:6" ht="14.25" thickBot="1">
      <c r="A264" s="1839" t="s">
        <v>1415</v>
      </c>
      <c r="B264" s="1843" t="s">
        <v>1273</v>
      </c>
      <c r="C264" s="1844">
        <v>0.14799999999999999</v>
      </c>
      <c r="D264" s="1844">
        <v>0.14699999999999999</v>
      </c>
      <c r="E264" s="1844">
        <v>0.15</v>
      </c>
      <c r="F264" s="1845">
        <v>7.8E-2</v>
      </c>
    </row>
    <row r="265" spans="1:6" ht="14.25" thickBot="1">
      <c r="A265" s="1839" t="s">
        <v>1415</v>
      </c>
      <c r="B265" s="1843" t="s">
        <v>1282</v>
      </c>
      <c r="C265" s="1844">
        <v>0.15</v>
      </c>
      <c r="D265" s="1844">
        <v>0.15</v>
      </c>
      <c r="E265" s="1844">
        <v>0.15</v>
      </c>
      <c r="F265" s="1845">
        <v>7.3999999999999996E-2</v>
      </c>
    </row>
    <row r="266" spans="1:6" ht="14.25" thickBot="1">
      <c r="A266" s="1839" t="s">
        <v>1415</v>
      </c>
      <c r="B266" s="1843" t="s">
        <v>1290</v>
      </c>
      <c r="C266" s="1844">
        <v>0.14699999999999999</v>
      </c>
      <c r="D266" s="1844">
        <v>0.14699999999999999</v>
      </c>
      <c r="E266" s="1844">
        <v>0.15</v>
      </c>
      <c r="F266" s="1845">
        <v>0.14299999999999999</v>
      </c>
    </row>
    <row r="267" spans="1:6" ht="14.25" thickBot="1">
      <c r="A267" s="1839" t="s">
        <v>1415</v>
      </c>
      <c r="B267" s="1843" t="s">
        <v>1297</v>
      </c>
      <c r="C267" s="1844">
        <v>0.14199999999999999</v>
      </c>
      <c r="D267" s="1844">
        <v>0.14299999999999999</v>
      </c>
      <c r="E267" s="1844">
        <v>0.15</v>
      </c>
      <c r="F267" s="1852"/>
    </row>
    <row r="268" spans="1:6" ht="14.25" thickBot="1">
      <c r="A268" s="1839" t="s">
        <v>1415</v>
      </c>
      <c r="B268" s="1843" t="s">
        <v>2180</v>
      </c>
      <c r="C268" s="1844">
        <v>0.15</v>
      </c>
      <c r="D268" s="1844">
        <v>0.15</v>
      </c>
      <c r="E268" s="1844">
        <v>0.15</v>
      </c>
      <c r="F268" s="1845">
        <v>0.13</v>
      </c>
    </row>
    <row r="269" spans="1:6" ht="14.25" thickBot="1">
      <c r="A269" s="1839" t="s">
        <v>1415</v>
      </c>
      <c r="B269" s="1843" t="s">
        <v>1311</v>
      </c>
      <c r="C269" s="1844">
        <v>0.15</v>
      </c>
      <c r="D269" s="1844">
        <v>0.15</v>
      </c>
      <c r="E269" s="1844">
        <v>0.15</v>
      </c>
      <c r="F269" s="1845">
        <v>0.14299999999999999</v>
      </c>
    </row>
    <row r="270" spans="1:6" ht="14.25" thickBot="1">
      <c r="A270" s="1839" t="s">
        <v>1415</v>
      </c>
      <c r="B270" s="1843" t="s">
        <v>1318</v>
      </c>
      <c r="C270" s="1844">
        <v>0.14499999999999999</v>
      </c>
      <c r="D270" s="1844">
        <v>0.14499999999999999</v>
      </c>
      <c r="E270" s="1844">
        <v>0.15</v>
      </c>
      <c r="F270" s="1845">
        <v>0.14699999999999999</v>
      </c>
    </row>
    <row r="271" spans="1:6" ht="14.25" thickBot="1">
      <c r="A271" s="1839" t="s">
        <v>1415</v>
      </c>
      <c r="B271" s="1843" t="s">
        <v>1325</v>
      </c>
      <c r="C271" s="1844">
        <v>0.15</v>
      </c>
      <c r="D271" s="1844">
        <v>0.15</v>
      </c>
      <c r="E271" s="1844">
        <v>0.15</v>
      </c>
      <c r="F271" s="1845">
        <v>0.13800000000000001</v>
      </c>
    </row>
    <row r="272" spans="1:6" ht="14.25" thickBot="1">
      <c r="A272" s="1839" t="s">
        <v>1415</v>
      </c>
      <c r="B272" s="1843" t="s">
        <v>1332</v>
      </c>
      <c r="C272" s="1853"/>
      <c r="D272" s="1853"/>
      <c r="E272" s="1853"/>
      <c r="F272" s="1845">
        <v>0.14000000000000001</v>
      </c>
    </row>
    <row r="273" spans="1:6" ht="14.25" thickBot="1">
      <c r="A273" s="1839" t="s">
        <v>1415</v>
      </c>
      <c r="B273" s="1843" t="s">
        <v>2181</v>
      </c>
      <c r="C273" s="1844">
        <v>0.14199999999999999</v>
      </c>
      <c r="D273" s="1844">
        <v>0.14299999999999999</v>
      </c>
      <c r="E273" s="1844">
        <v>0.15</v>
      </c>
      <c r="F273" s="1845">
        <v>0.1</v>
      </c>
    </row>
    <row r="274" spans="1:6" ht="14.25" thickBot="1">
      <c r="A274" s="1839" t="s">
        <v>1415</v>
      </c>
      <c r="B274" s="1843" t="s">
        <v>2182</v>
      </c>
      <c r="C274" s="1844">
        <v>0.14799999999999999</v>
      </c>
      <c r="D274" s="1844">
        <v>0.14799999999999999</v>
      </c>
      <c r="E274" s="1844">
        <v>0.15</v>
      </c>
      <c r="F274" s="1845">
        <v>6.7000000000000004E-2</v>
      </c>
    </row>
    <row r="275" spans="1:6" ht="14.25" thickBot="1">
      <c r="A275" s="1839" t="s">
        <v>1415</v>
      </c>
      <c r="B275" s="1843" t="s">
        <v>2183</v>
      </c>
      <c r="C275" s="1844">
        <v>0.15</v>
      </c>
      <c r="D275" s="1844">
        <v>0.15</v>
      </c>
      <c r="E275" s="1844">
        <v>0.15</v>
      </c>
      <c r="F275" s="1845">
        <v>0.15</v>
      </c>
    </row>
    <row r="276" spans="1:6" ht="14.25" thickBot="1">
      <c r="A276" s="1839" t="s">
        <v>1415</v>
      </c>
      <c r="B276" s="1843" t="s">
        <v>2184</v>
      </c>
      <c r="C276" s="1844">
        <v>0.14499999999999999</v>
      </c>
      <c r="D276" s="1844">
        <v>0.14299999999999999</v>
      </c>
      <c r="E276" s="1844">
        <v>0.15</v>
      </c>
      <c r="F276" s="1845">
        <v>5.8999999999999997E-2</v>
      </c>
    </row>
    <row r="277" spans="1:6" ht="14.25" thickBot="1">
      <c r="A277" s="1839" t="s">
        <v>1415</v>
      </c>
      <c r="B277" s="1843" t="s">
        <v>2185</v>
      </c>
      <c r="C277" s="1844">
        <v>0.15</v>
      </c>
      <c r="D277" s="1844">
        <v>0.15</v>
      </c>
      <c r="E277" s="1844">
        <v>0.15</v>
      </c>
      <c r="F277" s="1845">
        <v>0.121</v>
      </c>
    </row>
    <row r="278" spans="1:6" ht="14.25" thickBot="1">
      <c r="A278" s="1839" t="s">
        <v>1415</v>
      </c>
      <c r="B278" s="1843" t="s">
        <v>2186</v>
      </c>
      <c r="C278" s="1844">
        <v>0.15</v>
      </c>
      <c r="D278" s="1844">
        <v>0.15</v>
      </c>
      <c r="E278" s="1844">
        <v>0.15</v>
      </c>
      <c r="F278" s="1845">
        <v>0.13800000000000001</v>
      </c>
    </row>
    <row r="279" spans="1:6" ht="24.75" thickBot="1">
      <c r="A279" s="1839" t="s">
        <v>1415</v>
      </c>
      <c r="B279" s="1843" t="s">
        <v>2187</v>
      </c>
      <c r="C279" s="1853"/>
      <c r="D279" s="1853"/>
      <c r="E279" s="1853"/>
      <c r="F279" s="1845">
        <v>0.05</v>
      </c>
    </row>
    <row r="280" spans="1:6" ht="24.75" thickBot="1">
      <c r="A280" s="1839" t="s">
        <v>1415</v>
      </c>
      <c r="B280" s="1843" t="s">
        <v>2188</v>
      </c>
      <c r="C280" s="1853"/>
      <c r="D280" s="1853"/>
      <c r="E280" s="1853"/>
      <c r="F280" s="1845">
        <v>0.05</v>
      </c>
    </row>
    <row r="281" spans="1:6" ht="24.75" thickBot="1">
      <c r="A281" s="1839" t="s">
        <v>1415</v>
      </c>
      <c r="B281" s="1843" t="s">
        <v>2189</v>
      </c>
      <c r="C281" s="1853"/>
      <c r="D281" s="1853"/>
      <c r="E281" s="1853"/>
      <c r="F281" s="1845">
        <v>0.05</v>
      </c>
    </row>
    <row r="282" spans="1:6" ht="24.75" thickBot="1">
      <c r="A282" s="1839" t="s">
        <v>1415</v>
      </c>
      <c r="B282" s="1843" t="s">
        <v>2190</v>
      </c>
      <c r="C282" s="1853"/>
      <c r="D282" s="1853"/>
      <c r="E282" s="1853"/>
      <c r="F282" s="1845">
        <v>0.05</v>
      </c>
    </row>
    <row r="283" spans="1:6" ht="24.75" thickBot="1">
      <c r="A283" s="1839" t="s">
        <v>1415</v>
      </c>
      <c r="B283" s="1843" t="s">
        <v>2191</v>
      </c>
      <c r="C283" s="1853"/>
      <c r="D283" s="1853"/>
      <c r="E283" s="1853"/>
      <c r="F283" s="1845">
        <v>0.05</v>
      </c>
    </row>
    <row r="284" spans="1:6" ht="24.75" thickBot="1">
      <c r="A284" s="1839" t="s">
        <v>1415</v>
      </c>
      <c r="B284" s="1843" t="s">
        <v>2192</v>
      </c>
      <c r="C284" s="1853"/>
      <c r="D284" s="1853"/>
      <c r="E284" s="1853"/>
      <c r="F284" s="1845">
        <v>0.05</v>
      </c>
    </row>
    <row r="285" spans="1:6" ht="24.75" thickBot="1">
      <c r="A285" s="1839" t="s">
        <v>1415</v>
      </c>
      <c r="B285" s="1843" t="s">
        <v>2193</v>
      </c>
      <c r="C285" s="1853"/>
      <c r="D285" s="1853"/>
      <c r="E285" s="1853"/>
      <c r="F285" s="1845">
        <v>0.05</v>
      </c>
    </row>
    <row r="286" spans="1:6" ht="24.75" thickBot="1">
      <c r="A286" s="1839" t="s">
        <v>1415</v>
      </c>
      <c r="B286" s="1843" t="s">
        <v>2194</v>
      </c>
      <c r="C286" s="1853"/>
      <c r="D286" s="1853"/>
      <c r="E286" s="1853"/>
      <c r="F286" s="1845">
        <v>0.05</v>
      </c>
    </row>
    <row r="287" spans="1:6" ht="24.75" thickBot="1">
      <c r="A287" s="1839" t="s">
        <v>1415</v>
      </c>
      <c r="B287" s="1843" t="s">
        <v>2195</v>
      </c>
      <c r="C287" s="1853"/>
      <c r="D287" s="1853"/>
      <c r="E287" s="1853"/>
      <c r="F287" s="1845">
        <v>0.05</v>
      </c>
    </row>
    <row r="288" spans="1:6" ht="24.75" thickBot="1">
      <c r="A288" s="1839" t="s">
        <v>1415</v>
      </c>
      <c r="B288" s="1843" t="s">
        <v>2196</v>
      </c>
      <c r="C288" s="1853"/>
      <c r="D288" s="1853"/>
      <c r="E288" s="1853"/>
      <c r="F288" s="1845">
        <v>0.05</v>
      </c>
    </row>
    <row r="289" spans="1:6" ht="24.75" thickBot="1">
      <c r="A289" s="1847" t="s">
        <v>1415</v>
      </c>
      <c r="B289" s="1854" t="s">
        <v>2197</v>
      </c>
      <c r="C289" s="1850"/>
      <c r="D289" s="1850"/>
      <c r="E289" s="1850"/>
      <c r="F289" s="1855">
        <v>0.05</v>
      </c>
    </row>
    <row r="290" spans="1:6" ht="14.25" thickBot="1">
      <c r="A290" s="1839" t="s">
        <v>1419</v>
      </c>
      <c r="B290" s="1840" t="s">
        <v>2198</v>
      </c>
      <c r="C290" s="1841">
        <v>0.15</v>
      </c>
      <c r="D290" s="1841">
        <v>0.15</v>
      </c>
      <c r="E290" s="1841">
        <v>0.15</v>
      </c>
      <c r="F290" s="1863"/>
    </row>
    <row r="291" spans="1:6" ht="14.25" thickBot="1">
      <c r="A291" s="1839" t="s">
        <v>1419</v>
      </c>
      <c r="B291" s="1843" t="s">
        <v>1079</v>
      </c>
      <c r="C291" s="1844">
        <v>0.15</v>
      </c>
      <c r="D291" s="1844">
        <v>0.15</v>
      </c>
      <c r="E291" s="1844">
        <v>0.15</v>
      </c>
      <c r="F291" s="1852"/>
    </row>
    <row r="292" spans="1:6" ht="14.25" thickBot="1">
      <c r="A292" s="1839" t="s">
        <v>1419</v>
      </c>
      <c r="B292" s="1843" t="s">
        <v>2199</v>
      </c>
      <c r="C292" s="1844">
        <v>0.15</v>
      </c>
      <c r="D292" s="1844">
        <v>0.15</v>
      </c>
      <c r="E292" s="1844">
        <v>0.15</v>
      </c>
      <c r="F292" s="1845">
        <v>0.14699999999999999</v>
      </c>
    </row>
    <row r="293" spans="1:6" ht="14.25" thickBot="1">
      <c r="A293" s="1839" t="s">
        <v>1419</v>
      </c>
      <c r="B293" s="1843" t="s">
        <v>2200</v>
      </c>
      <c r="C293" s="1853"/>
      <c r="D293" s="1853"/>
      <c r="E293" s="1853"/>
      <c r="F293" s="1845">
        <v>0.1</v>
      </c>
    </row>
    <row r="294" spans="1:6" ht="14.25" thickBot="1">
      <c r="A294" s="1839" t="s">
        <v>1419</v>
      </c>
      <c r="B294" s="1843" t="s">
        <v>2201</v>
      </c>
      <c r="C294" s="1844">
        <v>0.15</v>
      </c>
      <c r="D294" s="1844">
        <v>0.15</v>
      </c>
      <c r="E294" s="1844">
        <v>0.15</v>
      </c>
      <c r="F294" s="1845">
        <v>0.15</v>
      </c>
    </row>
    <row r="295" spans="1:6" ht="14.25" thickBot="1">
      <c r="A295" s="1839" t="s">
        <v>1419</v>
      </c>
      <c r="B295" s="1843" t="s">
        <v>1120</v>
      </c>
      <c r="C295" s="1844">
        <v>0.15</v>
      </c>
      <c r="D295" s="1844">
        <v>0.15</v>
      </c>
      <c r="E295" s="1844">
        <v>0.15</v>
      </c>
      <c r="F295" s="1845">
        <v>0.15</v>
      </c>
    </row>
    <row r="296" spans="1:6" ht="14.25" thickBot="1">
      <c r="A296" s="1839" t="s">
        <v>1419</v>
      </c>
      <c r="B296" s="1843" t="s">
        <v>2202</v>
      </c>
      <c r="C296" s="1844">
        <v>0.15</v>
      </c>
      <c r="D296" s="1844">
        <v>0.15</v>
      </c>
      <c r="E296" s="1844">
        <v>0.15</v>
      </c>
      <c r="F296" s="1845">
        <v>0.15</v>
      </c>
    </row>
    <row r="297" spans="1:6" ht="14.25" thickBot="1">
      <c r="A297" s="1839" t="s">
        <v>1419</v>
      </c>
      <c r="B297" s="1843" t="s">
        <v>2203</v>
      </c>
      <c r="C297" s="1844">
        <v>0.14799999999999999</v>
      </c>
      <c r="D297" s="1844">
        <v>0.14899999999999999</v>
      </c>
      <c r="E297" s="1844">
        <v>0.15</v>
      </c>
      <c r="F297" s="1845">
        <v>0.13700000000000001</v>
      </c>
    </row>
    <row r="298" spans="1:6" ht="14.25" thickBot="1">
      <c r="A298" s="1839" t="s">
        <v>1419</v>
      </c>
      <c r="B298" s="1843" t="s">
        <v>1153</v>
      </c>
      <c r="C298" s="1844">
        <v>0.13400000000000001</v>
      </c>
      <c r="D298" s="1844">
        <v>0.13400000000000001</v>
      </c>
      <c r="E298" s="1844">
        <v>0.14499999999999999</v>
      </c>
      <c r="F298" s="1845">
        <v>0.14799999999999999</v>
      </c>
    </row>
    <row r="299" spans="1:6" ht="14.25" thickBot="1">
      <c r="A299" s="1839" t="s">
        <v>1419</v>
      </c>
      <c r="B299" s="1843" t="s">
        <v>1165</v>
      </c>
      <c r="C299" s="1844">
        <v>0.15</v>
      </c>
      <c r="D299" s="1844">
        <v>0.15</v>
      </c>
      <c r="E299" s="1844">
        <v>0.15</v>
      </c>
      <c r="F299" s="1852"/>
    </row>
    <row r="300" spans="1:6" ht="14.25" thickBot="1">
      <c r="A300" s="1839" t="s">
        <v>1419</v>
      </c>
      <c r="B300" s="1843" t="s">
        <v>2204</v>
      </c>
      <c r="C300" s="1844">
        <v>0.15</v>
      </c>
      <c r="D300" s="1844">
        <v>0.15</v>
      </c>
      <c r="E300" s="1844">
        <v>0.15</v>
      </c>
      <c r="F300" s="1845">
        <v>0.15</v>
      </c>
    </row>
    <row r="301" spans="1:6" ht="14.25" thickBot="1">
      <c r="A301" s="1839" t="s">
        <v>1419</v>
      </c>
      <c r="B301" s="1843" t="s">
        <v>1185</v>
      </c>
      <c r="C301" s="1844">
        <v>0.15</v>
      </c>
      <c r="D301" s="1844">
        <v>0.15</v>
      </c>
      <c r="E301" s="1844">
        <v>0.15</v>
      </c>
      <c r="F301" s="1852"/>
    </row>
    <row r="302" spans="1:6" ht="14.25" thickBot="1">
      <c r="A302" s="1839" t="s">
        <v>1419</v>
      </c>
      <c r="B302" s="1843" t="s">
        <v>2205</v>
      </c>
      <c r="C302" s="1844">
        <v>0.15</v>
      </c>
      <c r="D302" s="1844">
        <v>0.15</v>
      </c>
      <c r="E302" s="1844">
        <v>0.15</v>
      </c>
      <c r="F302" s="1845">
        <v>0.15</v>
      </c>
    </row>
    <row r="303" spans="1:6" ht="14.25" thickBot="1">
      <c r="A303" s="1839" t="s">
        <v>1419</v>
      </c>
      <c r="B303" s="1843" t="s">
        <v>1205</v>
      </c>
      <c r="C303" s="1844">
        <v>0.15</v>
      </c>
      <c r="D303" s="1844">
        <v>0.15</v>
      </c>
      <c r="E303" s="1844">
        <v>0.15</v>
      </c>
      <c r="F303" s="1845">
        <v>0.15</v>
      </c>
    </row>
    <row r="304" spans="1:6" ht="14.25" thickBot="1">
      <c r="A304" s="1839" t="s">
        <v>1419</v>
      </c>
      <c r="B304" s="1843" t="s">
        <v>1215</v>
      </c>
      <c r="C304" s="1844">
        <v>0.15</v>
      </c>
      <c r="D304" s="1844">
        <v>0.15</v>
      </c>
      <c r="E304" s="1844">
        <v>0.15</v>
      </c>
      <c r="F304" s="1852"/>
    </row>
    <row r="305" spans="1:6" ht="14.25" thickBot="1">
      <c r="A305" s="1839" t="s">
        <v>1419</v>
      </c>
      <c r="B305" s="1843" t="s">
        <v>2206</v>
      </c>
      <c r="C305" s="1844">
        <v>0.15</v>
      </c>
      <c r="D305" s="1844">
        <v>0.15</v>
      </c>
      <c r="E305" s="1844">
        <v>0.15</v>
      </c>
      <c r="F305" s="1845">
        <v>0.14000000000000001</v>
      </c>
    </row>
    <row r="306" spans="1:6" ht="14.25" thickBot="1">
      <c r="A306" s="1839" t="s">
        <v>1419</v>
      </c>
      <c r="B306" s="1843" t="s">
        <v>1235</v>
      </c>
      <c r="C306" s="1844">
        <v>0.15</v>
      </c>
      <c r="D306" s="1844">
        <v>0.15</v>
      </c>
      <c r="E306" s="1844">
        <v>0.15</v>
      </c>
      <c r="F306" s="1852"/>
    </row>
    <row r="307" spans="1:6" ht="14.25" thickBot="1">
      <c r="A307" s="1839" t="s">
        <v>1419</v>
      </c>
      <c r="B307" s="1843" t="s">
        <v>2207</v>
      </c>
      <c r="C307" s="1844">
        <v>0.15</v>
      </c>
      <c r="D307" s="1844">
        <v>0.15</v>
      </c>
      <c r="E307" s="1844">
        <v>0.15</v>
      </c>
      <c r="F307" s="1845">
        <v>0.14299999999999999</v>
      </c>
    </row>
    <row r="308" spans="1:6" ht="14.25" thickBot="1">
      <c r="A308" s="1839" t="s">
        <v>1419</v>
      </c>
      <c r="B308" s="1843" t="s">
        <v>1255</v>
      </c>
      <c r="C308" s="1844">
        <v>0.15</v>
      </c>
      <c r="D308" s="1844">
        <v>0.15</v>
      </c>
      <c r="E308" s="1844">
        <v>0.15</v>
      </c>
      <c r="F308" s="1845">
        <v>0.15</v>
      </c>
    </row>
    <row r="309" spans="1:6" ht="14.25" thickBot="1">
      <c r="A309" s="1839" t="s">
        <v>1419</v>
      </c>
      <c r="B309" s="1843" t="s">
        <v>1265</v>
      </c>
      <c r="C309" s="1844">
        <v>0.15</v>
      </c>
      <c r="D309" s="1844">
        <v>0.15</v>
      </c>
      <c r="E309" s="1844">
        <v>0.15</v>
      </c>
      <c r="F309" s="1852"/>
    </row>
    <row r="310" spans="1:6" ht="14.25" thickBot="1">
      <c r="A310" s="1839" t="s">
        <v>1419</v>
      </c>
      <c r="B310" s="1843" t="s">
        <v>2208</v>
      </c>
      <c r="C310" s="1844">
        <v>0.15</v>
      </c>
      <c r="D310" s="1844">
        <v>0.15</v>
      </c>
      <c r="E310" s="1844">
        <v>0.15</v>
      </c>
      <c r="F310" s="1845">
        <v>0.13700000000000001</v>
      </c>
    </row>
    <row r="311" spans="1:6" ht="14.25" thickBot="1">
      <c r="A311" s="1839" t="s">
        <v>1419</v>
      </c>
      <c r="B311" s="1843" t="s">
        <v>2209</v>
      </c>
      <c r="C311" s="1844">
        <v>0.15</v>
      </c>
      <c r="D311" s="1844">
        <v>0.15</v>
      </c>
      <c r="E311" s="1844">
        <v>0.15</v>
      </c>
      <c r="F311" s="1845">
        <v>0.15</v>
      </c>
    </row>
    <row r="312" spans="1:6" ht="14.25" thickBot="1">
      <c r="A312" s="1839" t="s">
        <v>1419</v>
      </c>
      <c r="B312" s="1843" t="s">
        <v>1291</v>
      </c>
      <c r="C312" s="1844">
        <v>0.15</v>
      </c>
      <c r="D312" s="1844">
        <v>0.15</v>
      </c>
      <c r="E312" s="1844">
        <v>0.15</v>
      </c>
      <c r="F312" s="1845">
        <v>0.1</v>
      </c>
    </row>
    <row r="313" spans="1:6" ht="14.25" thickBot="1">
      <c r="A313" s="1839" t="s">
        <v>1419</v>
      </c>
      <c r="B313" s="1843" t="s">
        <v>2210</v>
      </c>
      <c r="C313" s="1844">
        <v>0.15</v>
      </c>
      <c r="D313" s="1844">
        <v>0.15</v>
      </c>
      <c r="E313" s="1844">
        <v>0.15</v>
      </c>
      <c r="F313" s="1845">
        <v>0.15</v>
      </c>
    </row>
    <row r="314" spans="1:6" ht="24.75" thickBot="1">
      <c r="A314" s="1839" t="s">
        <v>1419</v>
      </c>
      <c r="B314" s="1843" t="s">
        <v>2211</v>
      </c>
      <c r="C314" s="1853"/>
      <c r="D314" s="1853"/>
      <c r="E314" s="1853"/>
      <c r="F314" s="1845">
        <v>0.05</v>
      </c>
    </row>
    <row r="315" spans="1:6" ht="24.75" thickBot="1">
      <c r="A315" s="1839" t="s">
        <v>1419</v>
      </c>
      <c r="B315" s="1843" t="s">
        <v>2212</v>
      </c>
      <c r="C315" s="1853"/>
      <c r="D315" s="1853"/>
      <c r="E315" s="1853"/>
      <c r="F315" s="1845">
        <v>0.05</v>
      </c>
    </row>
    <row r="316" spans="1:6" ht="24.75" thickBot="1">
      <c r="A316" s="1847" t="s">
        <v>1419</v>
      </c>
      <c r="B316" s="1854" t="s">
        <v>2213</v>
      </c>
      <c r="C316" s="1850"/>
      <c r="D316" s="1850"/>
      <c r="E316" s="1850"/>
      <c r="F316" s="1855">
        <v>0.05</v>
      </c>
    </row>
    <row r="317" spans="1:6" ht="14.25" thickBot="1">
      <c r="A317" s="1839" t="s">
        <v>2214</v>
      </c>
      <c r="B317" s="1840" t="s">
        <v>2215</v>
      </c>
      <c r="C317" s="1841">
        <v>0.15</v>
      </c>
      <c r="D317" s="1841">
        <v>0.15</v>
      </c>
      <c r="E317" s="1841">
        <v>0.15</v>
      </c>
      <c r="F317" s="1842">
        <v>0.15</v>
      </c>
    </row>
    <row r="318" spans="1:6" ht="14.25" thickBot="1">
      <c r="A318" s="1839" t="s">
        <v>2214</v>
      </c>
      <c r="B318" s="1843" t="s">
        <v>2216</v>
      </c>
      <c r="C318" s="1844">
        <v>0.107</v>
      </c>
      <c r="D318" s="1844">
        <v>0.11</v>
      </c>
      <c r="E318" s="1844">
        <v>0.112</v>
      </c>
      <c r="F318" s="1852"/>
    </row>
    <row r="319" spans="1:6" ht="14.25" thickBot="1">
      <c r="A319" s="1839" t="s">
        <v>2214</v>
      </c>
      <c r="B319" s="1843" t="s">
        <v>2217</v>
      </c>
      <c r="C319" s="1844">
        <v>0.15</v>
      </c>
      <c r="D319" s="1844">
        <v>0.15</v>
      </c>
      <c r="E319" s="1844">
        <v>0.15</v>
      </c>
      <c r="F319" s="1845">
        <v>0.15</v>
      </c>
    </row>
    <row r="320" spans="1:6" ht="14.25" thickBot="1">
      <c r="A320" s="1839" t="s">
        <v>2214</v>
      </c>
      <c r="B320" s="1843" t="s">
        <v>1107</v>
      </c>
      <c r="C320" s="1844">
        <v>0.15</v>
      </c>
      <c r="D320" s="1844">
        <v>0.15</v>
      </c>
      <c r="E320" s="1844">
        <v>0.15</v>
      </c>
      <c r="F320" s="1852"/>
    </row>
    <row r="321" spans="1:6" ht="14.25" thickBot="1">
      <c r="A321" s="1839" t="s">
        <v>2214</v>
      </c>
      <c r="B321" s="1843" t="s">
        <v>2218</v>
      </c>
      <c r="C321" s="1844">
        <v>0.15</v>
      </c>
      <c r="D321" s="1844">
        <v>0.15</v>
      </c>
      <c r="E321" s="1844">
        <v>0.15</v>
      </c>
      <c r="F321" s="1852"/>
    </row>
    <row r="322" spans="1:6" ht="14.25" thickBot="1">
      <c r="A322" s="1839" t="s">
        <v>2214</v>
      </c>
      <c r="B322" s="1843" t="s">
        <v>2219</v>
      </c>
      <c r="C322" s="1844">
        <v>0.15</v>
      </c>
      <c r="D322" s="1844">
        <v>0.15</v>
      </c>
      <c r="E322" s="1844">
        <v>0.15</v>
      </c>
      <c r="F322" s="1845">
        <v>0.15</v>
      </c>
    </row>
    <row r="323" spans="1:6" ht="14.25" thickBot="1">
      <c r="A323" s="1839" t="s">
        <v>2214</v>
      </c>
      <c r="B323" s="1843" t="s">
        <v>2220</v>
      </c>
      <c r="C323" s="1844">
        <v>0.15</v>
      </c>
      <c r="D323" s="1844">
        <v>0.15</v>
      </c>
      <c r="E323" s="1844">
        <v>0.15</v>
      </c>
      <c r="F323" s="1852"/>
    </row>
    <row r="324" spans="1:6" ht="14.25" thickBot="1">
      <c r="A324" s="1839" t="s">
        <v>2214</v>
      </c>
      <c r="B324" s="1843" t="s">
        <v>2221</v>
      </c>
      <c r="C324" s="1844">
        <v>0.15</v>
      </c>
      <c r="D324" s="1844">
        <v>0.15</v>
      </c>
      <c r="E324" s="1844">
        <v>0.15</v>
      </c>
      <c r="F324" s="1852"/>
    </row>
    <row r="325" spans="1:6" ht="14.25" thickBot="1">
      <c r="A325" s="1839" t="s">
        <v>2214</v>
      </c>
      <c r="B325" s="1843" t="s">
        <v>2222</v>
      </c>
      <c r="C325" s="1844">
        <v>0.15</v>
      </c>
      <c r="D325" s="1844">
        <v>0.15</v>
      </c>
      <c r="E325" s="1844">
        <v>0.15</v>
      </c>
      <c r="F325" s="1845">
        <v>0.14699999999999999</v>
      </c>
    </row>
    <row r="326" spans="1:6" ht="14.25" thickBot="1">
      <c r="A326" s="1839" t="s">
        <v>2214</v>
      </c>
      <c r="B326" s="1843" t="s">
        <v>1176</v>
      </c>
      <c r="C326" s="1844">
        <v>0.15</v>
      </c>
      <c r="D326" s="1844">
        <v>0.15</v>
      </c>
      <c r="E326" s="1844">
        <v>0.15</v>
      </c>
      <c r="F326" s="1852"/>
    </row>
    <row r="327" spans="1:6" ht="14.25" thickBot="1">
      <c r="A327" s="1839" t="s">
        <v>2214</v>
      </c>
      <c r="B327" s="1843" t="s">
        <v>2223</v>
      </c>
      <c r="C327" s="1844">
        <v>0.15</v>
      </c>
      <c r="D327" s="1844">
        <v>0.15</v>
      </c>
      <c r="E327" s="1844">
        <v>0.15</v>
      </c>
      <c r="F327" s="1845">
        <v>0.15</v>
      </c>
    </row>
    <row r="328" spans="1:6" ht="14.25" thickBot="1">
      <c r="A328" s="1839" t="s">
        <v>2214</v>
      </c>
      <c r="B328" s="1843" t="s">
        <v>1196</v>
      </c>
      <c r="C328" s="1844">
        <v>0.15</v>
      </c>
      <c r="D328" s="1844">
        <v>0.15</v>
      </c>
      <c r="E328" s="1844">
        <v>0.15</v>
      </c>
      <c r="F328" s="1845">
        <v>0.14099999999999999</v>
      </c>
    </row>
    <row r="329" spans="1:6" ht="14.25" thickBot="1">
      <c r="A329" s="1839" t="s">
        <v>2214</v>
      </c>
      <c r="B329" s="1843" t="s">
        <v>1206</v>
      </c>
      <c r="C329" s="1844">
        <v>0.15</v>
      </c>
      <c r="D329" s="1844">
        <v>0.15</v>
      </c>
      <c r="E329" s="1844">
        <v>0.15</v>
      </c>
      <c r="F329" s="1845">
        <v>0.15</v>
      </c>
    </row>
    <row r="330" spans="1:6" ht="14.25" thickBot="1">
      <c r="A330" s="1839" t="s">
        <v>2214</v>
      </c>
      <c r="B330" s="1843" t="s">
        <v>1216</v>
      </c>
      <c r="C330" s="1844">
        <v>0.15</v>
      </c>
      <c r="D330" s="1844">
        <v>0.15</v>
      </c>
      <c r="E330" s="1844">
        <v>0.15</v>
      </c>
      <c r="F330" s="1852"/>
    </row>
    <row r="331" spans="1:6" ht="14.25" thickBot="1">
      <c r="A331" s="1839" t="s">
        <v>2214</v>
      </c>
      <c r="B331" s="1843" t="s">
        <v>2224</v>
      </c>
      <c r="C331" s="1844">
        <v>0.15</v>
      </c>
      <c r="D331" s="1844">
        <v>0.15</v>
      </c>
      <c r="E331" s="1844">
        <v>0.15</v>
      </c>
      <c r="F331" s="1845">
        <v>0.15</v>
      </c>
    </row>
    <row r="332" spans="1:6" ht="14.25" thickBot="1">
      <c r="A332" s="1839" t="s">
        <v>2214</v>
      </c>
      <c r="B332" s="1843" t="s">
        <v>1236</v>
      </c>
      <c r="C332" s="1844">
        <v>0.15</v>
      </c>
      <c r="D332" s="1844">
        <v>0.15</v>
      </c>
      <c r="E332" s="1844">
        <v>0.15</v>
      </c>
      <c r="F332" s="1845">
        <v>0.15</v>
      </c>
    </row>
    <row r="333" spans="1:6" ht="14.25" thickBot="1">
      <c r="A333" s="1839" t="s">
        <v>2214</v>
      </c>
      <c r="B333" s="1843" t="s">
        <v>2225</v>
      </c>
      <c r="C333" s="1844">
        <v>0.15</v>
      </c>
      <c r="D333" s="1844">
        <v>0.15</v>
      </c>
      <c r="E333" s="1844">
        <v>0.15</v>
      </c>
      <c r="F333" s="1845">
        <v>0.14099999999999999</v>
      </c>
    </row>
    <row r="334" spans="1:6" ht="14.25" thickBot="1">
      <c r="A334" s="1839" t="s">
        <v>2214</v>
      </c>
      <c r="B334" s="1843" t="s">
        <v>1256</v>
      </c>
      <c r="C334" s="1844">
        <v>0.15</v>
      </c>
      <c r="D334" s="1844">
        <v>0.15</v>
      </c>
      <c r="E334" s="1844">
        <v>0.15</v>
      </c>
      <c r="F334" s="1845">
        <v>0.15</v>
      </c>
    </row>
    <row r="335" spans="1:6" ht="14.25" thickBot="1">
      <c r="A335" s="1839" t="s">
        <v>2214</v>
      </c>
      <c r="B335" s="1843" t="s">
        <v>1266</v>
      </c>
      <c r="C335" s="1844">
        <v>0.15</v>
      </c>
      <c r="D335" s="1844">
        <v>0.15</v>
      </c>
      <c r="E335" s="1844">
        <v>0.15</v>
      </c>
      <c r="F335" s="1852"/>
    </row>
    <row r="336" spans="1:6" ht="14.25" thickBot="1">
      <c r="A336" s="1839" t="s">
        <v>2214</v>
      </c>
      <c r="B336" s="1843" t="s">
        <v>2226</v>
      </c>
      <c r="C336" s="1844">
        <v>0.15</v>
      </c>
      <c r="D336" s="1844">
        <v>0.15</v>
      </c>
      <c r="E336" s="1844">
        <v>0.15</v>
      </c>
      <c r="F336" s="1845">
        <v>0.11799999999999999</v>
      </c>
    </row>
    <row r="337" spans="1:6" ht="14.25" thickBot="1">
      <c r="A337" s="1847" t="s">
        <v>2214</v>
      </c>
      <c r="B337" s="1854" t="s">
        <v>1284</v>
      </c>
      <c r="C337" s="1850"/>
      <c r="D337" s="1850"/>
      <c r="E337" s="1850"/>
      <c r="F337" s="1855">
        <v>0.14299999999999999</v>
      </c>
    </row>
    <row r="338" spans="1:6" ht="14.25" thickBot="1">
      <c r="A338" s="1839" t="s">
        <v>2227</v>
      </c>
      <c r="B338" s="1840" t="s">
        <v>2228</v>
      </c>
      <c r="C338" s="1841">
        <v>0.15</v>
      </c>
      <c r="D338" s="1841">
        <v>0.15</v>
      </c>
      <c r="E338" s="1841">
        <v>0.15</v>
      </c>
      <c r="F338" s="1863"/>
    </row>
    <row r="339" spans="1:6" ht="14.25" thickBot="1">
      <c r="A339" s="1839" t="s">
        <v>2227</v>
      </c>
      <c r="B339" s="1843" t="s">
        <v>2229</v>
      </c>
      <c r="C339" s="1844">
        <v>0.15</v>
      </c>
      <c r="D339" s="1844">
        <v>0.15</v>
      </c>
      <c r="E339" s="1844">
        <v>0.15</v>
      </c>
      <c r="F339" s="1852"/>
    </row>
    <row r="340" spans="1:6" ht="14.25" thickBot="1">
      <c r="A340" s="1839" t="s">
        <v>2227</v>
      </c>
      <c r="B340" s="1843" t="s">
        <v>2230</v>
      </c>
      <c r="C340" s="1844">
        <v>0.15</v>
      </c>
      <c r="D340" s="1844">
        <v>0.15</v>
      </c>
      <c r="E340" s="1844">
        <v>0.15</v>
      </c>
      <c r="F340" s="1852"/>
    </row>
    <row r="341" spans="1:6" ht="14.25" thickBot="1">
      <c r="A341" s="1839" t="s">
        <v>2231</v>
      </c>
      <c r="B341" s="1843" t="s">
        <v>2232</v>
      </c>
      <c r="C341" s="1844">
        <v>0.15</v>
      </c>
      <c r="D341" s="1844">
        <v>0.15</v>
      </c>
      <c r="E341" s="1844">
        <v>0.15</v>
      </c>
      <c r="F341" s="1845">
        <v>0.15</v>
      </c>
    </row>
    <row r="342" spans="1:6" ht="14.25" thickBot="1">
      <c r="A342" s="1839" t="s">
        <v>2227</v>
      </c>
      <c r="B342" s="1843" t="s">
        <v>2233</v>
      </c>
      <c r="C342" s="1844">
        <v>0.15</v>
      </c>
      <c r="D342" s="1844">
        <v>0.15</v>
      </c>
      <c r="E342" s="1844">
        <v>0.15</v>
      </c>
      <c r="F342" s="1845">
        <v>0.15</v>
      </c>
    </row>
    <row r="343" spans="1:6" ht="14.25" thickBot="1">
      <c r="A343" s="1839" t="s">
        <v>2227</v>
      </c>
      <c r="B343" s="1843" t="s">
        <v>2234</v>
      </c>
      <c r="C343" s="1844">
        <v>0.15</v>
      </c>
      <c r="D343" s="1844">
        <v>0.15</v>
      </c>
      <c r="E343" s="1844">
        <v>0.15</v>
      </c>
      <c r="F343" s="1845">
        <v>0.15</v>
      </c>
    </row>
    <row r="344" spans="1:6" ht="14.25" thickBot="1">
      <c r="A344" s="1847" t="s">
        <v>2227</v>
      </c>
      <c r="B344" s="1854" t="s">
        <v>2235</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931" t="s">
        <v>2945</v>
      </c>
      <c r="B1" s="2933"/>
      <c r="C1" s="2933"/>
      <c r="D1" s="2933"/>
      <c r="E1" s="2933"/>
      <c r="F1" s="2933"/>
    </row>
    <row r="2" spans="1:6" ht="14.25">
      <c r="A2" s="2934" t="s">
        <v>2940</v>
      </c>
      <c r="B2" s="2935">
        <f ca="1">SUMIF(B7:B14,"&lt;&gt;#ref!",B7:B14)</f>
        <v>0</v>
      </c>
      <c r="C2" s="2934" t="s">
        <v>2941</v>
      </c>
      <c r="D2" s="2933"/>
      <c r="E2" s="2933"/>
      <c r="F2" s="2933"/>
    </row>
    <row r="3" spans="1:6" ht="14.25">
      <c r="A3" s="2934" t="s">
        <v>2973</v>
      </c>
      <c r="B3" s="2935" t="e">
        <f ca="1">ROUND(B2*10000/E3,0)</f>
        <v>#DIV/0!</v>
      </c>
      <c r="C3" s="2934" t="s">
        <v>2076</v>
      </c>
      <c r="D3" s="2934" t="s">
        <v>2942</v>
      </c>
      <c r="E3" s="2935">
        <f ca="1">SUMIF(E7:E14,"&lt;&gt;#ref!",E7:E14)</f>
        <v>0</v>
      </c>
      <c r="F3" s="2933"/>
    </row>
    <row r="4" spans="1:6" ht="14.25">
      <c r="A4" s="2934" t="s">
        <v>2949</v>
      </c>
      <c r="B4" s="2935" t="e">
        <f ca="1">ROUND(B2*10000/E4,0)</f>
        <v>#DIV/0!</v>
      </c>
      <c r="C4" s="2934" t="s">
        <v>2076</v>
      </c>
      <c r="D4" s="2934" t="s">
        <v>2950</v>
      </c>
      <c r="E4" s="2935">
        <f ca="1">SUMIF(F7:F14,"&lt;&gt;#ref!",F7:F14)</f>
        <v>0</v>
      </c>
      <c r="F4" s="2933"/>
    </row>
    <row r="5" spans="1:6" ht="14.25">
      <c r="A5" s="2936"/>
      <c r="B5" s="1865"/>
      <c r="C5" s="1865"/>
      <c r="D5" s="1865"/>
      <c r="E5" s="1865"/>
      <c r="F5" s="2933"/>
    </row>
    <row r="6" spans="1:6" ht="28.5">
      <c r="A6" s="2937" t="s">
        <v>2946</v>
      </c>
      <c r="B6" s="2934" t="s">
        <v>2943</v>
      </c>
      <c r="C6" s="2935"/>
      <c r="D6" s="1865"/>
      <c r="E6" s="2934" t="s">
        <v>2944</v>
      </c>
      <c r="F6" s="2934" t="s">
        <v>2948</v>
      </c>
    </row>
    <row r="7" spans="1:6" ht="14.25">
      <c r="A7" s="259" t="s">
        <v>2947</v>
      </c>
      <c r="B7" s="2938" t="e">
        <f ca="1">SUMIF(INDIRECT("'"&amp;A7&amp;"'"&amp;"!A:A"),"总价",INDIRECT("'"&amp;A7&amp;"'"&amp;"!B:B"))</f>
        <v>#REF!</v>
      </c>
      <c r="C7" s="2934" t="s">
        <v>2941</v>
      </c>
      <c r="D7" s="1865"/>
      <c r="E7" s="2939" t="e">
        <f ca="1">SUMIF(INDIRECT("'"&amp;A7&amp;"'"&amp;"!C:C"),"建筑面积",INDIRECT("'"&amp;A7&amp;"'"&amp;"!D:D"))</f>
        <v>#REF!</v>
      </c>
      <c r="F7" s="2939" t="e">
        <f ca="1">SUMIF(INDIRECT("'"&amp;A7&amp;"'"&amp;"!E:E"),"土地面积",INDIRECT("'"&amp;A7&amp;"'"&amp;"!F:F"))</f>
        <v>#REF!</v>
      </c>
    </row>
    <row r="8" spans="1:6" ht="14.25">
      <c r="A8" s="259"/>
      <c r="B8" s="2938" t="e">
        <f t="shared" ref="B8:B14" ca="1" si="0">SUMIF(INDIRECT("'"&amp;A8&amp;"'"&amp;"!A:A"),"总价",INDIRECT("'"&amp;A8&amp;"'"&amp;"!B:B"))</f>
        <v>#REF!</v>
      </c>
      <c r="C8" s="2934" t="s">
        <v>2941</v>
      </c>
      <c r="D8" s="1865"/>
      <c r="E8" s="2939" t="e">
        <f t="shared" ref="E8:E14" ca="1" si="1">SUMIF(INDIRECT("'"&amp;A8&amp;"'"&amp;"!C:C"),"建筑面积",INDIRECT("'"&amp;A8&amp;"'"&amp;"!D:D"))</f>
        <v>#REF!</v>
      </c>
      <c r="F8" s="2939" t="e">
        <f t="shared" ref="F8:F14" ca="1" si="2">SUMIF(INDIRECT("'"&amp;A8&amp;"'"&amp;"!E:E"),"土地面积",INDIRECT("'"&amp;A8&amp;"'"&amp;"!F:F"))</f>
        <v>#REF!</v>
      </c>
    </row>
    <row r="9" spans="1:6" ht="14.25">
      <c r="A9" s="259"/>
      <c r="B9" s="2938" t="e">
        <f t="shared" ca="1" si="0"/>
        <v>#REF!</v>
      </c>
      <c r="C9" s="2934" t="s">
        <v>2941</v>
      </c>
      <c r="D9" s="1865"/>
      <c r="E9" s="2939" t="e">
        <f t="shared" ca="1" si="1"/>
        <v>#REF!</v>
      </c>
      <c r="F9" s="2939" t="e">
        <f t="shared" ca="1" si="2"/>
        <v>#REF!</v>
      </c>
    </row>
    <row r="10" spans="1:6" ht="14.25">
      <c r="A10" s="259"/>
      <c r="B10" s="2938" t="e">
        <f t="shared" ca="1" si="0"/>
        <v>#REF!</v>
      </c>
      <c r="C10" s="2934" t="s">
        <v>2941</v>
      </c>
      <c r="D10" s="1865"/>
      <c r="E10" s="2939" t="e">
        <f t="shared" ca="1" si="1"/>
        <v>#REF!</v>
      </c>
      <c r="F10" s="2939" t="e">
        <f t="shared" ca="1" si="2"/>
        <v>#REF!</v>
      </c>
    </row>
    <row r="11" spans="1:6" ht="14.25">
      <c r="A11" s="259"/>
      <c r="B11" s="2938" t="e">
        <f t="shared" ca="1" si="0"/>
        <v>#REF!</v>
      </c>
      <c r="C11" s="2934" t="s">
        <v>2941</v>
      </c>
      <c r="D11" s="1865"/>
      <c r="E11" s="2939" t="e">
        <f t="shared" ca="1" si="1"/>
        <v>#REF!</v>
      </c>
      <c r="F11" s="2939" t="e">
        <f t="shared" ca="1" si="2"/>
        <v>#REF!</v>
      </c>
    </row>
    <row r="12" spans="1:6" ht="14.25">
      <c r="A12" s="259"/>
      <c r="B12" s="2938" t="e">
        <f t="shared" ca="1" si="0"/>
        <v>#REF!</v>
      </c>
      <c r="C12" s="2934" t="s">
        <v>2941</v>
      </c>
      <c r="D12" s="1865"/>
      <c r="E12" s="2939" t="e">
        <f t="shared" ca="1" si="1"/>
        <v>#REF!</v>
      </c>
      <c r="F12" s="2939" t="e">
        <f t="shared" ca="1" si="2"/>
        <v>#REF!</v>
      </c>
    </row>
    <row r="13" spans="1:6" ht="14.25">
      <c r="A13" s="259"/>
      <c r="B13" s="2938" t="e">
        <f t="shared" ca="1" si="0"/>
        <v>#REF!</v>
      </c>
      <c r="C13" s="2934" t="s">
        <v>2941</v>
      </c>
      <c r="D13" s="1865"/>
      <c r="E13" s="2939" t="e">
        <f t="shared" ca="1" si="1"/>
        <v>#REF!</v>
      </c>
      <c r="F13" s="2939" t="e">
        <f t="shared" ca="1" si="2"/>
        <v>#REF!</v>
      </c>
    </row>
    <row r="14" spans="1:6" ht="14.25">
      <c r="A14" s="2932"/>
      <c r="B14" s="2938" t="e">
        <f t="shared" ca="1" si="0"/>
        <v>#REF!</v>
      </c>
      <c r="C14" s="2934" t="s">
        <v>2941</v>
      </c>
      <c r="D14" s="1865"/>
      <c r="E14" s="2939" t="e">
        <f t="shared" ca="1" si="1"/>
        <v>#REF!</v>
      </c>
      <c r="F14" s="293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受贵公司委托，我公司对北京市划拨国有建设用地使用权市场价格进行了预评估。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798900平方米。根据《建设工程规划许可证》[]、《出让合同》[]，估价对象规划建筑面积为2347917.99平方米。</v>
      </c>
    </row>
    <row r="7" spans="1:4" ht="56.25">
      <c r="A7" s="1779" t="s">
        <v>2743</v>
      </c>
    </row>
    <row r="8" spans="1:4" ht="18.75">
      <c r="A8" s="1778" t="s">
        <v>1906</v>
      </c>
    </row>
    <row r="9" spans="1:4" ht="37.5">
      <c r="A9" s="1780"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81" t="s">
        <v>2024</v>
      </c>
    </row>
    <row r="11" spans="1:4" ht="18.75">
      <c r="A11" s="1764" t="str">
        <f>TEXT(项目基本情况!D3,"yyyy年m月d日;;")&amp;IF(项目基本情况!B3=项目基本情况!D3,"（评估专业人员勘察现场之日）","")</f>
        <v>2020年9月4日</v>
      </c>
    </row>
    <row r="12" spans="1:4" ht="18.75">
      <c r="A12" s="1781" t="s">
        <v>2023</v>
      </c>
    </row>
    <row r="13" spans="1:4" ht="18.75">
      <c r="A13" s="1775" t="s">
        <v>2938</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2070</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2071</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根据《国有土地使用证》[]，估价对象（分摊）出让国有建设用地使用权面积为798900平方米。根据《建设工程规划许可证》[]、《出让合同》[]，估价对象规划建筑面积为2347917.99平方米。</v>
      </c>
    </row>
    <row r="21" spans="1:1" ht="18.75">
      <c r="A21" s="1775" t="s">
        <v>2072</v>
      </c>
    </row>
    <row r="22" spans="1:1" ht="18.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75" t="str">
        <f>IF(项目基本情况!B16="出让","本次评估设定估价对象剩余土地使用年限为"&amp;项目基本情况!D20&amp;"。","")</f>
        <v/>
      </c>
    </row>
    <row r="24" spans="1:1" ht="18.75">
      <c r="A24" s="1775" t="s">
        <v>2073</v>
      </c>
    </row>
    <row r="25" spans="1:1" ht="75">
      <c r="A25" s="1775" t="str">
        <f>定义!C53</f>
        <v>本次估价的“划拨国有建设用地使用权价格”是指在估价对象土地所有权为国家所有，使用权性质为划拨，在公开市场条件下，于估价期日2020年9月4日在规划利用条件下、设定土地开发程度为红线外“七通”、宗地内场地，设定用途为的划拨国有建设用地使用权价格。</v>
      </c>
    </row>
    <row r="26" spans="1:1" ht="18.75">
      <c r="A26" s="1775" t="str">
        <f>IF(项目基本情况!B9="市场价格","——",IF(项目基本情况!E8="抵押价格",定义!C54,IF(项目基本情况!E8="已注销",定义!C55,定义!C56)))</f>
        <v>——</v>
      </c>
    </row>
    <row r="27" spans="1:1" ht="18.7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5" t="str">
        <f>IF(项目基本情况!B9="市场价格","——",IF(项目基本情况!E9="——","",定义!C57))</f>
        <v>——</v>
      </c>
    </row>
    <row r="29" spans="1:1" ht="18.75">
      <c r="A29" s="1781" t="s">
        <v>2025</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782"/>
    </row>
    <row r="32" spans="1:1" ht="18.75">
      <c r="A32" s="1783"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27" t="s">
        <v>2468</v>
      </c>
      <c r="B1" s="3528"/>
      <c r="C1" s="3529"/>
      <c r="D1" s="3530">
        <f>SUM(I10,I15,I20,I21,I23)</f>
        <v>0</v>
      </c>
      <c r="E1" s="3530"/>
      <c r="F1" s="3530"/>
      <c r="G1" s="3530"/>
      <c r="H1" s="3530"/>
      <c r="I1" s="3531"/>
    </row>
    <row r="2" spans="1:9">
      <c r="A2" s="3517" t="s">
        <v>2469</v>
      </c>
      <c r="B2" s="3518" t="s">
        <v>2470</v>
      </c>
      <c r="C2" s="3518"/>
      <c r="D2" s="2470" t="s">
        <v>2471</v>
      </c>
      <c r="E2" s="2470" t="s">
        <v>2472</v>
      </c>
      <c r="F2" s="2470" t="s">
        <v>2473</v>
      </c>
      <c r="G2" s="2470" t="s">
        <v>2474</v>
      </c>
      <c r="H2" s="2470" t="s">
        <v>2475</v>
      </c>
      <c r="I2" s="2471" t="s">
        <v>2476</v>
      </c>
    </row>
    <row r="3" spans="1:9">
      <c r="A3" s="3517"/>
      <c r="B3" s="3518" t="s">
        <v>2477</v>
      </c>
      <c r="C3" s="3518"/>
      <c r="D3" s="2472"/>
      <c r="E3" s="2470"/>
      <c r="F3" s="2473"/>
      <c r="G3" s="2473"/>
      <c r="H3" s="2474"/>
      <c r="I3" s="2475">
        <f>ROUND(D3*E3*F3*G3*H3/10000,0)</f>
        <v>0</v>
      </c>
    </row>
    <row r="4" spans="1:9">
      <c r="A4" s="3517"/>
      <c r="B4" s="3518" t="s">
        <v>2478</v>
      </c>
      <c r="C4" s="3518"/>
      <c r="D4" s="2472"/>
      <c r="E4" s="2470"/>
      <c r="F4" s="2473"/>
      <c r="G4" s="2473"/>
      <c r="H4" s="2474"/>
      <c r="I4" s="2475">
        <f t="shared" ref="I4:I9" si="0">ROUND(D4*E4*F4*G4*H4/10000,0)</f>
        <v>0</v>
      </c>
    </row>
    <row r="5" spans="1:9">
      <c r="A5" s="3517"/>
      <c r="B5" s="3518" t="s">
        <v>2479</v>
      </c>
      <c r="C5" s="3518"/>
      <c r="D5" s="2472"/>
      <c r="E5" s="2470"/>
      <c r="F5" s="2473"/>
      <c r="G5" s="2473"/>
      <c r="H5" s="2474"/>
      <c r="I5" s="2475">
        <f t="shared" si="0"/>
        <v>0</v>
      </c>
    </row>
    <row r="6" spans="1:9">
      <c r="A6" s="3517"/>
      <c r="B6" s="3518" t="s">
        <v>2480</v>
      </c>
      <c r="C6" s="3518"/>
      <c r="D6" s="2472"/>
      <c r="E6" s="2470"/>
      <c r="F6" s="2473"/>
      <c r="G6" s="2473"/>
      <c r="H6" s="2474"/>
      <c r="I6" s="2475">
        <f t="shared" si="0"/>
        <v>0</v>
      </c>
    </row>
    <row r="7" spans="1:9">
      <c r="A7" s="3517"/>
      <c r="B7" s="3518" t="s">
        <v>2481</v>
      </c>
      <c r="C7" s="3518"/>
      <c r="D7" s="2472"/>
      <c r="E7" s="2470"/>
      <c r="F7" s="2473"/>
      <c r="G7" s="2473"/>
      <c r="H7" s="2474"/>
      <c r="I7" s="2475">
        <f t="shared" si="0"/>
        <v>0</v>
      </c>
    </row>
    <row r="8" spans="1:9">
      <c r="A8" s="3517"/>
      <c r="B8" s="3518" t="s">
        <v>2482</v>
      </c>
      <c r="C8" s="3518"/>
      <c r="D8" s="2472"/>
      <c r="E8" s="2470"/>
      <c r="F8" s="2473"/>
      <c r="G8" s="2473"/>
      <c r="H8" s="2474"/>
      <c r="I8" s="2475">
        <f t="shared" si="0"/>
        <v>0</v>
      </c>
    </row>
    <row r="9" spans="1:9">
      <c r="A9" s="3517"/>
      <c r="B9" s="3518" t="s">
        <v>2483</v>
      </c>
      <c r="C9" s="3518"/>
      <c r="D9" s="2472"/>
      <c r="E9" s="2470"/>
      <c r="F9" s="2473"/>
      <c r="G9" s="2473"/>
      <c r="H9" s="2474"/>
      <c r="I9" s="2475">
        <f t="shared" si="0"/>
        <v>0</v>
      </c>
    </row>
    <row r="10" spans="1:9">
      <c r="A10" s="3517"/>
      <c r="B10" s="3519" t="s">
        <v>2484</v>
      </c>
      <c r="C10" s="3519"/>
      <c r="D10" s="2476">
        <v>527</v>
      </c>
      <c r="E10" s="2476" t="e">
        <f>ROUND(D1*10000/D10/H9,0)</f>
        <v>#DIV/0!</v>
      </c>
      <c r="F10" s="2477"/>
      <c r="G10" s="2477"/>
      <c r="H10" s="2478"/>
      <c r="I10" s="2479">
        <f>SUM(I3:I9)</f>
        <v>0</v>
      </c>
    </row>
    <row r="11" spans="1:9" ht="14.25">
      <c r="A11" s="3517" t="s">
        <v>2485</v>
      </c>
      <c r="B11" s="3518" t="s">
        <v>2486</v>
      </c>
      <c r="C11" s="3518"/>
      <c r="D11" s="2472" t="s">
        <v>2487</v>
      </c>
      <c r="E11" s="2472" t="s">
        <v>2488</v>
      </c>
      <c r="F11" s="2473" t="s">
        <v>2489</v>
      </c>
      <c r="G11" s="2473" t="s">
        <v>2490</v>
      </c>
      <c r="H11" s="2480" t="s">
        <v>2491</v>
      </c>
      <c r="I11" s="2471" t="s">
        <v>2492</v>
      </c>
    </row>
    <row r="12" spans="1:9">
      <c r="A12" s="3517"/>
      <c r="B12" s="3518" t="s">
        <v>2493</v>
      </c>
      <c r="C12" s="3518"/>
      <c r="D12" s="2472"/>
      <c r="E12" s="2472"/>
      <c r="F12" s="2473"/>
      <c r="G12" s="2474"/>
      <c r="H12" s="2481"/>
      <c r="I12" s="2471">
        <f>ROUND(D12*E12*F12*G12/10000,0)</f>
        <v>0</v>
      </c>
    </row>
    <row r="13" spans="1:9">
      <c r="A13" s="3517"/>
      <c r="B13" s="3518" t="s">
        <v>2494</v>
      </c>
      <c r="C13" s="3518"/>
      <c r="D13" s="2472"/>
      <c r="E13" s="2472"/>
      <c r="F13" s="2473"/>
      <c r="G13" s="2474"/>
      <c r="H13" s="2481"/>
      <c r="I13" s="2471">
        <f>ROUND(D13*E13*F13*G13/10000,0)</f>
        <v>0</v>
      </c>
    </row>
    <row r="14" spans="1:9">
      <c r="A14" s="3517"/>
      <c r="B14" s="3518" t="s">
        <v>2495</v>
      </c>
      <c r="C14" s="3518"/>
      <c r="D14" s="2472"/>
      <c r="E14" s="2472"/>
      <c r="F14" s="2473"/>
      <c r="G14" s="2474"/>
      <c r="H14" s="2481"/>
      <c r="I14" s="2471">
        <f>ROUND(D14*E14*F14*G14/10000,0)</f>
        <v>0</v>
      </c>
    </row>
    <row r="15" spans="1:9">
      <c r="A15" s="3517"/>
      <c r="B15" s="3519" t="s">
        <v>2484</v>
      </c>
      <c r="C15" s="3519"/>
      <c r="D15" s="2476"/>
      <c r="E15" s="2476">
        <f>SUM(E12:E14)</f>
        <v>0</v>
      </c>
      <c r="F15" s="2477"/>
      <c r="G15" s="2474"/>
      <c r="H15" s="2481"/>
      <c r="I15" s="2482">
        <f>SUM(I12:I14)</f>
        <v>0</v>
      </c>
    </row>
    <row r="16" spans="1:9" ht="24">
      <c r="A16" s="3517" t="s">
        <v>2496</v>
      </c>
      <c r="B16" s="3518" t="s">
        <v>2497</v>
      </c>
      <c r="C16" s="3518"/>
      <c r="D16" s="2472" t="s">
        <v>2498</v>
      </c>
      <c r="E16" s="2483" t="s">
        <v>2499</v>
      </c>
      <c r="F16" s="2473" t="s">
        <v>2500</v>
      </c>
      <c r="G16" s="2474" t="s">
        <v>2490</v>
      </c>
      <c r="H16" s="2480" t="s">
        <v>2491</v>
      </c>
      <c r="I16" s="2471" t="s">
        <v>2492</v>
      </c>
    </row>
    <row r="17" spans="1:9" ht="14.25">
      <c r="A17" s="3517"/>
      <c r="B17" s="3518" t="s">
        <v>2501</v>
      </c>
      <c r="C17" s="3518"/>
      <c r="D17" s="2472"/>
      <c r="E17" s="2472"/>
      <c r="F17" s="2473"/>
      <c r="G17" s="2474"/>
      <c r="H17" s="2484"/>
      <c r="I17" s="2485">
        <f>ROUND(D17*E17*F17*G17/10000,0)</f>
        <v>0</v>
      </c>
    </row>
    <row r="18" spans="1:9" ht="14.25">
      <c r="A18" s="3517"/>
      <c r="B18" s="3518" t="s">
        <v>2502</v>
      </c>
      <c r="C18" s="3518"/>
      <c r="D18" s="2472"/>
      <c r="E18" s="2472"/>
      <c r="F18" s="2473"/>
      <c r="G18" s="2474"/>
      <c r="H18" s="2484"/>
      <c r="I18" s="2485">
        <f>ROUND(D18*E18*F18*G18/10000,0)</f>
        <v>0</v>
      </c>
    </row>
    <row r="19" spans="1:9" ht="14.25">
      <c r="A19" s="3517"/>
      <c r="B19" s="3518" t="s">
        <v>2503</v>
      </c>
      <c r="C19" s="3518"/>
      <c r="D19" s="2472"/>
      <c r="E19" s="2472"/>
      <c r="F19" s="2473"/>
      <c r="G19" s="2474"/>
      <c r="H19" s="2484"/>
      <c r="I19" s="2485">
        <f>ROUND(D19*E19*F19*G19/10000,0)</f>
        <v>0</v>
      </c>
    </row>
    <row r="20" spans="1:9">
      <c r="A20" s="3517"/>
      <c r="B20" s="3519" t="s">
        <v>2484</v>
      </c>
      <c r="C20" s="3519"/>
      <c r="D20" s="2476">
        <f>SUM(D17:D19)</f>
        <v>0</v>
      </c>
      <c r="E20" s="2476"/>
      <c r="F20" s="2477"/>
      <c r="G20" s="2474"/>
      <c r="H20" s="2481"/>
      <c r="I20" s="2482">
        <f>SUM(I17:I19)</f>
        <v>0</v>
      </c>
    </row>
    <row r="21" spans="1:9">
      <c r="A21" s="3517" t="s">
        <v>2504</v>
      </c>
      <c r="B21" s="3520"/>
      <c r="C21" s="3520"/>
      <c r="D21" s="3520"/>
      <c r="E21" s="3520"/>
      <c r="F21" s="3520"/>
      <c r="G21" s="3520"/>
      <c r="H21" s="2486">
        <v>0.1</v>
      </c>
      <c r="I21" s="2479">
        <f>ROUND(I10*H21,0)</f>
        <v>0</v>
      </c>
    </row>
    <row r="22" spans="1:9" ht="14.25">
      <c r="A22" s="3521" t="s">
        <v>2505</v>
      </c>
      <c r="B22" s="3522"/>
      <c r="C22" s="3523"/>
      <c r="D22" s="2487" t="s">
        <v>2506</v>
      </c>
      <c r="E22" s="2487" t="s">
        <v>2507</v>
      </c>
      <c r="F22" s="2488" t="s">
        <v>2508</v>
      </c>
      <c r="G22" s="2488" t="s">
        <v>2509</v>
      </c>
      <c r="H22" s="2480" t="s">
        <v>2510</v>
      </c>
      <c r="I22" s="2471" t="s">
        <v>2511</v>
      </c>
    </row>
    <row r="23" spans="1:9" ht="14.25" thickBot="1">
      <c r="A23" s="3524"/>
      <c r="B23" s="3525"/>
      <c r="C23" s="3526"/>
      <c r="D23" s="2489"/>
      <c r="E23" s="2489"/>
      <c r="F23" s="2489"/>
      <c r="G23" s="2490"/>
      <c r="H23" s="2491"/>
      <c r="I23" s="2492">
        <f>ROUND(E23*D23*F23*(1-G23)/10000,0)</f>
        <v>0</v>
      </c>
    </row>
    <row r="26" spans="1:9">
      <c r="A26" s="2493" t="s">
        <v>2512</v>
      </c>
      <c r="B26" s="2493"/>
      <c r="C26" s="2493"/>
      <c r="D26" s="2493"/>
      <c r="E26" s="3514">
        <f>C27-C30-C31-C32</f>
        <v>0</v>
      </c>
      <c r="F26" s="3514"/>
      <c r="G26" s="3514"/>
      <c r="H26" s="2877" t="s">
        <v>2838</v>
      </c>
    </row>
    <row r="27" spans="1:9">
      <c r="A27" s="2494">
        <v>1</v>
      </c>
      <c r="B27" s="2495" t="s">
        <v>2513</v>
      </c>
      <c r="C27" s="2495"/>
      <c r="D27" s="2495"/>
      <c r="E27" s="3515"/>
      <c r="F27" s="3515"/>
      <c r="G27" s="3515"/>
    </row>
    <row r="28" spans="1:9">
      <c r="A28" s="2496" t="s">
        <v>2514</v>
      </c>
      <c r="B28" s="2495" t="s">
        <v>2515</v>
      </c>
      <c r="C28" s="2495"/>
      <c r="D28" s="2495"/>
      <c r="E28" s="3515"/>
      <c r="F28" s="3515"/>
      <c r="G28" s="3515"/>
    </row>
    <row r="29" spans="1:9">
      <c r="A29" s="2496" t="s">
        <v>2516</v>
      </c>
      <c r="B29" s="2495" t="s">
        <v>2457</v>
      </c>
      <c r="C29" s="2495"/>
      <c r="D29" s="2495"/>
      <c r="E29" s="2495" t="s">
        <v>2517</v>
      </c>
      <c r="F29" s="2495"/>
      <c r="G29" s="2495"/>
    </row>
    <row r="30" spans="1:9">
      <c r="A30" s="2494">
        <v>2</v>
      </c>
      <c r="B30" s="2495" t="s">
        <v>2518</v>
      </c>
      <c r="C30" s="2495">
        <f>C27*D30</f>
        <v>0</v>
      </c>
      <c r="D30" s="2497">
        <v>0.2</v>
      </c>
      <c r="E30" s="2495" t="s">
        <v>2519</v>
      </c>
      <c r="F30" s="2495"/>
      <c r="G30" s="2495"/>
    </row>
    <row r="31" spans="1:9">
      <c r="A31" s="2494">
        <v>3</v>
      </c>
      <c r="B31" s="2495" t="s">
        <v>2520</v>
      </c>
      <c r="C31" s="2495">
        <f>C25*D31</f>
        <v>0</v>
      </c>
      <c r="D31" s="2497">
        <v>0.15</v>
      </c>
      <c r="E31" s="2495" t="s">
        <v>2521</v>
      </c>
      <c r="F31" s="2495"/>
      <c r="G31" s="2495"/>
    </row>
    <row r="32" spans="1:9">
      <c r="A32" s="2494">
        <v>4</v>
      </c>
      <c r="B32" s="2495" t="s">
        <v>2522</v>
      </c>
      <c r="C32" s="2495">
        <f>C27*D32</f>
        <v>0</v>
      </c>
      <c r="D32" s="2497">
        <v>0.05</v>
      </c>
      <c r="E32" s="3516"/>
      <c r="F32" s="3516"/>
      <c r="G32" s="3516"/>
    </row>
    <row r="33" spans="1:7" hidden="1">
      <c r="A33" s="3511" t="s">
        <v>2523</v>
      </c>
      <c r="B33" s="3512"/>
      <c r="C33" s="3512"/>
      <c r="D33" s="3513"/>
      <c r="E33" s="3514"/>
      <c r="F33" s="3514"/>
      <c r="G33" s="3514"/>
    </row>
    <row r="34" spans="1:7" hidden="1">
      <c r="A34" s="2498">
        <v>1</v>
      </c>
      <c r="B34" s="2495" t="s">
        <v>2524</v>
      </c>
      <c r="C34" s="2495"/>
      <c r="D34" s="2495"/>
      <c r="E34" s="3515"/>
      <c r="F34" s="3515"/>
      <c r="G34" s="3515"/>
    </row>
    <row r="35" spans="1:7" hidden="1">
      <c r="A35" s="2498">
        <v>2</v>
      </c>
      <c r="B35" s="2495" t="s">
        <v>2525</v>
      </c>
      <c r="C35" s="2495"/>
      <c r="D35" s="2495"/>
      <c r="E35" s="3515"/>
      <c r="F35" s="3515"/>
      <c r="G35" s="3515"/>
    </row>
    <row r="36" spans="1:7" hidden="1">
      <c r="A36" s="2498">
        <v>3</v>
      </c>
      <c r="B36" s="2495" t="s">
        <v>2526</v>
      </c>
      <c r="C36" s="2495"/>
      <c r="D36" s="2495"/>
      <c r="E36" s="3515"/>
      <c r="F36" s="3515"/>
      <c r="G36" s="3515"/>
    </row>
    <row r="37" spans="1:7" hidden="1">
      <c r="A37" s="2498">
        <v>4</v>
      </c>
      <c r="B37" s="2495" t="s">
        <v>2527</v>
      </c>
      <c r="C37" s="2495"/>
      <c r="D37" s="2495"/>
      <c r="E37" s="3515"/>
      <c r="F37" s="3515"/>
      <c r="G37" s="3515"/>
    </row>
    <row r="38" spans="1:7" hidden="1">
      <c r="A38" s="3511" t="s">
        <v>2528</v>
      </c>
      <c r="B38" s="3512"/>
      <c r="C38" s="3512"/>
      <c r="D38" s="3513"/>
      <c r="E38" s="3514"/>
      <c r="F38" s="3514"/>
      <c r="G38" s="351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2586" t="s">
        <v>719</v>
      </c>
      <c r="C1" s="2587" t="s">
        <v>720</v>
      </c>
      <c r="D1" s="2588"/>
      <c r="E1" s="2589"/>
      <c r="F1" s="2645"/>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2" t="s">
        <v>467</v>
      </c>
      <c r="B2" s="2585" t="e">
        <f>ROUND(B3*D3/10000,0)</f>
        <v>#DIV/0!</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8" t="s">
        <v>519</v>
      </c>
      <c r="B3" s="850" t="e">
        <f>C49</f>
        <v>#DIV/0!</v>
      </c>
      <c r="C3" s="851" t="s">
        <v>722</v>
      </c>
      <c r="D3" s="850">
        <f>SUMIF('数据-汇总表'!$C19:$C33,D1,'数据-汇总表'!$E19:$E33)</f>
        <v>0</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1" t="s">
        <v>521</v>
      </c>
      <c r="B4" s="512"/>
      <c r="C4" s="3481" t="s">
        <v>522</v>
      </c>
      <c r="D4" s="3482"/>
      <c r="E4" s="3483" t="s">
        <v>523</v>
      </c>
      <c r="F4" s="3484"/>
      <c r="G4" s="3481" t="s">
        <v>524</v>
      </c>
      <c r="H4" s="3482"/>
      <c r="I4" s="3481" t="s">
        <v>525</v>
      </c>
      <c r="J4" s="3482"/>
      <c r="K4" s="852" t="s">
        <v>526</v>
      </c>
      <c r="L4" s="2117"/>
      <c r="M4" s="2118"/>
      <c r="N4" s="2118"/>
      <c r="O4" s="2118"/>
      <c r="P4" s="3485" t="s">
        <v>527</v>
      </c>
      <c r="Q4" s="3486"/>
      <c r="R4" s="3491" t="s">
        <v>523</v>
      </c>
      <c r="S4" s="3492"/>
      <c r="T4" s="3491" t="s">
        <v>524</v>
      </c>
      <c r="U4" s="3492"/>
      <c r="V4" s="3471" t="s">
        <v>525</v>
      </c>
      <c r="W4" s="3471"/>
      <c r="X4" s="1552"/>
      <c r="Y4" s="3491" t="s">
        <v>527</v>
      </c>
      <c r="Z4" s="3492"/>
      <c r="AA4" s="3478" t="s">
        <v>523</v>
      </c>
      <c r="AB4" s="3478" t="s">
        <v>524</v>
      </c>
      <c r="AC4" s="3478" t="s">
        <v>525</v>
      </c>
    </row>
    <row r="5" spans="1:29" ht="15">
      <c r="A5" s="514"/>
      <c r="B5" s="515"/>
      <c r="C5" s="3499" t="s">
        <v>2926</v>
      </c>
      <c r="D5" s="3500"/>
      <c r="E5" s="3497" t="s">
        <v>2927</v>
      </c>
      <c r="F5" s="3498"/>
      <c r="G5" s="3499" t="s">
        <v>2928</v>
      </c>
      <c r="H5" s="3500"/>
      <c r="I5" s="3499" t="s">
        <v>2929</v>
      </c>
      <c r="J5" s="3500"/>
      <c r="K5" s="853"/>
      <c r="L5" s="2117"/>
      <c r="M5" s="2118"/>
      <c r="N5" s="2118"/>
      <c r="O5" s="2118"/>
      <c r="P5" s="3487"/>
      <c r="Q5" s="3488"/>
      <c r="R5" s="3493"/>
      <c r="S5" s="3494"/>
      <c r="T5" s="3493"/>
      <c r="U5" s="3494"/>
      <c r="V5" s="3471"/>
      <c r="W5" s="3471"/>
      <c r="X5" s="1552"/>
      <c r="Y5" s="3493"/>
      <c r="Z5" s="3494"/>
      <c r="AA5" s="3479"/>
      <c r="AB5" s="3479"/>
      <c r="AC5" s="3479"/>
    </row>
    <row r="6" spans="1:29" ht="15.75" thickBot="1">
      <c r="A6" s="516"/>
      <c r="B6" s="517"/>
      <c r="C6" s="3501" t="s">
        <v>2930</v>
      </c>
      <c r="D6" s="3502"/>
      <c r="E6" s="3504" t="s">
        <v>2930</v>
      </c>
      <c r="F6" s="3505"/>
      <c r="G6" s="3501" t="s">
        <v>2930</v>
      </c>
      <c r="H6" s="3502"/>
      <c r="I6" s="3501" t="s">
        <v>2930</v>
      </c>
      <c r="J6" s="3502"/>
      <c r="K6" s="853" t="s">
        <v>528</v>
      </c>
      <c r="L6" s="2117"/>
      <c r="M6" s="2118"/>
      <c r="N6" s="2118"/>
      <c r="O6" s="2118"/>
      <c r="P6" s="3489"/>
      <c r="Q6" s="3490"/>
      <c r="R6" s="3493"/>
      <c r="S6" s="3494"/>
      <c r="T6" s="3495"/>
      <c r="U6" s="3496"/>
      <c r="V6" s="3471"/>
      <c r="W6" s="3471"/>
      <c r="X6" s="1552"/>
      <c r="Y6" s="3495"/>
      <c r="Z6" s="3496"/>
      <c r="AA6" s="3480"/>
      <c r="AB6" s="3480"/>
      <c r="AC6" s="3480"/>
    </row>
    <row r="7" spans="1:29" s="1215" customFormat="1" ht="15.75" thickBot="1">
      <c r="A7" s="2750"/>
      <c r="B7" s="2757" t="s">
        <v>529</v>
      </c>
      <c r="C7" s="518">
        <f>'数据-取费表'!B2</f>
        <v>44078</v>
      </c>
      <c r="D7" s="519">
        <v>100</v>
      </c>
      <c r="E7" s="520"/>
      <c r="F7" s="521">
        <f>SUMIF(58:58,YEAR(E7)&amp;"-"&amp;MONTH(E7),59:59)</f>
        <v>0</v>
      </c>
      <c r="G7" s="522"/>
      <c r="H7" s="519">
        <f>SUMIF(58:58,YEAR(G7)&amp;"-"&amp;MONTH(G7),59:59)</f>
        <v>0</v>
      </c>
      <c r="I7" s="522"/>
      <c r="J7" s="519">
        <f>SUMIF(58:58,YEAR(I7)&amp;"-"&amp;MONTH(I7),59:59)</f>
        <v>0</v>
      </c>
      <c r="K7" s="854"/>
      <c r="L7" s="2119"/>
      <c r="M7" s="2120"/>
      <c r="N7" s="2120"/>
      <c r="O7" s="2120"/>
      <c r="P7" s="3476" t="s">
        <v>530</v>
      </c>
      <c r="Q7" s="3503"/>
      <c r="R7" s="1553" t="s">
        <v>13</v>
      </c>
      <c r="S7" s="1554">
        <f t="shared" ref="S7:S15" si="0">F7</f>
        <v>0</v>
      </c>
      <c r="T7" s="1553" t="s">
        <v>13</v>
      </c>
      <c r="U7" s="1554">
        <f t="shared" ref="U7:U15" si="1">H7</f>
        <v>0</v>
      </c>
      <c r="V7" s="1553" t="s">
        <v>13</v>
      </c>
      <c r="W7" s="1554">
        <f t="shared" ref="W7:W15" si="2">J7</f>
        <v>0</v>
      </c>
      <c r="X7" s="1555"/>
      <c r="Y7" s="3476" t="s">
        <v>530</v>
      </c>
      <c r="Z7" s="3477"/>
      <c r="AA7" s="1556" t="e">
        <f>D7/F7</f>
        <v>#DIV/0!</v>
      </c>
      <c r="AB7" s="1556" t="e">
        <f>D7/H7</f>
        <v>#DIV/0!</v>
      </c>
      <c r="AC7" s="1556" t="e">
        <f>D7/J7</f>
        <v>#DIV/0!</v>
      </c>
    </row>
    <row r="8" spans="1:29" s="1215" customFormat="1" ht="15.75" thickBot="1">
      <c r="A8" s="2751"/>
      <c r="B8" s="2758" t="s">
        <v>531</v>
      </c>
      <c r="C8" s="524" t="s">
        <v>576</v>
      </c>
      <c r="D8" s="519">
        <v>100</v>
      </c>
      <c r="E8" s="855"/>
      <c r="F8" s="521">
        <f>SUMIF(61:61,E8,62:62)-SUMIF(61:61,C8,62:62)+100</f>
        <v>0</v>
      </c>
      <c r="G8" s="524"/>
      <c r="H8" s="519">
        <f>SUMIF(61:61,G8,62:62)-SUMIF(61:61,C8,62:62)+100</f>
        <v>0</v>
      </c>
      <c r="I8" s="855"/>
      <c r="J8" s="519">
        <f>SUMIF(61:61,I8,62:62)-SUMIF(61:61,C8,62:62)+100</f>
        <v>0</v>
      </c>
      <c r="K8" s="854"/>
      <c r="L8" s="2119"/>
      <c r="M8" s="2120"/>
      <c r="N8" s="2120"/>
      <c r="O8" s="2120"/>
      <c r="P8" s="3476" t="s">
        <v>533</v>
      </c>
      <c r="Q8" s="3477"/>
      <c r="R8" s="1553" t="s">
        <v>13</v>
      </c>
      <c r="S8" s="1554">
        <f t="shared" si="0"/>
        <v>0</v>
      </c>
      <c r="T8" s="1553" t="s">
        <v>13</v>
      </c>
      <c r="U8" s="1554">
        <f t="shared" si="1"/>
        <v>0</v>
      </c>
      <c r="V8" s="1553" t="s">
        <v>13</v>
      </c>
      <c r="W8" s="1554">
        <f t="shared" si="2"/>
        <v>0</v>
      </c>
      <c r="X8" s="1555"/>
      <c r="Y8" s="3476" t="s">
        <v>533</v>
      </c>
      <c r="Z8" s="3477"/>
      <c r="AA8" s="1556" t="e">
        <f t="shared" ref="AA8:AA46" si="3">D8/F8</f>
        <v>#DIV/0!</v>
      </c>
      <c r="AB8" s="1556" t="e">
        <f t="shared" ref="AB8:AB46" si="4">D8/H8</f>
        <v>#DIV/0!</v>
      </c>
      <c r="AC8" s="1556" t="e">
        <f t="shared" ref="AC8:AC46" si="5">D8/J8</f>
        <v>#DIV/0!</v>
      </c>
    </row>
    <row r="9" spans="1:29" s="1215" customFormat="1" ht="15">
      <c r="A9" s="2752"/>
      <c r="B9" s="2759" t="s">
        <v>2752</v>
      </c>
      <c r="C9" s="856"/>
      <c r="D9" s="253">
        <v>100</v>
      </c>
      <c r="E9" s="857"/>
      <c r="F9" s="858">
        <f>SUMIF(63:63,E9,64:64)-SUMIF(63:63,C9,64:64)+100</f>
        <v>100</v>
      </c>
      <c r="G9" s="859"/>
      <c r="H9" s="253">
        <f>SUMIF(63:63,G9,64:64)-SUMIF(63:63,C9,64:64)+100</f>
        <v>100</v>
      </c>
      <c r="I9" s="859"/>
      <c r="J9" s="253">
        <f>SUMIF(63:63,I9,64:64)-SUMIF(63:63,C9,64:64)+100</f>
        <v>100</v>
      </c>
      <c r="K9" s="854"/>
      <c r="L9" s="2119"/>
      <c r="M9" s="2120"/>
      <c r="N9" s="2120"/>
      <c r="O9" s="2121"/>
      <c r="P9" s="3469" t="s">
        <v>535</v>
      </c>
      <c r="Q9" s="1146" t="str">
        <f t="shared" ref="Q9:Q15" si="6">B9</f>
        <v>用途</v>
      </c>
      <c r="R9" s="1553" t="s">
        <v>8</v>
      </c>
      <c r="S9" s="1554">
        <f t="shared" si="0"/>
        <v>100</v>
      </c>
      <c r="T9" s="1553" t="s">
        <v>8</v>
      </c>
      <c r="U9" s="1554">
        <f t="shared" si="1"/>
        <v>100</v>
      </c>
      <c r="V9" s="1553" t="s">
        <v>8</v>
      </c>
      <c r="W9" s="1554">
        <f t="shared" si="2"/>
        <v>100</v>
      </c>
      <c r="X9" s="1555"/>
      <c r="Y9" s="3413" t="s">
        <v>536</v>
      </c>
      <c r="Z9" s="1145" t="str">
        <f t="shared" ref="Z9:Z15" si="7">Q9</f>
        <v>用途</v>
      </c>
      <c r="AA9" s="1556">
        <f t="shared" si="3"/>
        <v>1</v>
      </c>
      <c r="AB9" s="1556">
        <f t="shared" si="4"/>
        <v>1</v>
      </c>
      <c r="AC9" s="1556">
        <f t="shared" si="5"/>
        <v>1</v>
      </c>
    </row>
    <row r="10" spans="1:29" s="1333" customFormat="1" ht="27">
      <c r="A10" s="2753"/>
      <c r="B10" s="2758" t="s">
        <v>2753</v>
      </c>
      <c r="C10" s="860"/>
      <c r="D10" s="254">
        <v>100</v>
      </c>
      <c r="E10" s="861"/>
      <c r="F10" s="862">
        <f>SUMIF(65:65,E10,66:66)-SUMIF(65:65,C10,66:66)+100</f>
        <v>100</v>
      </c>
      <c r="G10" s="860"/>
      <c r="H10" s="254">
        <f>SUMIF(65:65,G10,66:66)-SUMIF(65:65,C10,66:66)+100</f>
        <v>100</v>
      </c>
      <c r="I10" s="860"/>
      <c r="J10" s="254">
        <f>SUMIF(65:65,I10,66:66)-SUMIF(65:65,C10,66:66)+100</f>
        <v>100</v>
      </c>
      <c r="K10" s="863"/>
      <c r="L10" s="2122"/>
      <c r="M10" s="2162"/>
      <c r="N10" s="2162"/>
      <c r="O10" s="2123"/>
      <c r="P10" s="3469"/>
      <c r="Q10" s="1146" t="str">
        <f t="shared" si="6"/>
        <v>土地使用年限（年）</v>
      </c>
      <c r="R10" s="1553" t="s">
        <v>8</v>
      </c>
      <c r="S10" s="1554">
        <f t="shared" si="0"/>
        <v>100</v>
      </c>
      <c r="T10" s="1553" t="s">
        <v>8</v>
      </c>
      <c r="U10" s="1554">
        <f t="shared" si="1"/>
        <v>100</v>
      </c>
      <c r="V10" s="1553" t="s">
        <v>8</v>
      </c>
      <c r="W10" s="1554">
        <f t="shared" si="2"/>
        <v>100</v>
      </c>
      <c r="X10" s="1555"/>
      <c r="Y10" s="3413"/>
      <c r="Z10" s="1145" t="str">
        <f t="shared" si="7"/>
        <v>土地使用年限（年）</v>
      </c>
      <c r="AA10" s="1556">
        <f t="shared" si="3"/>
        <v>1</v>
      </c>
      <c r="AB10" s="1556">
        <f t="shared" si="4"/>
        <v>1</v>
      </c>
      <c r="AC10" s="1556">
        <f t="shared" si="5"/>
        <v>1</v>
      </c>
    </row>
    <row r="11" spans="1:29" ht="15">
      <c r="A11" s="2754"/>
      <c r="B11" s="2758" t="s">
        <v>2754</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24"/>
      <c r="M11" s="2118"/>
      <c r="N11" s="2118"/>
      <c r="O11" s="2125"/>
      <c r="P11" s="3469"/>
      <c r="Q11" s="1146" t="str">
        <f t="shared" si="6"/>
        <v>容积率</v>
      </c>
      <c r="R11" s="1553" t="s">
        <v>11</v>
      </c>
      <c r="S11" s="1554" t="e">
        <f t="shared" si="0"/>
        <v>#N/A</v>
      </c>
      <c r="T11" s="1553" t="s">
        <v>11</v>
      </c>
      <c r="U11" s="1554" t="e">
        <f t="shared" si="1"/>
        <v>#N/A</v>
      </c>
      <c r="V11" s="1553" t="s">
        <v>11</v>
      </c>
      <c r="W11" s="1554" t="e">
        <f t="shared" si="2"/>
        <v>#N/A</v>
      </c>
      <c r="X11" s="1555"/>
      <c r="Y11" s="3413"/>
      <c r="Z11" s="1145" t="str">
        <f t="shared" si="7"/>
        <v>容积率</v>
      </c>
      <c r="AA11" s="1556" t="e">
        <f t="shared" si="3"/>
        <v>#N/A</v>
      </c>
      <c r="AB11" s="1556" t="e">
        <f t="shared" si="4"/>
        <v>#N/A</v>
      </c>
      <c r="AC11" s="1556" t="e">
        <f t="shared" si="5"/>
        <v>#N/A</v>
      </c>
    </row>
    <row r="12" spans="1:29" s="1215" customFormat="1" ht="15">
      <c r="A12" s="2755"/>
      <c r="B12" s="2761">
        <v>111</v>
      </c>
      <c r="C12" s="527"/>
      <c r="D12" s="537">
        <v>100</v>
      </c>
      <c r="E12" s="527"/>
      <c r="F12" s="862">
        <f>SUMIF(70:70,E12,71:71)-SUMIF(70:70,C12,71:71)+100</f>
        <v>100</v>
      </c>
      <c r="G12" s="527"/>
      <c r="H12" s="254">
        <f>SUMIF(70:70,G12,71:71)-SUMIF(70:70,C12,71:71)+100</f>
        <v>100</v>
      </c>
      <c r="I12" s="527"/>
      <c r="J12" s="254">
        <f>SUMIF(70:70,I12,71:71)-SUMIF(70:70,C12,71:71)+100</f>
        <v>100</v>
      </c>
      <c r="K12" s="864"/>
      <c r="L12" s="2119"/>
      <c r="M12" s="2120"/>
      <c r="N12" s="2120"/>
      <c r="O12" s="2121"/>
      <c r="P12" s="3469"/>
      <c r="Q12" s="1146">
        <f t="shared" si="6"/>
        <v>111</v>
      </c>
      <c r="R12" s="1553" t="s">
        <v>11</v>
      </c>
      <c r="S12" s="1554">
        <f t="shared" si="0"/>
        <v>100</v>
      </c>
      <c r="T12" s="1553" t="s">
        <v>11</v>
      </c>
      <c r="U12" s="1554">
        <f t="shared" si="1"/>
        <v>100</v>
      </c>
      <c r="V12" s="1553" t="s">
        <v>11</v>
      </c>
      <c r="W12" s="1554">
        <f t="shared" si="2"/>
        <v>100</v>
      </c>
      <c r="X12" s="1555"/>
      <c r="Y12" s="3413"/>
      <c r="Z12" s="1145">
        <f t="shared" si="7"/>
        <v>111</v>
      </c>
      <c r="AA12" s="1556">
        <f>D12/F12</f>
        <v>1</v>
      </c>
      <c r="AB12" s="1556">
        <f>D12/H12</f>
        <v>1</v>
      </c>
      <c r="AC12" s="1556">
        <f>D12/J12</f>
        <v>1</v>
      </c>
    </row>
    <row r="13" spans="1:29" ht="15">
      <c r="A13" s="2755"/>
      <c r="B13" s="2761">
        <v>111</v>
      </c>
      <c r="C13" s="538"/>
      <c r="D13" s="539">
        <v>100</v>
      </c>
      <c r="E13" s="538"/>
      <c r="F13" s="862">
        <f>SUMIF(72:72,E13,73:73)-SUMIF(72:72,C13,73:73)+100</f>
        <v>100</v>
      </c>
      <c r="G13" s="538"/>
      <c r="H13" s="539">
        <f>SUMIF(72:72,G13,73:73)-SUMIF(72:72,C13,73:73)+100</f>
        <v>100</v>
      </c>
      <c r="I13" s="538"/>
      <c r="J13" s="539">
        <f>SUMIF(72:72,I13,73:73)-SUMIF(72:72,C13,73:73)+100</f>
        <v>100</v>
      </c>
      <c r="K13" s="864"/>
      <c r="L13" s="2126"/>
      <c r="M13" s="2118"/>
      <c r="N13" s="2118"/>
      <c r="O13" s="2125"/>
      <c r="P13" s="3469"/>
      <c r="Q13" s="1146">
        <f t="shared" si="6"/>
        <v>111</v>
      </c>
      <c r="R13" s="1553" t="s">
        <v>11</v>
      </c>
      <c r="S13" s="1554">
        <f t="shared" si="0"/>
        <v>100</v>
      </c>
      <c r="T13" s="1553" t="s">
        <v>11</v>
      </c>
      <c r="U13" s="1554">
        <f t="shared" si="1"/>
        <v>100</v>
      </c>
      <c r="V13" s="1553" t="s">
        <v>11</v>
      </c>
      <c r="W13" s="1554">
        <f t="shared" si="2"/>
        <v>100</v>
      </c>
      <c r="X13" s="1555"/>
      <c r="Y13" s="3413"/>
      <c r="Z13" s="1145">
        <f t="shared" si="7"/>
        <v>111</v>
      </c>
      <c r="AA13" s="1556">
        <f t="shared" si="3"/>
        <v>1</v>
      </c>
      <c r="AB13" s="1556">
        <f t="shared" si="4"/>
        <v>1</v>
      </c>
      <c r="AC13" s="1556">
        <f t="shared" si="5"/>
        <v>1</v>
      </c>
    </row>
    <row r="14" spans="1:29" ht="15.75" thickBot="1">
      <c r="A14" s="2756"/>
      <c r="B14" s="2762">
        <v>111</v>
      </c>
      <c r="C14" s="544"/>
      <c r="D14" s="545">
        <v>100</v>
      </c>
      <c r="E14" s="544"/>
      <c r="F14" s="865">
        <f>SUMIF(74:74,E14,75:75)-SUMIF(74:74,C14,75:75)+100</f>
        <v>100</v>
      </c>
      <c r="G14" s="544"/>
      <c r="H14" s="545">
        <f>SUMIF(74:74,G14,75:75)-SUMIF(74:74,C14,75:75)+100</f>
        <v>100</v>
      </c>
      <c r="I14" s="544"/>
      <c r="J14" s="545">
        <f>SUMIF(74:74,I14,75:75)-SUMIF(74:74,C14,75:75)+100</f>
        <v>100</v>
      </c>
      <c r="K14" s="864"/>
      <c r="L14" s="2126"/>
      <c r="M14" s="2118"/>
      <c r="N14" s="2118"/>
      <c r="O14" s="2125"/>
      <c r="P14" s="3469"/>
      <c r="Q14" s="1146">
        <f t="shared" si="6"/>
        <v>111</v>
      </c>
      <c r="R14" s="1553" t="s">
        <v>11</v>
      </c>
      <c r="S14" s="1554">
        <f t="shared" si="0"/>
        <v>100</v>
      </c>
      <c r="T14" s="1553" t="s">
        <v>11</v>
      </c>
      <c r="U14" s="1554">
        <f t="shared" si="1"/>
        <v>100</v>
      </c>
      <c r="V14" s="1553" t="s">
        <v>11</v>
      </c>
      <c r="W14" s="1554">
        <f t="shared" si="2"/>
        <v>100</v>
      </c>
      <c r="X14" s="1555"/>
      <c r="Y14" s="3413"/>
      <c r="Z14" s="1145">
        <f t="shared" si="7"/>
        <v>111</v>
      </c>
      <c r="AA14" s="1556">
        <f t="shared" si="3"/>
        <v>1</v>
      </c>
      <c r="AB14" s="1556">
        <f t="shared" si="4"/>
        <v>1</v>
      </c>
      <c r="AC14" s="1556">
        <f t="shared" si="5"/>
        <v>1</v>
      </c>
    </row>
    <row r="15" spans="1:29" ht="99.75">
      <c r="A15" s="2748" t="s">
        <v>2750</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26"/>
      <c r="M15" s="2118"/>
      <c r="N15" s="2118"/>
      <c r="O15" s="2125"/>
      <c r="P15" s="3472" t="s">
        <v>540</v>
      </c>
      <c r="Q15" s="1557" t="str">
        <f t="shared" si="6"/>
        <v>居住社区成熟度</v>
      </c>
      <c r="R15" s="1558" t="s">
        <v>11</v>
      </c>
      <c r="S15" s="1559">
        <f t="shared" si="0"/>
        <v>100</v>
      </c>
      <c r="T15" s="1558" t="s">
        <v>11</v>
      </c>
      <c r="U15" s="1559">
        <f t="shared" si="1"/>
        <v>100</v>
      </c>
      <c r="V15" s="1558" t="s">
        <v>11</v>
      </c>
      <c r="W15" s="1559">
        <f t="shared" si="2"/>
        <v>100</v>
      </c>
      <c r="X15" s="1552"/>
      <c r="Y15" s="3472" t="s">
        <v>540</v>
      </c>
      <c r="Z15" s="1560" t="str">
        <f t="shared" si="7"/>
        <v>居住社区成熟度</v>
      </c>
      <c r="AA15" s="1561">
        <f t="shared" si="3"/>
        <v>1</v>
      </c>
      <c r="AB15" s="1561">
        <f t="shared" si="4"/>
        <v>1</v>
      </c>
      <c r="AC15" s="1561">
        <f t="shared" si="5"/>
        <v>1</v>
      </c>
    </row>
    <row r="16" spans="1:29" ht="15">
      <c r="A16" s="531"/>
      <c r="B16" s="868"/>
      <c r="C16" s="575"/>
      <c r="D16" s="554"/>
      <c r="E16" s="555"/>
      <c r="F16" s="556"/>
      <c r="G16" s="557"/>
      <c r="H16" s="558"/>
      <c r="I16" s="555"/>
      <c r="J16" s="554"/>
      <c r="K16" s="869"/>
      <c r="L16" s="2126"/>
      <c r="M16" s="2118"/>
      <c r="N16" s="2118"/>
      <c r="O16" s="2125"/>
      <c r="P16" s="3473"/>
      <c r="Q16" s="1557"/>
      <c r="R16" s="1558"/>
      <c r="S16" s="1559"/>
      <c r="T16" s="1558"/>
      <c r="U16" s="1559"/>
      <c r="V16" s="1558"/>
      <c r="W16" s="1559"/>
      <c r="X16" s="1552"/>
      <c r="Y16" s="3473"/>
      <c r="Z16" s="1560"/>
      <c r="AA16" s="1561">
        <v>1</v>
      </c>
      <c r="AB16" s="1561">
        <v>1</v>
      </c>
      <c r="AC16" s="1561">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26"/>
      <c r="M17" s="2118"/>
      <c r="N17" s="2118"/>
      <c r="O17" s="2125"/>
      <c r="P17" s="3473"/>
      <c r="Q17" s="1557" t="str">
        <f>B17</f>
        <v>交通便捷度</v>
      </c>
      <c r="R17" s="1558" t="s">
        <v>11</v>
      </c>
      <c r="S17" s="1559">
        <f>F17</f>
        <v>100</v>
      </c>
      <c r="T17" s="1558" t="s">
        <v>11</v>
      </c>
      <c r="U17" s="1559">
        <f>H17</f>
        <v>100</v>
      </c>
      <c r="V17" s="1558" t="s">
        <v>11</v>
      </c>
      <c r="W17" s="1559">
        <f>J17</f>
        <v>100</v>
      </c>
      <c r="X17" s="1552"/>
      <c r="Y17" s="3473"/>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69"/>
      <c r="L18" s="2126"/>
      <c r="M18" s="2118"/>
      <c r="N18" s="2118"/>
      <c r="O18" s="2125"/>
      <c r="P18" s="3473"/>
      <c r="Q18" s="1557"/>
      <c r="R18" s="1558"/>
      <c r="S18" s="1559"/>
      <c r="T18" s="1558"/>
      <c r="U18" s="1559"/>
      <c r="V18" s="1558"/>
      <c r="W18" s="1559"/>
      <c r="X18" s="1552"/>
      <c r="Y18" s="3473"/>
      <c r="Z18" s="1560"/>
      <c r="AA18" s="1561">
        <v>1</v>
      </c>
      <c r="AB18" s="1561">
        <v>1</v>
      </c>
      <c r="AC18" s="1561">
        <v>1</v>
      </c>
    </row>
    <row r="19" spans="1:29" ht="42.75">
      <c r="A19" s="531"/>
      <c r="B19" s="2563" t="s">
        <v>2543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26"/>
      <c r="M19" s="2118"/>
      <c r="N19" s="2118"/>
      <c r="O19" s="2125"/>
      <c r="P19" s="3473"/>
      <c r="Q19" s="1557" t="str">
        <f>B19</f>
        <v>公共配套设施</v>
      </c>
      <c r="R19" s="1558" t="s">
        <v>11</v>
      </c>
      <c r="S19" s="1559">
        <f>F19</f>
        <v>100</v>
      </c>
      <c r="T19" s="1558" t="s">
        <v>11</v>
      </c>
      <c r="U19" s="1559">
        <f>H19</f>
        <v>100</v>
      </c>
      <c r="V19" s="1558" t="s">
        <v>11</v>
      </c>
      <c r="W19" s="1559">
        <f>J19</f>
        <v>100</v>
      </c>
      <c r="X19" s="1552"/>
      <c r="Y19" s="3473"/>
      <c r="Z19" s="1560" t="str">
        <f>Q19</f>
        <v>公共配套设施</v>
      </c>
      <c r="AA19" s="1561">
        <f t="shared" si="3"/>
        <v>1</v>
      </c>
      <c r="AB19" s="1561">
        <f t="shared" si="4"/>
        <v>1</v>
      </c>
      <c r="AC19" s="1561">
        <f t="shared" si="5"/>
        <v>1</v>
      </c>
    </row>
    <row r="20" spans="1:29" ht="15">
      <c r="A20" s="531"/>
      <c r="B20" s="594"/>
      <c r="C20" s="575"/>
      <c r="D20" s="554"/>
      <c r="E20" s="555"/>
      <c r="F20" s="556"/>
      <c r="G20" s="557"/>
      <c r="H20" s="554"/>
      <c r="I20" s="555"/>
      <c r="J20" s="554"/>
      <c r="K20" s="869"/>
      <c r="L20" s="2126"/>
      <c r="M20" s="2118"/>
      <c r="N20" s="2118"/>
      <c r="O20" s="2125"/>
      <c r="P20" s="3473"/>
      <c r="Q20" s="1557"/>
      <c r="R20" s="1558"/>
      <c r="S20" s="1559"/>
      <c r="T20" s="1558"/>
      <c r="U20" s="1559"/>
      <c r="V20" s="1558"/>
      <c r="W20" s="1559"/>
      <c r="X20" s="1552"/>
      <c r="Y20" s="3473"/>
      <c r="Z20" s="1560"/>
      <c r="AA20" s="1561">
        <v>1</v>
      </c>
      <c r="AB20" s="1561">
        <v>1</v>
      </c>
      <c r="AC20" s="1561">
        <v>1</v>
      </c>
    </row>
    <row r="21" spans="1:29" ht="28.5">
      <c r="A21" s="531"/>
      <c r="B21" s="2556" t="s">
        <v>2555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26"/>
      <c r="M21" s="2118"/>
      <c r="N21" s="2118"/>
      <c r="O21" s="2125"/>
      <c r="P21" s="3473"/>
      <c r="Q21" s="2542" t="str">
        <f>B21</f>
        <v>基础设施水平</v>
      </c>
      <c r="R21" s="1558" t="s">
        <v>11</v>
      </c>
      <c r="S21" s="1559">
        <f>F21</f>
        <v>100</v>
      </c>
      <c r="T21" s="1558" t="s">
        <v>11</v>
      </c>
      <c r="U21" s="1559">
        <f>H21</f>
        <v>100</v>
      </c>
      <c r="V21" s="1558" t="s">
        <v>11</v>
      </c>
      <c r="W21" s="1559">
        <f>J21</f>
        <v>100</v>
      </c>
      <c r="X21" s="2544"/>
      <c r="Y21" s="3473"/>
      <c r="Z21" s="2543" t="str">
        <f>Q21</f>
        <v>基础设施水平</v>
      </c>
      <c r="AA21" s="1561">
        <f t="shared" ref="AA21" si="8">D21/F21</f>
        <v>1</v>
      </c>
      <c r="AB21" s="1561">
        <f t="shared" ref="AB21" si="9">D21/H21</f>
        <v>1</v>
      </c>
      <c r="AC21" s="1561">
        <f t="shared" ref="AC21" si="10">D21/J21</f>
        <v>1</v>
      </c>
    </row>
    <row r="22" spans="1:29" ht="15">
      <c r="A22" s="531"/>
      <c r="B22" s="921"/>
      <c r="C22" s="872"/>
      <c r="D22" s="554"/>
      <c r="E22" s="575"/>
      <c r="F22" s="556"/>
      <c r="G22" s="575"/>
      <c r="H22" s="554"/>
      <c r="I22" s="575"/>
      <c r="J22" s="554"/>
      <c r="K22" s="2562"/>
      <c r="L22" s="2126"/>
      <c r="M22" s="2118"/>
      <c r="N22" s="2118"/>
      <c r="O22" s="2125"/>
      <c r="P22" s="3473"/>
      <c r="Q22" s="2542"/>
      <c r="R22" s="1558"/>
      <c r="S22" s="1559"/>
      <c r="T22" s="1558"/>
      <c r="U22" s="1559"/>
      <c r="V22" s="1558"/>
      <c r="W22" s="1559"/>
      <c r="X22" s="2544"/>
      <c r="Y22" s="3473"/>
      <c r="Z22" s="2543"/>
      <c r="AA22" s="1561">
        <v>1</v>
      </c>
      <c r="AB22" s="1561">
        <v>1</v>
      </c>
      <c r="AC22" s="1561">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26"/>
      <c r="M23" s="2118"/>
      <c r="N23" s="2118"/>
      <c r="O23" s="2125"/>
      <c r="P23" s="3473"/>
      <c r="Q23" s="1557" t="str">
        <f>B23</f>
        <v>自然及人文环境</v>
      </c>
      <c r="R23" s="1558" t="s">
        <v>11</v>
      </c>
      <c r="S23" s="1559">
        <f>F23</f>
        <v>100</v>
      </c>
      <c r="T23" s="1558" t="s">
        <v>11</v>
      </c>
      <c r="U23" s="1559">
        <f>H23</f>
        <v>100</v>
      </c>
      <c r="V23" s="1558" t="s">
        <v>11</v>
      </c>
      <c r="W23" s="1559">
        <f>J23</f>
        <v>100</v>
      </c>
      <c r="X23" s="1552"/>
      <c r="Y23" s="3473"/>
      <c r="Z23" s="1560" t="str">
        <f>Q23</f>
        <v>自然及人文环境</v>
      </c>
      <c r="AA23" s="1561">
        <f t="shared" si="3"/>
        <v>1</v>
      </c>
      <c r="AB23" s="1561">
        <f t="shared" si="4"/>
        <v>1</v>
      </c>
      <c r="AC23" s="1561">
        <f t="shared" si="5"/>
        <v>1</v>
      </c>
    </row>
    <row r="24" spans="1:29" ht="15">
      <c r="A24" s="531"/>
      <c r="B24" s="594"/>
      <c r="C24" s="575"/>
      <c r="D24" s="554"/>
      <c r="E24" s="555"/>
      <c r="F24" s="556"/>
      <c r="G24" s="557"/>
      <c r="H24" s="554"/>
      <c r="I24" s="555"/>
      <c r="J24" s="554"/>
      <c r="K24" s="869"/>
      <c r="L24" s="2126"/>
      <c r="M24" s="2118"/>
      <c r="N24" s="2118"/>
      <c r="O24" s="2125"/>
      <c r="P24" s="3473"/>
      <c r="Q24" s="1557"/>
      <c r="R24" s="1558"/>
      <c r="S24" s="1559"/>
      <c r="T24" s="1558"/>
      <c r="U24" s="1559"/>
      <c r="V24" s="1558"/>
      <c r="W24" s="1559"/>
      <c r="X24" s="1552"/>
      <c r="Y24" s="3473"/>
      <c r="Z24" s="1560"/>
      <c r="AA24" s="1561">
        <v>1</v>
      </c>
      <c r="AB24" s="1561">
        <v>1</v>
      </c>
      <c r="AC24" s="1561">
        <v>1</v>
      </c>
    </row>
    <row r="25" spans="1:29" ht="15">
      <c r="A25" s="531"/>
      <c r="B25" s="1879" t="s">
        <v>2254</v>
      </c>
      <c r="C25" s="573"/>
      <c r="D25" s="539">
        <v>100</v>
      </c>
      <c r="E25" s="873"/>
      <c r="F25" s="574">
        <f>SUMIF(86:86,E25,87:87)-SUMIF(86:86,C25,87:87)+100</f>
        <v>100</v>
      </c>
      <c r="G25" s="598"/>
      <c r="H25" s="539">
        <f>SUMIF(86:86,G25,87:87)-SUMIF(86:86,C25,87:87)+100</f>
        <v>100</v>
      </c>
      <c r="I25" s="873"/>
      <c r="J25" s="539">
        <f>SUMIF(86:86,I25,87:87)-SUMIF(86:86,C25,87:87)+100</f>
        <v>100</v>
      </c>
      <c r="K25" s="863"/>
      <c r="L25" s="2126"/>
      <c r="M25" s="2118"/>
      <c r="N25" s="2118"/>
      <c r="O25" s="2125"/>
      <c r="P25" s="3473"/>
      <c r="Q25" s="1557" t="str">
        <f t="shared" ref="Q25:Q46" si="11">B25</f>
        <v>楼层-1</v>
      </c>
      <c r="R25" s="1558" t="s">
        <v>11</v>
      </c>
      <c r="S25" s="1559">
        <f>F25</f>
        <v>100</v>
      </c>
      <c r="T25" s="1558" t="s">
        <v>11</v>
      </c>
      <c r="U25" s="1559">
        <f>H25</f>
        <v>100</v>
      </c>
      <c r="V25" s="1558" t="s">
        <v>11</v>
      </c>
      <c r="W25" s="1559">
        <f>J25</f>
        <v>100</v>
      </c>
      <c r="X25" s="1552"/>
      <c r="Y25" s="3473"/>
      <c r="Z25" s="1560" t="str">
        <f>Q25</f>
        <v>楼层-1</v>
      </c>
      <c r="AA25" s="1561">
        <f t="shared" si="3"/>
        <v>1</v>
      </c>
      <c r="AB25" s="1561">
        <f t="shared" si="4"/>
        <v>1</v>
      </c>
      <c r="AC25" s="1561">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6"/>
      <c r="M26" s="2118"/>
      <c r="N26" s="2118"/>
      <c r="O26" s="2125"/>
      <c r="P26" s="3473"/>
      <c r="Q26" s="1557" t="str">
        <f t="shared" si="11"/>
        <v>朝向</v>
      </c>
      <c r="R26" s="1558" t="s">
        <v>11</v>
      </c>
      <c r="S26" s="1559">
        <f>F26</f>
        <v>100</v>
      </c>
      <c r="T26" s="1558" t="s">
        <v>11</v>
      </c>
      <c r="U26" s="1559">
        <f>H26</f>
        <v>100</v>
      </c>
      <c r="V26" s="1558" t="s">
        <v>11</v>
      </c>
      <c r="W26" s="1559">
        <f>J26</f>
        <v>100</v>
      </c>
      <c r="X26" s="1552"/>
      <c r="Y26" s="3473"/>
      <c r="Z26" s="1560" t="str">
        <f>Q26</f>
        <v>朝向</v>
      </c>
      <c r="AA26" s="1561">
        <f t="shared" si="3"/>
        <v>1</v>
      </c>
      <c r="AB26" s="1561">
        <f t="shared" si="4"/>
        <v>1</v>
      </c>
      <c r="AC26" s="1561">
        <f t="shared" si="5"/>
        <v>1</v>
      </c>
    </row>
    <row r="27" spans="1:29" s="1215"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9"/>
      <c r="M27" s="2120"/>
      <c r="N27" s="2120"/>
      <c r="O27" s="2121"/>
      <c r="P27" s="3473"/>
      <c r="Q27" s="1146" t="str">
        <f t="shared" si="11"/>
        <v>道路级别</v>
      </c>
      <c r="R27" s="1553" t="s">
        <v>11</v>
      </c>
      <c r="S27" s="1554">
        <f>F27</f>
        <v>100</v>
      </c>
      <c r="T27" s="1553" t="s">
        <v>11</v>
      </c>
      <c r="U27" s="1554">
        <f>H27</f>
        <v>100</v>
      </c>
      <c r="V27" s="1553" t="s">
        <v>11</v>
      </c>
      <c r="W27" s="1554">
        <f>J27</f>
        <v>100</v>
      </c>
      <c r="X27" s="1555"/>
      <c r="Y27" s="3473"/>
      <c r="Z27" s="1145" t="str">
        <f>Q27</f>
        <v>道路级别</v>
      </c>
      <c r="AA27" s="1561">
        <f>D27/F27</f>
        <v>1</v>
      </c>
      <c r="AB27" s="1561">
        <f>D27/H27</f>
        <v>1</v>
      </c>
      <c r="AC27" s="1561">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6"/>
      <c r="M28" s="2118"/>
      <c r="N28" s="2118"/>
      <c r="O28" s="2125"/>
      <c r="P28" s="3473"/>
      <c r="Q28" s="1557">
        <f t="shared" si="11"/>
        <v>111</v>
      </c>
      <c r="R28" s="1558" t="s">
        <v>11</v>
      </c>
      <c r="S28" s="1559">
        <f t="shared" ref="S28:S46" si="12">F28</f>
        <v>100</v>
      </c>
      <c r="T28" s="1558" t="s">
        <v>11</v>
      </c>
      <c r="U28" s="1559">
        <f t="shared" ref="U28:U46" si="13">H28</f>
        <v>100</v>
      </c>
      <c r="V28" s="1558" t="s">
        <v>11</v>
      </c>
      <c r="W28" s="1559">
        <f t="shared" ref="W28:W46" si="14">J28</f>
        <v>100</v>
      </c>
      <c r="X28" s="1552"/>
      <c r="Y28" s="3473"/>
      <c r="Z28" s="1560">
        <f t="shared" ref="Z28:Z46" si="15">Q28</f>
        <v>111</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6"/>
      <c r="M29" s="2118"/>
      <c r="N29" s="2118"/>
      <c r="O29" s="2125"/>
      <c r="P29" s="3473"/>
      <c r="Q29" s="1557">
        <f t="shared" si="11"/>
        <v>111</v>
      </c>
      <c r="R29" s="1558" t="s">
        <v>11</v>
      </c>
      <c r="S29" s="1559">
        <f t="shared" si="12"/>
        <v>100</v>
      </c>
      <c r="T29" s="1558" t="s">
        <v>11</v>
      </c>
      <c r="U29" s="1559">
        <f t="shared" si="13"/>
        <v>100</v>
      </c>
      <c r="V29" s="1558" t="s">
        <v>11</v>
      </c>
      <c r="W29" s="1559">
        <f t="shared" si="14"/>
        <v>100</v>
      </c>
      <c r="X29" s="1552"/>
      <c r="Y29" s="3473"/>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6"/>
      <c r="M30" s="2118"/>
      <c r="N30" s="2118"/>
      <c r="O30" s="2125"/>
      <c r="P30" s="3473"/>
      <c r="Q30" s="1557">
        <f t="shared" si="11"/>
        <v>111</v>
      </c>
      <c r="R30" s="1558" t="s">
        <v>11</v>
      </c>
      <c r="S30" s="1559">
        <f t="shared" si="12"/>
        <v>100</v>
      </c>
      <c r="T30" s="1558" t="s">
        <v>11</v>
      </c>
      <c r="U30" s="1559">
        <f t="shared" si="13"/>
        <v>100</v>
      </c>
      <c r="V30" s="1558" t="s">
        <v>11</v>
      </c>
      <c r="W30" s="1559">
        <f t="shared" si="14"/>
        <v>100</v>
      </c>
      <c r="X30" s="1552"/>
      <c r="Y30" s="3473"/>
      <c r="Z30" s="1560">
        <f t="shared" si="15"/>
        <v>111</v>
      </c>
      <c r="AA30" s="1561">
        <f t="shared" si="3"/>
        <v>1</v>
      </c>
      <c r="AB30" s="1561">
        <f t="shared" si="4"/>
        <v>1</v>
      </c>
      <c r="AC30" s="1561">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6"/>
      <c r="M31" s="2118"/>
      <c r="N31" s="2118"/>
      <c r="O31" s="2125"/>
      <c r="P31" s="3473"/>
      <c r="Q31" s="1557">
        <f t="shared" si="11"/>
        <v>111</v>
      </c>
      <c r="R31" s="1558" t="s">
        <v>11</v>
      </c>
      <c r="S31" s="1559">
        <f t="shared" si="12"/>
        <v>100</v>
      </c>
      <c r="T31" s="1558" t="s">
        <v>11</v>
      </c>
      <c r="U31" s="1559">
        <f t="shared" si="13"/>
        <v>100</v>
      </c>
      <c r="V31" s="1558" t="s">
        <v>11</v>
      </c>
      <c r="W31" s="1559">
        <f t="shared" si="14"/>
        <v>100</v>
      </c>
      <c r="X31" s="1552"/>
      <c r="Y31" s="3473"/>
      <c r="Z31" s="1560">
        <f t="shared" si="15"/>
        <v>111</v>
      </c>
      <c r="AA31" s="1561">
        <f t="shared" si="3"/>
        <v>1</v>
      </c>
      <c r="AB31" s="1561">
        <f t="shared" si="4"/>
        <v>1</v>
      </c>
      <c r="AC31" s="1561">
        <f t="shared" si="5"/>
        <v>1</v>
      </c>
    </row>
    <row r="32" spans="1:29" ht="15">
      <c r="A32" s="2745" t="s">
        <v>2751</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26"/>
      <c r="M32" s="2118"/>
      <c r="N32" s="2118"/>
      <c r="O32" s="2125"/>
      <c r="P32" s="3474" t="s">
        <v>550</v>
      </c>
      <c r="Q32" s="1557" t="str">
        <f t="shared" si="11"/>
        <v>建筑类型</v>
      </c>
      <c r="R32" s="1558" t="s">
        <v>11</v>
      </c>
      <c r="S32" s="1559">
        <f t="shared" si="12"/>
        <v>100</v>
      </c>
      <c r="T32" s="1558" t="s">
        <v>11</v>
      </c>
      <c r="U32" s="1559">
        <f t="shared" si="13"/>
        <v>100</v>
      </c>
      <c r="V32" s="1558" t="s">
        <v>11</v>
      </c>
      <c r="W32" s="1559">
        <f t="shared" si="14"/>
        <v>100</v>
      </c>
      <c r="X32" s="1552"/>
      <c r="Y32" s="3475" t="s">
        <v>550</v>
      </c>
      <c r="Z32" s="1560" t="str">
        <f t="shared" si="15"/>
        <v>建筑类型</v>
      </c>
      <c r="AA32" s="1561">
        <f t="shared" si="3"/>
        <v>1</v>
      </c>
      <c r="AB32" s="1561">
        <f t="shared" si="4"/>
        <v>1</v>
      </c>
      <c r="AC32" s="1561">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24"/>
      <c r="M33" s="2155"/>
      <c r="N33" s="2155"/>
      <c r="O33" s="2127"/>
      <c r="P33" s="3475"/>
      <c r="Q33" s="1589" t="str">
        <f t="shared" si="11"/>
        <v>项目建筑规模</v>
      </c>
      <c r="R33" s="1562" t="s">
        <v>11</v>
      </c>
      <c r="S33" s="1563" t="e">
        <f t="shared" si="12"/>
        <v>#N/A</v>
      </c>
      <c r="T33" s="1562" t="s">
        <v>11</v>
      </c>
      <c r="U33" s="1563" t="e">
        <f t="shared" si="13"/>
        <v>#N/A</v>
      </c>
      <c r="V33" s="1562" t="s">
        <v>11</v>
      </c>
      <c r="W33" s="1563" t="e">
        <f t="shared" si="14"/>
        <v>#N/A</v>
      </c>
      <c r="X33" s="1564"/>
      <c r="Y33" s="3475"/>
      <c r="Z33" s="1565" t="str">
        <f t="shared" si="15"/>
        <v>项目建筑规模</v>
      </c>
      <c r="AA33" s="1561" t="e">
        <f t="shared" si="3"/>
        <v>#N/A</v>
      </c>
      <c r="AB33" s="1561" t="e">
        <f t="shared" si="4"/>
        <v>#N/A</v>
      </c>
      <c r="AC33" s="1561"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26"/>
      <c r="M34" s="2118"/>
      <c r="N34" s="2118"/>
      <c r="O34" s="2125"/>
      <c r="P34" s="3475"/>
      <c r="Q34" s="1557" t="str">
        <f t="shared" si="11"/>
        <v>建筑结构</v>
      </c>
      <c r="R34" s="1558" t="s">
        <v>11</v>
      </c>
      <c r="S34" s="1559">
        <f t="shared" si="12"/>
        <v>100</v>
      </c>
      <c r="T34" s="1558" t="s">
        <v>11</v>
      </c>
      <c r="U34" s="1559">
        <f t="shared" si="13"/>
        <v>100</v>
      </c>
      <c r="V34" s="1558" t="s">
        <v>11</v>
      </c>
      <c r="W34" s="1559">
        <f t="shared" si="14"/>
        <v>100</v>
      </c>
      <c r="X34" s="1552"/>
      <c r="Y34" s="3475"/>
      <c r="Z34" s="1560" t="str">
        <f t="shared" si="15"/>
        <v>建筑结构</v>
      </c>
      <c r="AA34" s="1561">
        <f t="shared" si="3"/>
        <v>1</v>
      </c>
      <c r="AB34" s="1561">
        <f t="shared" si="4"/>
        <v>1</v>
      </c>
      <c r="AC34" s="1561">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6"/>
      <c r="M35" s="2118"/>
      <c r="N35" s="2118"/>
      <c r="O35" s="2125"/>
      <c r="P35" s="3475"/>
      <c r="Q35" s="1557" t="str">
        <f t="shared" si="11"/>
        <v>建筑品质</v>
      </c>
      <c r="R35" s="1558" t="s">
        <v>11</v>
      </c>
      <c r="S35" s="1559">
        <f t="shared" si="12"/>
        <v>100</v>
      </c>
      <c r="T35" s="1558" t="s">
        <v>11</v>
      </c>
      <c r="U35" s="1559">
        <f t="shared" si="13"/>
        <v>100</v>
      </c>
      <c r="V35" s="1558" t="s">
        <v>11</v>
      </c>
      <c r="W35" s="1559">
        <f t="shared" si="14"/>
        <v>100</v>
      </c>
      <c r="X35" s="1552"/>
      <c r="Y35" s="3475"/>
      <c r="Z35" s="1560" t="str">
        <f t="shared" si="15"/>
        <v>建筑品质</v>
      </c>
      <c r="AA35" s="1561">
        <f t="shared" si="3"/>
        <v>1</v>
      </c>
      <c r="AB35" s="1561">
        <f t="shared" si="4"/>
        <v>1</v>
      </c>
      <c r="AC35" s="1561">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26"/>
      <c r="M36" s="2118"/>
      <c r="N36" s="2118"/>
      <c r="O36" s="2125"/>
      <c r="P36" s="3475"/>
      <c r="Q36" s="1557" t="str">
        <f t="shared" si="11"/>
        <v>公共部分装修</v>
      </c>
      <c r="R36" s="1558" t="s">
        <v>11</v>
      </c>
      <c r="S36" s="1559">
        <f t="shared" si="12"/>
        <v>100</v>
      </c>
      <c r="T36" s="1558" t="s">
        <v>11</v>
      </c>
      <c r="U36" s="1559">
        <f t="shared" si="13"/>
        <v>100</v>
      </c>
      <c r="V36" s="1558" t="s">
        <v>11</v>
      </c>
      <c r="W36" s="1559">
        <f t="shared" si="14"/>
        <v>100</v>
      </c>
      <c r="X36" s="1552"/>
      <c r="Y36" s="3475"/>
      <c r="Z36" s="1560" t="str">
        <f t="shared" si="15"/>
        <v>公共部分装修</v>
      </c>
      <c r="AA36" s="1561">
        <f t="shared" si="3"/>
        <v>1</v>
      </c>
      <c r="AB36" s="1561">
        <f t="shared" si="4"/>
        <v>1</v>
      </c>
      <c r="AC36" s="1561">
        <f t="shared" si="5"/>
        <v>1</v>
      </c>
    </row>
    <row r="37" spans="1:29" s="1215"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19"/>
      <c r="M37" s="2120"/>
      <c r="N37" s="2120"/>
      <c r="O37" s="2121"/>
      <c r="P37" s="3475"/>
      <c r="Q37" s="1146" t="str">
        <f t="shared" si="11"/>
        <v>成新度</v>
      </c>
      <c r="R37" s="1553" t="s">
        <v>11</v>
      </c>
      <c r="S37" s="1554" t="e">
        <f t="shared" si="12"/>
        <v>#N/A</v>
      </c>
      <c r="T37" s="1553" t="s">
        <v>11</v>
      </c>
      <c r="U37" s="1554" t="e">
        <f t="shared" si="13"/>
        <v>#N/A</v>
      </c>
      <c r="V37" s="1553" t="s">
        <v>11</v>
      </c>
      <c r="W37" s="1554" t="e">
        <f t="shared" si="14"/>
        <v>#N/A</v>
      </c>
      <c r="X37" s="1555"/>
      <c r="Y37" s="3475"/>
      <c r="Z37" s="1145" t="str">
        <f t="shared" si="15"/>
        <v>成新度</v>
      </c>
      <c r="AA37" s="1556" t="e">
        <f t="shared" si="3"/>
        <v>#N/A</v>
      </c>
      <c r="AB37" s="1556" t="e">
        <f t="shared" si="4"/>
        <v>#N/A</v>
      </c>
      <c r="AC37" s="1556"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6"/>
      <c r="M38" s="2118"/>
      <c r="N38" s="2118"/>
      <c r="O38" s="2125"/>
      <c r="P38" s="3475" t="s">
        <v>550</v>
      </c>
      <c r="Q38" s="1557" t="str">
        <f t="shared" si="11"/>
        <v>物业管理</v>
      </c>
      <c r="R38" s="1558" t="s">
        <v>11</v>
      </c>
      <c r="S38" s="1559">
        <f t="shared" si="12"/>
        <v>100</v>
      </c>
      <c r="T38" s="1558" t="s">
        <v>11</v>
      </c>
      <c r="U38" s="1559">
        <f t="shared" si="13"/>
        <v>100</v>
      </c>
      <c r="V38" s="1558" t="s">
        <v>11</v>
      </c>
      <c r="W38" s="1559">
        <f t="shared" si="14"/>
        <v>100</v>
      </c>
      <c r="X38" s="1552"/>
      <c r="Y38" s="3475" t="s">
        <v>550</v>
      </c>
      <c r="Z38" s="1560" t="str">
        <f t="shared" si="15"/>
        <v>物业管理</v>
      </c>
      <c r="AA38" s="1561">
        <f t="shared" si="3"/>
        <v>1</v>
      </c>
      <c r="AB38" s="1561">
        <f t="shared" si="4"/>
        <v>1</v>
      </c>
      <c r="AC38" s="1561">
        <f t="shared" si="5"/>
        <v>1</v>
      </c>
    </row>
    <row r="39" spans="1:29" ht="15">
      <c r="A39" s="593"/>
      <c r="B39" s="1879" t="s">
        <v>2561</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26"/>
      <c r="M39" s="2118"/>
      <c r="N39" s="2118"/>
      <c r="O39" s="2125"/>
      <c r="P39" s="3475"/>
      <c r="Q39" s="1557" t="str">
        <f t="shared" si="11"/>
        <v>市政基础设施</v>
      </c>
      <c r="R39" s="1558" t="s">
        <v>11</v>
      </c>
      <c r="S39" s="1559">
        <f t="shared" si="12"/>
        <v>100</v>
      </c>
      <c r="T39" s="1558" t="s">
        <v>11</v>
      </c>
      <c r="U39" s="1559">
        <f t="shared" si="13"/>
        <v>100</v>
      </c>
      <c r="V39" s="1558" t="s">
        <v>11</v>
      </c>
      <c r="W39" s="1559">
        <f t="shared" si="14"/>
        <v>100</v>
      </c>
      <c r="X39" s="1552"/>
      <c r="Y39" s="3475"/>
      <c r="Z39" s="1560" t="str">
        <f t="shared" si="15"/>
        <v>市政基础设施</v>
      </c>
      <c r="AA39" s="1561">
        <f t="shared" si="3"/>
        <v>1</v>
      </c>
      <c r="AB39" s="1561">
        <f t="shared" si="4"/>
        <v>1</v>
      </c>
      <c r="AC39" s="1561">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6"/>
      <c r="M40" s="2118"/>
      <c r="N40" s="2118"/>
      <c r="O40" s="2125"/>
      <c r="P40" s="3475"/>
      <c r="Q40" s="1557" t="str">
        <f t="shared" si="11"/>
        <v>房型</v>
      </c>
      <c r="R40" s="1558" t="s">
        <v>11</v>
      </c>
      <c r="S40" s="1559">
        <f t="shared" si="12"/>
        <v>100</v>
      </c>
      <c r="T40" s="1558" t="s">
        <v>11</v>
      </c>
      <c r="U40" s="1559">
        <f t="shared" si="13"/>
        <v>100</v>
      </c>
      <c r="V40" s="1558" t="s">
        <v>11</v>
      </c>
      <c r="W40" s="1559">
        <f t="shared" si="14"/>
        <v>100</v>
      </c>
      <c r="X40" s="1552"/>
      <c r="Y40" s="3475"/>
      <c r="Z40" s="1560" t="str">
        <f t="shared" si="15"/>
        <v>房型</v>
      </c>
      <c r="AA40" s="1561">
        <f t="shared" si="3"/>
        <v>1</v>
      </c>
      <c r="AB40" s="1561">
        <f t="shared" si="4"/>
        <v>1</v>
      </c>
      <c r="AC40" s="1561">
        <f t="shared" si="5"/>
        <v>1</v>
      </c>
    </row>
    <row r="41" spans="1:29" s="1334"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4"/>
      <c r="M41" s="2155"/>
      <c r="N41" s="2155"/>
      <c r="O41" s="2127"/>
      <c r="P41" s="3475"/>
      <c r="Q41" s="1589" t="str">
        <f t="shared" si="11"/>
        <v>单套/主力户型建筑面积</v>
      </c>
      <c r="R41" s="1562" t="s">
        <v>11</v>
      </c>
      <c r="S41" s="1563">
        <f t="shared" si="12"/>
        <v>100</v>
      </c>
      <c r="T41" s="1562" t="s">
        <v>11</v>
      </c>
      <c r="U41" s="1563">
        <f t="shared" si="13"/>
        <v>100</v>
      </c>
      <c r="V41" s="1562" t="s">
        <v>11</v>
      </c>
      <c r="W41" s="1563">
        <f t="shared" si="14"/>
        <v>100</v>
      </c>
      <c r="X41" s="1564"/>
      <c r="Y41" s="3475"/>
      <c r="Z41" s="1565" t="str">
        <f t="shared" si="15"/>
        <v>单套/主力户型建筑面积</v>
      </c>
      <c r="AA41" s="1561">
        <f t="shared" si="3"/>
        <v>1</v>
      </c>
      <c r="AB41" s="1561">
        <f t="shared" si="4"/>
        <v>1</v>
      </c>
      <c r="AC41" s="1561">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26"/>
      <c r="M42" s="2118"/>
      <c r="N42" s="2118"/>
      <c r="O42" s="2125"/>
      <c r="P42" s="3475"/>
      <c r="Q42" s="1557" t="str">
        <f t="shared" si="11"/>
        <v>内部装修</v>
      </c>
      <c r="R42" s="1558" t="s">
        <v>11</v>
      </c>
      <c r="S42" s="1559">
        <f t="shared" si="12"/>
        <v>100</v>
      </c>
      <c r="T42" s="1558" t="s">
        <v>11</v>
      </c>
      <c r="U42" s="1559">
        <f t="shared" si="13"/>
        <v>100</v>
      </c>
      <c r="V42" s="1558" t="s">
        <v>11</v>
      </c>
      <c r="W42" s="1559">
        <f t="shared" si="14"/>
        <v>100</v>
      </c>
      <c r="X42" s="1552"/>
      <c r="Y42" s="3475"/>
      <c r="Z42" s="1560" t="str">
        <f t="shared" si="15"/>
        <v>内部装修</v>
      </c>
      <c r="AA42" s="1561">
        <f t="shared" si="3"/>
        <v>1</v>
      </c>
      <c r="AB42" s="1561">
        <f t="shared" si="4"/>
        <v>1</v>
      </c>
      <c r="AC42" s="1561">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6"/>
      <c r="M43" s="2118"/>
      <c r="N43" s="2118"/>
      <c r="O43" s="2125"/>
      <c r="P43" s="3475"/>
      <c r="Q43" s="1557" t="str">
        <f t="shared" si="11"/>
        <v>内部装修维护情况</v>
      </c>
      <c r="R43" s="1558" t="s">
        <v>11</v>
      </c>
      <c r="S43" s="1559">
        <f t="shared" si="12"/>
        <v>100</v>
      </c>
      <c r="T43" s="1558" t="s">
        <v>11</v>
      </c>
      <c r="U43" s="1559">
        <f t="shared" si="13"/>
        <v>100</v>
      </c>
      <c r="V43" s="1558" t="s">
        <v>11</v>
      </c>
      <c r="W43" s="1559">
        <f t="shared" si="14"/>
        <v>100</v>
      </c>
      <c r="X43" s="1552"/>
      <c r="Y43" s="3475"/>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9"/>
      <c r="M44" s="2120"/>
      <c r="N44" s="2120"/>
      <c r="O44" s="2121"/>
      <c r="P44" s="3475"/>
      <c r="Q44" s="1146">
        <f t="shared" si="11"/>
        <v>111</v>
      </c>
      <c r="R44" s="1553" t="s">
        <v>11</v>
      </c>
      <c r="S44" s="1554">
        <f t="shared" si="12"/>
        <v>100</v>
      </c>
      <c r="T44" s="1553" t="s">
        <v>11</v>
      </c>
      <c r="U44" s="1554">
        <f t="shared" si="13"/>
        <v>100</v>
      </c>
      <c r="V44" s="1553" t="s">
        <v>11</v>
      </c>
      <c r="W44" s="1554">
        <f t="shared" si="14"/>
        <v>100</v>
      </c>
      <c r="X44" s="1555"/>
      <c r="Y44" s="3475"/>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6"/>
      <c r="M45" s="2118"/>
      <c r="N45" s="2118"/>
      <c r="O45" s="2125"/>
      <c r="P45" s="3475"/>
      <c r="Q45" s="1557">
        <f t="shared" si="11"/>
        <v>111</v>
      </c>
      <c r="R45" s="1558" t="s">
        <v>11</v>
      </c>
      <c r="S45" s="1559">
        <f t="shared" si="12"/>
        <v>100</v>
      </c>
      <c r="T45" s="1558" t="s">
        <v>11</v>
      </c>
      <c r="U45" s="1559">
        <f t="shared" si="13"/>
        <v>100</v>
      </c>
      <c r="V45" s="1558" t="s">
        <v>11</v>
      </c>
      <c r="W45" s="1559">
        <f t="shared" si="14"/>
        <v>100</v>
      </c>
      <c r="X45" s="1552"/>
      <c r="Y45" s="3475"/>
      <c r="Z45" s="1560">
        <f t="shared" si="15"/>
        <v>111</v>
      </c>
      <c r="AA45" s="1561">
        <f t="shared" si="3"/>
        <v>1</v>
      </c>
      <c r="AB45" s="1561">
        <f t="shared" si="4"/>
        <v>1</v>
      </c>
      <c r="AC45" s="1561">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6"/>
      <c r="M46" s="2118"/>
      <c r="N46" s="2118"/>
      <c r="O46" s="2125"/>
      <c r="P46" s="3534"/>
      <c r="Q46" s="1557">
        <f t="shared" si="11"/>
        <v>111</v>
      </c>
      <c r="R46" s="1558" t="s">
        <v>10</v>
      </c>
      <c r="S46" s="1559">
        <f t="shared" si="12"/>
        <v>100</v>
      </c>
      <c r="T46" s="1558" t="s">
        <v>10</v>
      </c>
      <c r="U46" s="1559">
        <f t="shared" si="13"/>
        <v>100</v>
      </c>
      <c r="V46" s="1558" t="s">
        <v>10</v>
      </c>
      <c r="W46" s="1559">
        <f t="shared" si="14"/>
        <v>100</v>
      </c>
      <c r="X46" s="1552"/>
      <c r="Y46" s="3534"/>
      <c r="Z46" s="1560">
        <f t="shared" si="15"/>
        <v>111</v>
      </c>
      <c r="AA46" s="1561">
        <f t="shared" si="3"/>
        <v>1</v>
      </c>
      <c r="AB46" s="1561">
        <f t="shared" si="4"/>
        <v>1</v>
      </c>
      <c r="AC46" s="1561">
        <f t="shared" si="5"/>
        <v>1</v>
      </c>
    </row>
    <row r="47" spans="1:29" ht="15">
      <c r="A47" s="606" t="s">
        <v>736</v>
      </c>
      <c r="B47" s="886"/>
      <c r="C47" s="2590" t="s">
        <v>9</v>
      </c>
      <c r="D47" s="2591"/>
      <c r="E47" s="2592"/>
      <c r="F47" s="2593"/>
      <c r="G47" s="2594"/>
      <c r="H47" s="2595"/>
      <c r="I47" s="2592"/>
      <c r="J47" s="2595"/>
      <c r="K47" s="1590"/>
      <c r="L47" s="2128"/>
      <c r="M47" s="2129"/>
      <c r="N47" s="2118"/>
      <c r="O47" s="2129"/>
      <c r="P47" s="3469" t="str">
        <f>A47</f>
        <v>成交单价（元/平方米）</v>
      </c>
      <c r="Q47" s="3469"/>
      <c r="R47" s="3533">
        <f>E47</f>
        <v>0</v>
      </c>
      <c r="S47" s="3533"/>
      <c r="T47" s="3533">
        <f>G47</f>
        <v>0</v>
      </c>
      <c r="U47" s="3533"/>
      <c r="V47" s="3533">
        <f>I47</f>
        <v>0</v>
      </c>
      <c r="W47" s="3533"/>
      <c r="X47" s="1544"/>
      <c r="Y47" s="1566"/>
      <c r="Z47" s="1544"/>
      <c r="AA47" s="1544"/>
      <c r="AB47" s="1544"/>
      <c r="AC47" s="1544"/>
    </row>
    <row r="48" spans="1:29" ht="15.75" thickBot="1">
      <c r="A48" s="614" t="s">
        <v>2756</v>
      </c>
      <c r="B48" s="887"/>
      <c r="C48" s="2596" t="e">
        <f>R49</f>
        <v>#DIV/0!</v>
      </c>
      <c r="D48" s="2597"/>
      <c r="E48" s="2598" t="e">
        <f>R48</f>
        <v>#DIV/0!</v>
      </c>
      <c r="F48" s="2598"/>
      <c r="G48" s="2596" t="e">
        <f>T48</f>
        <v>#DIV/0!</v>
      </c>
      <c r="H48" s="2597"/>
      <c r="I48" s="2598" t="e">
        <f>V48</f>
        <v>#DIV/0!</v>
      </c>
      <c r="J48" s="2597"/>
      <c r="K48" s="1591"/>
      <c r="L48" s="2128"/>
      <c r="M48" s="2129"/>
      <c r="N48" s="2129"/>
      <c r="O48" s="2129"/>
      <c r="P48" s="3469" t="str">
        <f>A48</f>
        <v>比较价格（元/平方米）</v>
      </c>
      <c r="Q48" s="3469"/>
      <c r="R48" s="3533" t="e">
        <f>IF(F1="售价",ROUND(PRODUCT(R47,AA7:AA46),0),ROUND(PRODUCT(R47,AA7:AA46),1))</f>
        <v>#DIV/0!</v>
      </c>
      <c r="S48" s="3533"/>
      <c r="T48" s="3533" t="e">
        <f>IF(F1="售价",ROUND(PRODUCT(T47,AB7:AB46),0),ROUND(PRODUCT(T47,AB7:AB46),1))</f>
        <v>#DIV/0!</v>
      </c>
      <c r="U48" s="3533"/>
      <c r="V48" s="3533" t="e">
        <f>IF(F1="售价",ROUND(PRODUCT(V47,AC7:AC46),0),ROUND(PRODUCT(V47,AC7:AC46),1))</f>
        <v>#DIV/0!</v>
      </c>
      <c r="W48" s="3533"/>
      <c r="X48" s="1544"/>
      <c r="Y48" s="1544"/>
      <c r="Z48" s="1544"/>
      <c r="AA48" s="1544"/>
      <c r="AB48" s="1544"/>
      <c r="AC48" s="1544"/>
    </row>
    <row r="49" spans="1:29" ht="15.75" thickBot="1">
      <c r="A49" s="620" t="s">
        <v>2932</v>
      </c>
      <c r="B49" s="621"/>
      <c r="C49" s="2599" t="e">
        <f>R49</f>
        <v>#DIV/0!</v>
      </c>
      <c r="D49" s="2599"/>
      <c r="E49" s="2599"/>
      <c r="F49" s="2599"/>
      <c r="G49" s="2599"/>
      <c r="H49" s="2599"/>
      <c r="I49" s="2599"/>
      <c r="J49" s="2599"/>
      <c r="K49" s="1592"/>
      <c r="L49" s="2128"/>
      <c r="M49" s="2129"/>
      <c r="N49" s="2129"/>
      <c r="O49" s="2129"/>
      <c r="P49" s="3466" t="str">
        <f>A49</f>
        <v>估价对象XX用房的比较价格（楼面单价，元/平方米）</v>
      </c>
      <c r="Q49" s="3467"/>
      <c r="R49" s="3532" t="e">
        <f>IF(F1="售价",ROUND(AVERAGE(R48:V48),0),ROUND(AVERAGE(R48:V48),1))</f>
        <v>#DIV/0!</v>
      </c>
      <c r="S49" s="3532"/>
      <c r="T49" s="3532"/>
      <c r="U49" s="3532"/>
      <c r="V49" s="3532"/>
      <c r="W49" s="3532"/>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4" t="s">
        <v>529</v>
      </c>
      <c r="B58" s="645"/>
      <c r="C58" s="2642" t="str">
        <f>YEAR(C7)&amp;"-"&amp;MONTH(C7)</f>
        <v>2020-9</v>
      </c>
      <c r="D58" s="2642">
        <f>EDATE(C58,-1)</f>
        <v>44044</v>
      </c>
      <c r="E58" s="2642">
        <f t="shared" ref="E58:O58" si="16">EDATE(D58,-1)</f>
        <v>44013</v>
      </c>
      <c r="F58" s="2642">
        <f t="shared" si="16"/>
        <v>43983</v>
      </c>
      <c r="G58" s="2642">
        <f t="shared" si="16"/>
        <v>43952</v>
      </c>
      <c r="H58" s="2642">
        <f t="shared" si="16"/>
        <v>43922</v>
      </c>
      <c r="I58" s="2642">
        <f t="shared" si="16"/>
        <v>43891</v>
      </c>
      <c r="J58" s="2642">
        <f t="shared" si="16"/>
        <v>43862</v>
      </c>
      <c r="K58" s="2642">
        <f t="shared" si="16"/>
        <v>43831</v>
      </c>
      <c r="L58" s="2642">
        <f t="shared" si="16"/>
        <v>43800</v>
      </c>
      <c r="M58" s="2642">
        <f t="shared" si="16"/>
        <v>43770</v>
      </c>
      <c r="N58" s="2642">
        <f t="shared" si="16"/>
        <v>43739</v>
      </c>
      <c r="O58" s="2642">
        <f t="shared" si="16"/>
        <v>43709</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49"/>
      <c r="N59" s="649"/>
      <c r="O59" s="649"/>
      <c r="P59" s="2142"/>
      <c r="Q59" s="1977"/>
      <c r="R59" s="1977"/>
      <c r="S59" s="1977"/>
      <c r="T59" s="1977"/>
      <c r="U59" s="1977"/>
      <c r="V59" s="1977"/>
      <c r="W59" s="1977"/>
      <c r="X59" s="1977"/>
      <c r="Y59" s="1977"/>
      <c r="Z59" s="1977"/>
      <c r="AA59" s="1977"/>
      <c r="AB59" s="1977"/>
      <c r="AC59" s="1977"/>
    </row>
    <row r="60" spans="1:29" s="1215" customFormat="1" ht="15.7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977"/>
    </row>
    <row r="63" spans="1:29">
      <c r="A63" s="663" t="s">
        <v>577</v>
      </c>
      <c r="B63" s="664" t="s">
        <v>534</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91"/>
      <c r="E73" s="691"/>
      <c r="F73" s="691"/>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2554</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2555</v>
      </c>
      <c r="C82" s="2561" t="s">
        <v>2556</v>
      </c>
      <c r="D82" s="2561" t="s">
        <v>2557</v>
      </c>
      <c r="E82" s="2561" t="s">
        <v>2558</v>
      </c>
      <c r="F82" s="2561" t="s">
        <v>2559</v>
      </c>
      <c r="G82" s="2561" t="s">
        <v>2560</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1880" t="s">
        <v>2255</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8"/>
      <c r="B88" s="672" t="s">
        <v>746</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6"/>
      <c r="B90" s="672" t="str">
        <f>B27</f>
        <v>道路级别</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691"/>
      <c r="D91" s="691"/>
      <c r="E91" s="691"/>
      <c r="F91" s="691"/>
      <c r="G91" s="691"/>
      <c r="H91" s="692"/>
      <c r="I91" s="692"/>
      <c r="J91" s="692"/>
      <c r="K91" s="692"/>
      <c r="L91" s="692"/>
      <c r="M91" s="693"/>
      <c r="N91" s="2151"/>
      <c r="O91" s="2151"/>
      <c r="P91" s="2152"/>
      <c r="Q91" s="2153"/>
      <c r="R91" s="2154"/>
      <c r="S91" s="2154"/>
      <c r="T91" s="2154"/>
      <c r="U91" s="2154"/>
      <c r="V91" s="2154"/>
      <c r="W91" s="2154"/>
      <c r="X91" s="2154"/>
      <c r="Y91" s="2154"/>
      <c r="Z91" s="2154"/>
      <c r="AA91" s="2154"/>
      <c r="AB91" s="2154"/>
      <c r="AC91" s="2154"/>
    </row>
    <row r="92" spans="1:29" ht="15.75" thickTop="1">
      <c r="A92" s="668"/>
      <c r="B92" s="672">
        <f>B28</f>
        <v>111</v>
      </c>
      <c r="C92" s="687"/>
      <c r="D92" s="687"/>
      <c r="E92" s="687"/>
      <c r="F92" s="687"/>
      <c r="G92" s="717"/>
      <c r="H92" s="717"/>
      <c r="I92" s="717"/>
      <c r="J92" s="717"/>
      <c r="K92" s="718"/>
      <c r="L92" s="719"/>
      <c r="M92" s="72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91"/>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91"/>
      <c r="E95" s="691"/>
      <c r="F95" s="691"/>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9"/>
      <c r="D97" s="699"/>
      <c r="E97" s="699"/>
      <c r="F97" s="699"/>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721"/>
      <c r="D98" s="721"/>
      <c r="E98" s="721"/>
      <c r="F98" s="721"/>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725"/>
      <c r="D99" s="725"/>
      <c r="E99" s="725"/>
      <c r="F99" s="725"/>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747</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c r="D104" s="670"/>
      <c r="E104" s="670"/>
      <c r="F104" s="670"/>
      <c r="G104" s="670"/>
      <c r="H104" s="670"/>
      <c r="I104" s="670"/>
      <c r="J104" s="670"/>
      <c r="K104" s="670"/>
      <c r="L104" s="670"/>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750</v>
      </c>
      <c r="C107" s="717"/>
      <c r="D107" s="717"/>
      <c r="E107" s="71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751</v>
      </c>
      <c r="C109" s="687"/>
      <c r="D109" s="687"/>
      <c r="E109" s="687"/>
      <c r="F109" s="717"/>
      <c r="G109" s="717"/>
      <c r="H109" s="71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7"/>
      <c r="B112" s="680"/>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753</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1880" t="s">
        <v>2553</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754</v>
      </c>
      <c r="C118" s="717"/>
      <c r="D118" s="717"/>
      <c r="E118" s="717"/>
      <c r="F118" s="717"/>
      <c r="G118" s="71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8.5" thickTop="1">
      <c r="A120" s="727"/>
      <c r="B120" s="672" t="s">
        <v>733</v>
      </c>
      <c r="C120" s="687"/>
      <c r="D120" s="687"/>
      <c r="E120" s="687"/>
      <c r="F120" s="687"/>
      <c r="G120" s="687"/>
      <c r="H120" s="687"/>
      <c r="I120" s="687"/>
      <c r="J120" s="687"/>
      <c r="K120" s="687"/>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691"/>
      <c r="D121" s="670"/>
      <c r="E121" s="670"/>
      <c r="F121" s="670"/>
      <c r="G121" s="670"/>
      <c r="H121" s="670"/>
      <c r="I121" s="670"/>
      <c r="J121" s="670"/>
      <c r="K121" s="670"/>
      <c r="L121" s="670"/>
      <c r="M121" s="670"/>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91"/>
      <c r="E129" s="691"/>
      <c r="F129" s="691"/>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2256</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2257</v>
      </c>
      <c r="C137" s="1903"/>
      <c r="D137" s="1903"/>
      <c r="E137" s="1903"/>
      <c r="F137" s="1903"/>
      <c r="G137" s="1904"/>
      <c r="H137" s="1905"/>
      <c r="I137" s="1906" t="s">
        <v>2258</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2259</v>
      </c>
      <c r="D138" s="1909" t="s">
        <v>2260</v>
      </c>
      <c r="E138" s="1910" t="s">
        <v>2261</v>
      </c>
      <c r="F138" s="1911" t="s">
        <v>2262</v>
      </c>
      <c r="G138" s="1909" t="s">
        <v>2263</v>
      </c>
      <c r="H138" s="1912" t="s">
        <v>2264</v>
      </c>
      <c r="I138" s="1913"/>
      <c r="J138" s="1909" t="s">
        <v>2265</v>
      </c>
      <c r="K138" s="1912" t="s">
        <v>2266</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2267</v>
      </c>
      <c r="E139" s="1883">
        <v>100</v>
      </c>
      <c r="F139" s="1884">
        <v>102.5</v>
      </c>
      <c r="G139" s="1914" t="s">
        <v>2268</v>
      </c>
      <c r="H139" s="1885">
        <v>105</v>
      </c>
      <c r="I139" s="1915" t="s">
        <v>2269</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2270</v>
      </c>
      <c r="J140" s="845">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2271</v>
      </c>
      <c r="J141" s="845">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2272</v>
      </c>
      <c r="J142" s="845">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2273</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2274</v>
      </c>
      <c r="E144" s="1889">
        <v>102</v>
      </c>
      <c r="F144" s="1895">
        <v>100</v>
      </c>
      <c r="G144" s="1918" t="s">
        <v>2274</v>
      </c>
      <c r="H144" s="1891">
        <v>105</v>
      </c>
      <c r="I144" s="1917" t="s">
        <v>2273</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2275</v>
      </c>
      <c r="C145" s="1896">
        <f>ROUND(MAX(C139:C144)/MIN(C139:C144)-1,3)</f>
        <v>7.2999999999999995E-2</v>
      </c>
      <c r="D145" s="1920"/>
      <c r="E145" s="1920"/>
      <c r="F145" s="1921" t="s">
        <v>2276</v>
      </c>
      <c r="G145" s="1922"/>
      <c r="H145" s="1923"/>
      <c r="I145" s="1924" t="s">
        <v>2273</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2285</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2286</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47" priority="15" stopIfTrue="1" operator="containsText" text="超过">
      <formula>NOT(ISERROR(SEARCH("超过",F52)))</formula>
    </cfRule>
  </conditionalFormatting>
  <conditionalFormatting sqref="J54">
    <cfRule type="containsText" dxfId="146" priority="14" stopIfTrue="1" operator="containsText" text="超过">
      <formula>NOT(ISERROR(SEARCH("超过",J54)))</formula>
    </cfRule>
  </conditionalFormatting>
  <conditionalFormatting sqref="H54">
    <cfRule type="containsText" dxfId="145" priority="13" stopIfTrue="1" operator="containsText" text="超过">
      <formula>NOT(ISERROR(SEARCH("超过",H54)))</formula>
    </cfRule>
  </conditionalFormatting>
  <conditionalFormatting sqref="F54">
    <cfRule type="containsText" dxfId="144" priority="12" stopIfTrue="1" operator="containsText" text="超过">
      <formula>NOT(ISERROR(SEARCH("超过",F54)))</formula>
    </cfRule>
  </conditionalFormatting>
  <conditionalFormatting sqref="F53 H53 J53">
    <cfRule type="containsText" dxfId="143" priority="11" stopIfTrue="1" operator="containsText" text="超过">
      <formula>NOT(ISERROR(SEARCH("超过",F53)))</formula>
    </cfRule>
  </conditionalFormatting>
  <conditionalFormatting sqref="E52">
    <cfRule type="expression" dxfId="142" priority="10" stopIfTrue="1">
      <formula>$F$52="超过30%"</formula>
    </cfRule>
  </conditionalFormatting>
  <conditionalFormatting sqref="G54">
    <cfRule type="expression" dxfId="141" priority="8" stopIfTrue="1">
      <formula>$H$54="超过30%"</formula>
    </cfRule>
  </conditionalFormatting>
  <conditionalFormatting sqref="E53">
    <cfRule type="expression" dxfId="140" priority="7" stopIfTrue="1">
      <formula>$F$53="超过20%"</formula>
    </cfRule>
  </conditionalFormatting>
  <conditionalFormatting sqref="E54">
    <cfRule type="expression" dxfId="139" priority="6" stopIfTrue="1">
      <formula>$F$54="超过30%"</formula>
    </cfRule>
  </conditionalFormatting>
  <conditionalFormatting sqref="G52">
    <cfRule type="expression" dxfId="138" priority="5" stopIfTrue="1">
      <formula>$H$52="超过30%"</formula>
    </cfRule>
  </conditionalFormatting>
  <conditionalFormatting sqref="G53">
    <cfRule type="expression" dxfId="137" priority="4" stopIfTrue="1">
      <formula>$H$53="超过20%"</formula>
    </cfRule>
  </conditionalFormatting>
  <conditionalFormatting sqref="I52">
    <cfRule type="expression" dxfId="136" priority="3" stopIfTrue="1">
      <formula>$J$52="超过30%"</formula>
    </cfRule>
  </conditionalFormatting>
  <conditionalFormatting sqref="I53">
    <cfRule type="expression" dxfId="135" priority="2" stopIfTrue="1">
      <formula>$J$53="超过20%"</formula>
    </cfRule>
  </conditionalFormatting>
  <conditionalFormatting sqref="I54">
    <cfRule type="expression" dxfId="13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757</v>
      </c>
      <c r="C1" s="503" t="s">
        <v>720</v>
      </c>
      <c r="D1" s="2333"/>
      <c r="E1" s="505"/>
      <c r="F1" s="2645"/>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519</v>
      </c>
      <c r="B3" s="509" t="e">
        <f>C49</f>
        <v>#DIV/0!</v>
      </c>
      <c r="C3" s="851" t="s">
        <v>722</v>
      </c>
      <c r="D3" s="850">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7"/>
    </row>
    <row r="4" spans="1:29" ht="15">
      <c r="A4" s="511" t="s">
        <v>521</v>
      </c>
      <c r="B4" s="512"/>
      <c r="C4" s="3481" t="s">
        <v>522</v>
      </c>
      <c r="D4" s="3482"/>
      <c r="E4" s="3483" t="s">
        <v>523</v>
      </c>
      <c r="F4" s="3484"/>
      <c r="G4" s="3481" t="s">
        <v>524</v>
      </c>
      <c r="H4" s="3482"/>
      <c r="I4" s="3481" t="s">
        <v>525</v>
      </c>
      <c r="J4" s="3482"/>
      <c r="K4" s="513" t="s">
        <v>526</v>
      </c>
      <c r="L4" s="2117"/>
      <c r="M4" s="2118"/>
      <c r="N4" s="2118"/>
      <c r="O4" s="2118"/>
      <c r="P4" s="3485" t="s">
        <v>527</v>
      </c>
      <c r="Q4" s="3486"/>
      <c r="R4" s="3491" t="s">
        <v>523</v>
      </c>
      <c r="S4" s="3492"/>
      <c r="T4" s="3491" t="s">
        <v>524</v>
      </c>
      <c r="U4" s="3492"/>
      <c r="V4" s="3471" t="s">
        <v>525</v>
      </c>
      <c r="W4" s="3471"/>
      <c r="X4" s="1552"/>
      <c r="Y4" s="3491" t="s">
        <v>527</v>
      </c>
      <c r="Z4" s="3492"/>
      <c r="AA4" s="3478" t="s">
        <v>523</v>
      </c>
      <c r="AB4" s="3471" t="s">
        <v>524</v>
      </c>
      <c r="AC4" s="3478" t="s">
        <v>525</v>
      </c>
    </row>
    <row r="5" spans="1:29" ht="15">
      <c r="A5" s="514"/>
      <c r="B5" s="515"/>
      <c r="C5" s="3499" t="s">
        <v>2926</v>
      </c>
      <c r="D5" s="3500"/>
      <c r="E5" s="3497" t="s">
        <v>2927</v>
      </c>
      <c r="F5" s="3498"/>
      <c r="G5" s="3499" t="s">
        <v>2928</v>
      </c>
      <c r="H5" s="3500"/>
      <c r="I5" s="3499" t="s">
        <v>2929</v>
      </c>
      <c r="J5" s="3500"/>
      <c r="K5" s="513"/>
      <c r="L5" s="2117"/>
      <c r="M5" s="2118"/>
      <c r="N5" s="2118"/>
      <c r="O5" s="2118"/>
      <c r="P5" s="3487"/>
      <c r="Q5" s="3488"/>
      <c r="R5" s="3493"/>
      <c r="S5" s="3494"/>
      <c r="T5" s="3493"/>
      <c r="U5" s="3494"/>
      <c r="V5" s="3471"/>
      <c r="W5" s="3471"/>
      <c r="X5" s="1552"/>
      <c r="Y5" s="3493"/>
      <c r="Z5" s="3494"/>
      <c r="AA5" s="3479"/>
      <c r="AB5" s="3471"/>
      <c r="AC5" s="3479"/>
    </row>
    <row r="6" spans="1:29" ht="15.75" thickBot="1">
      <c r="A6" s="516"/>
      <c r="B6" s="517"/>
      <c r="C6" s="3501" t="s">
        <v>2930</v>
      </c>
      <c r="D6" s="3502"/>
      <c r="E6" s="3504" t="s">
        <v>2930</v>
      </c>
      <c r="F6" s="3505"/>
      <c r="G6" s="3501" t="s">
        <v>2930</v>
      </c>
      <c r="H6" s="3502"/>
      <c r="I6" s="3501" t="s">
        <v>2930</v>
      </c>
      <c r="J6" s="3502"/>
      <c r="K6" s="513" t="s">
        <v>528</v>
      </c>
      <c r="L6" s="2117"/>
      <c r="M6" s="2118"/>
      <c r="N6" s="2118"/>
      <c r="O6" s="2118"/>
      <c r="P6" s="3489"/>
      <c r="Q6" s="3490"/>
      <c r="R6" s="3493"/>
      <c r="S6" s="3494"/>
      <c r="T6" s="3495"/>
      <c r="U6" s="3496"/>
      <c r="V6" s="3471"/>
      <c r="W6" s="3471"/>
      <c r="X6" s="1552"/>
      <c r="Y6" s="3495"/>
      <c r="Z6" s="3496"/>
      <c r="AA6" s="3480"/>
      <c r="AB6" s="3471"/>
      <c r="AC6" s="3480"/>
    </row>
    <row r="7" spans="1:29" s="1215" customFormat="1" ht="15.75" thickBot="1">
      <c r="A7" s="2750"/>
      <c r="B7" s="2757" t="s">
        <v>529</v>
      </c>
      <c r="C7" s="518">
        <f>'数据-取费表'!B2</f>
        <v>44078</v>
      </c>
      <c r="D7" s="519">
        <v>100</v>
      </c>
      <c r="E7" s="520"/>
      <c r="F7" s="521">
        <f>SUMIF(58:58,YEAR(E7)&amp;"-"&amp;MONTH(E7),59:59)</f>
        <v>0</v>
      </c>
      <c r="G7" s="520"/>
      <c r="H7" s="519">
        <f>SUMIF(58:58,YEAR(G7)&amp;"-"&amp;MONTH(G7),59:59)</f>
        <v>0</v>
      </c>
      <c r="I7" s="520"/>
      <c r="J7" s="519">
        <f>SUMIF(58:58,YEAR(I7)&amp;"-"&amp;MONTH(I7),59:59)</f>
        <v>0</v>
      </c>
      <c r="K7" s="523"/>
      <c r="L7" s="2119"/>
      <c r="M7" s="2120"/>
      <c r="N7" s="2120"/>
      <c r="O7" s="2120"/>
      <c r="P7" s="3476" t="s">
        <v>530</v>
      </c>
      <c r="Q7" s="3503"/>
      <c r="R7" s="1553" t="s">
        <v>8</v>
      </c>
      <c r="S7" s="1554">
        <f t="shared" ref="S7:S15" si="0">F7</f>
        <v>0</v>
      </c>
      <c r="T7" s="1553" t="s">
        <v>8</v>
      </c>
      <c r="U7" s="1554">
        <f t="shared" ref="U7:U15" si="1">H7</f>
        <v>0</v>
      </c>
      <c r="V7" s="1553" t="s">
        <v>8</v>
      </c>
      <c r="W7" s="1554">
        <f t="shared" ref="W7:W15" si="2">J7</f>
        <v>0</v>
      </c>
      <c r="X7" s="1555"/>
      <c r="Y7" s="3476" t="s">
        <v>530</v>
      </c>
      <c r="Z7" s="3477"/>
      <c r="AA7" s="1556" t="e">
        <f>D7/F7</f>
        <v>#DIV/0!</v>
      </c>
      <c r="AB7" s="1556" t="e">
        <f>D7/H7</f>
        <v>#DIV/0!</v>
      </c>
      <c r="AC7" s="1556" t="e">
        <f>D7/J7</f>
        <v>#DIV/0!</v>
      </c>
    </row>
    <row r="8" spans="1:29" s="1215" customFormat="1" ht="15.75" thickBot="1">
      <c r="A8" s="2751"/>
      <c r="B8" s="2758" t="s">
        <v>531</v>
      </c>
      <c r="C8" s="524" t="s">
        <v>576</v>
      </c>
      <c r="D8" s="519">
        <v>100</v>
      </c>
      <c r="E8" s="524"/>
      <c r="F8" s="521">
        <f>SUMIF(61:61,E8,62:62)-SUMIF(61:61,C8,62:62)+100</f>
        <v>0</v>
      </c>
      <c r="G8" s="524"/>
      <c r="H8" s="519">
        <f>SUMIF(61:61,G8,62:62)-SUMIF(61:61,C8,62:62)+100</f>
        <v>0</v>
      </c>
      <c r="I8" s="524"/>
      <c r="J8" s="519">
        <f>SUMIF(61:61,I8,62:62)-SUMIF(61:61,C8,62:62)+100</f>
        <v>0</v>
      </c>
      <c r="K8" s="523"/>
      <c r="L8" s="2119"/>
      <c r="M8" s="2120"/>
      <c r="N8" s="2120"/>
      <c r="O8" s="2120"/>
      <c r="P8" s="3476" t="s">
        <v>533</v>
      </c>
      <c r="Q8" s="3477"/>
      <c r="R8" s="1553" t="s">
        <v>8</v>
      </c>
      <c r="S8" s="1554">
        <f t="shared" si="0"/>
        <v>0</v>
      </c>
      <c r="T8" s="1553" t="s">
        <v>8</v>
      </c>
      <c r="U8" s="1554">
        <f t="shared" si="1"/>
        <v>0</v>
      </c>
      <c r="V8" s="1553" t="s">
        <v>8</v>
      </c>
      <c r="W8" s="1554">
        <f t="shared" si="2"/>
        <v>0</v>
      </c>
      <c r="X8" s="1555"/>
      <c r="Y8" s="3476" t="s">
        <v>533</v>
      </c>
      <c r="Z8" s="3477"/>
      <c r="AA8" s="1556" t="e">
        <f t="shared" ref="AA8:AA46" si="3">D8/F8</f>
        <v>#DIV/0!</v>
      </c>
      <c r="AB8" s="1556" t="e">
        <f t="shared" ref="AB8:AB46" si="4">D8/H8</f>
        <v>#DIV/0!</v>
      </c>
      <c r="AC8" s="1556" t="e">
        <f t="shared" ref="AC8:AC46" si="5">D8/J8</f>
        <v>#DIV/0!</v>
      </c>
    </row>
    <row r="9" spans="1:29" s="1215" customFormat="1" ht="15">
      <c r="A9" s="2752"/>
      <c r="B9" s="2759" t="s">
        <v>2752</v>
      </c>
      <c r="C9" s="856"/>
      <c r="D9" s="253">
        <v>100</v>
      </c>
      <c r="E9" s="859"/>
      <c r="F9" s="253">
        <f>SUMIF(63:63,E9,64:64)-SUMIF(63:63,C9,64:64)+100</f>
        <v>100</v>
      </c>
      <c r="G9" s="857"/>
      <c r="H9" s="253">
        <f>SUMIF(63:63,G9,64:64)-SUMIF(63:63,C9,64:64)+100</f>
        <v>100</v>
      </c>
      <c r="I9" s="857"/>
      <c r="J9" s="253">
        <f>SUMIF(63:63,I9,64:64)-SUMIF(63:63,C9,64:64)+100</f>
        <v>100</v>
      </c>
      <c r="K9" s="523"/>
      <c r="L9" s="2119"/>
      <c r="M9" s="2120"/>
      <c r="N9" s="2120"/>
      <c r="O9" s="2121"/>
      <c r="P9" s="3469" t="s">
        <v>535</v>
      </c>
      <c r="Q9" s="1146" t="str">
        <f t="shared" ref="Q9:Q15" si="6">B9</f>
        <v>用途</v>
      </c>
      <c r="R9" s="1553" t="s">
        <v>8</v>
      </c>
      <c r="S9" s="1554">
        <f t="shared" si="0"/>
        <v>100</v>
      </c>
      <c r="T9" s="1553" t="s">
        <v>8</v>
      </c>
      <c r="U9" s="1554">
        <f t="shared" si="1"/>
        <v>100</v>
      </c>
      <c r="V9" s="1553" t="s">
        <v>8</v>
      </c>
      <c r="W9" s="1554">
        <f t="shared" si="2"/>
        <v>100</v>
      </c>
      <c r="X9" s="1555"/>
      <c r="Y9" s="3413" t="s">
        <v>536</v>
      </c>
      <c r="Z9" s="1145" t="str">
        <f t="shared" ref="Z9:Z15" si="7">Q9</f>
        <v>用途</v>
      </c>
      <c r="AA9" s="1556">
        <f t="shared" si="3"/>
        <v>1</v>
      </c>
      <c r="AB9" s="1556">
        <f t="shared" si="4"/>
        <v>1</v>
      </c>
      <c r="AC9" s="1556">
        <f t="shared" si="5"/>
        <v>1</v>
      </c>
    </row>
    <row r="10" spans="1:29" s="1333" customFormat="1" ht="27">
      <c r="A10" s="2753"/>
      <c r="B10" s="2758" t="s">
        <v>2753</v>
      </c>
      <c r="C10" s="860"/>
      <c r="D10" s="254">
        <v>100</v>
      </c>
      <c r="E10" s="860"/>
      <c r="F10" s="254">
        <f>SUMIF(65:65,E10,66:66)-SUMIF(65:65,C10,66:66)+100</f>
        <v>100</v>
      </c>
      <c r="G10" s="861"/>
      <c r="H10" s="254">
        <f>SUMIF(65:65,G10,66:66)-SUMIF(65:65,C10,66:66)+100</f>
        <v>100</v>
      </c>
      <c r="I10" s="860"/>
      <c r="J10" s="254">
        <f>SUMIF(65:65,I10,66:66)-SUMIF(65:65,C10,66:66)+100</f>
        <v>100</v>
      </c>
      <c r="K10" s="583"/>
      <c r="L10" s="2122"/>
      <c r="M10" s="2162"/>
      <c r="N10" s="2162"/>
      <c r="O10" s="2123"/>
      <c r="P10" s="3469"/>
      <c r="Q10" s="1146" t="str">
        <f t="shared" si="6"/>
        <v>土地使用年限（年）</v>
      </c>
      <c r="R10" s="1553" t="s">
        <v>8</v>
      </c>
      <c r="S10" s="1554">
        <f t="shared" si="0"/>
        <v>100</v>
      </c>
      <c r="T10" s="1553" t="s">
        <v>8</v>
      </c>
      <c r="U10" s="1554">
        <f t="shared" si="1"/>
        <v>100</v>
      </c>
      <c r="V10" s="1553" t="s">
        <v>8</v>
      </c>
      <c r="W10" s="1554">
        <f t="shared" si="2"/>
        <v>100</v>
      </c>
      <c r="X10" s="1555"/>
      <c r="Y10" s="3413"/>
      <c r="Z10" s="1145" t="str">
        <f t="shared" si="7"/>
        <v>土地使用年限（年）</v>
      </c>
      <c r="AA10" s="1556">
        <f t="shared" si="3"/>
        <v>1</v>
      </c>
      <c r="AB10" s="1556">
        <f t="shared" si="4"/>
        <v>1</v>
      </c>
      <c r="AC10" s="1556">
        <f t="shared" si="5"/>
        <v>1</v>
      </c>
    </row>
    <row r="11" spans="1:29" ht="15">
      <c r="A11" s="2754"/>
      <c r="B11" s="2758" t="s">
        <v>2754</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4"/>
      <c r="M11" s="2118"/>
      <c r="N11" s="2118"/>
      <c r="O11" s="2125"/>
      <c r="P11" s="3469"/>
      <c r="Q11" s="1146" t="str">
        <f t="shared" si="6"/>
        <v>容积率</v>
      </c>
      <c r="R11" s="1553" t="s">
        <v>8</v>
      </c>
      <c r="S11" s="1554" t="e">
        <f t="shared" si="0"/>
        <v>#N/A</v>
      </c>
      <c r="T11" s="1553" t="s">
        <v>8</v>
      </c>
      <c r="U11" s="1554" t="e">
        <f t="shared" si="1"/>
        <v>#N/A</v>
      </c>
      <c r="V11" s="1553" t="s">
        <v>8</v>
      </c>
      <c r="W11" s="1554" t="e">
        <f t="shared" si="2"/>
        <v>#N/A</v>
      </c>
      <c r="X11" s="1555"/>
      <c r="Y11" s="3413"/>
      <c r="Z11" s="1145" t="str">
        <f t="shared" si="7"/>
        <v>容积率</v>
      </c>
      <c r="AA11" s="1556" t="e">
        <f t="shared" si="3"/>
        <v>#N/A</v>
      </c>
      <c r="AB11" s="1556" t="e">
        <f t="shared" si="4"/>
        <v>#N/A</v>
      </c>
      <c r="AC11" s="1556" t="e">
        <f t="shared" si="5"/>
        <v>#N/A</v>
      </c>
    </row>
    <row r="12" spans="1:29" s="1215" customFormat="1" ht="15">
      <c r="A12" s="2755"/>
      <c r="B12" s="2761">
        <v>111</v>
      </c>
      <c r="C12" s="527"/>
      <c r="D12" s="537">
        <v>100</v>
      </c>
      <c r="E12" s="538"/>
      <c r="F12" s="254">
        <f>SUMIF(70:70,E12,71:71)-SUMIF(70:70,C12,71:71)+100</f>
        <v>100</v>
      </c>
      <c r="G12" s="911"/>
      <c r="H12" s="254">
        <f>SUMIF(70:70,G12,71:71)-SUMIF(70:70,C12,71:71)+100</f>
        <v>100</v>
      </c>
      <c r="I12" s="538"/>
      <c r="J12" s="254">
        <f>SUMIF(70:70,I12,71:71)-SUMIF(70:70,C12,71:71)+100</f>
        <v>100</v>
      </c>
      <c r="K12" s="580"/>
      <c r="L12" s="2119"/>
      <c r="M12" s="2120"/>
      <c r="N12" s="2120"/>
      <c r="O12" s="2121"/>
      <c r="P12" s="3469"/>
      <c r="Q12" s="1146">
        <f t="shared" si="6"/>
        <v>111</v>
      </c>
      <c r="R12" s="1553" t="s">
        <v>8</v>
      </c>
      <c r="S12" s="1554">
        <f t="shared" si="0"/>
        <v>100</v>
      </c>
      <c r="T12" s="1553" t="s">
        <v>8</v>
      </c>
      <c r="U12" s="1554">
        <f t="shared" si="1"/>
        <v>100</v>
      </c>
      <c r="V12" s="1553" t="s">
        <v>8</v>
      </c>
      <c r="W12" s="1554">
        <f t="shared" si="2"/>
        <v>100</v>
      </c>
      <c r="X12" s="1555"/>
      <c r="Y12" s="3413"/>
      <c r="Z12" s="1145">
        <f t="shared" si="7"/>
        <v>111</v>
      </c>
      <c r="AA12" s="1556">
        <f>D12/F12</f>
        <v>1</v>
      </c>
      <c r="AB12" s="1556">
        <f>D12/H12</f>
        <v>1</v>
      </c>
      <c r="AC12" s="1556">
        <f>D12/J12</f>
        <v>1</v>
      </c>
    </row>
    <row r="13" spans="1:29" ht="15">
      <c r="A13" s="2755"/>
      <c r="B13" s="2761">
        <v>111</v>
      </c>
      <c r="C13" s="538"/>
      <c r="D13" s="539">
        <v>100</v>
      </c>
      <c r="E13" s="538"/>
      <c r="F13" s="254">
        <f>SUMIF(72:72,E13,73:73)-SUMIF(72:72,C13,73:73)+100</f>
        <v>100</v>
      </c>
      <c r="G13" s="911"/>
      <c r="H13" s="539">
        <f>SUMIF(72:72,G13,73:73)-SUMIF(72:72,C13,73:73)+100</f>
        <v>100</v>
      </c>
      <c r="I13" s="538"/>
      <c r="J13" s="539">
        <f>SUMIF(72:72,I13,73:73)-SUMIF(72:72,C13,73:73)+100</f>
        <v>100</v>
      </c>
      <c r="K13" s="580"/>
      <c r="L13" s="2126"/>
      <c r="M13" s="2118"/>
      <c r="N13" s="2118"/>
      <c r="O13" s="2125"/>
      <c r="P13" s="3469"/>
      <c r="Q13" s="1146">
        <f t="shared" si="6"/>
        <v>111</v>
      </c>
      <c r="R13" s="1553" t="s">
        <v>8</v>
      </c>
      <c r="S13" s="1554">
        <f t="shared" si="0"/>
        <v>100</v>
      </c>
      <c r="T13" s="1553" t="s">
        <v>8</v>
      </c>
      <c r="U13" s="1554">
        <f t="shared" si="1"/>
        <v>100</v>
      </c>
      <c r="V13" s="1553" t="s">
        <v>8</v>
      </c>
      <c r="W13" s="1554">
        <f t="shared" si="2"/>
        <v>100</v>
      </c>
      <c r="X13" s="1555"/>
      <c r="Y13" s="3413"/>
      <c r="Z13" s="1145">
        <f t="shared" si="7"/>
        <v>111</v>
      </c>
      <c r="AA13" s="1556">
        <f t="shared" si="3"/>
        <v>1</v>
      </c>
      <c r="AB13" s="1556">
        <f t="shared" si="4"/>
        <v>1</v>
      </c>
      <c r="AC13" s="1556">
        <f t="shared" si="5"/>
        <v>1</v>
      </c>
    </row>
    <row r="14" spans="1:29" ht="15.75" thickBot="1">
      <c r="A14" s="2756"/>
      <c r="B14" s="2762">
        <v>111</v>
      </c>
      <c r="C14" s="544"/>
      <c r="D14" s="545">
        <v>100</v>
      </c>
      <c r="E14" s="544"/>
      <c r="F14" s="545">
        <f>SUMIF(74:74,E14,75:75)-SUMIF(74:74,C14,75:75)+100</f>
        <v>100</v>
      </c>
      <c r="G14" s="911"/>
      <c r="H14" s="545">
        <f>SUMIF(74:74,G14,75:75)-SUMIF(74:74,C14,75:75)+100</f>
        <v>100</v>
      </c>
      <c r="I14" s="538"/>
      <c r="J14" s="545">
        <f>SUMIF(74:74,I14,75:75)-SUMIF(74:74,C14,75:75)+100</f>
        <v>100</v>
      </c>
      <c r="K14" s="580"/>
      <c r="L14" s="2126"/>
      <c r="M14" s="2118"/>
      <c r="N14" s="2118"/>
      <c r="O14" s="2125"/>
      <c r="P14" s="3469"/>
      <c r="Q14" s="1146">
        <f t="shared" si="6"/>
        <v>111</v>
      </c>
      <c r="R14" s="1553" t="s">
        <v>8</v>
      </c>
      <c r="S14" s="1554">
        <f t="shared" si="0"/>
        <v>100</v>
      </c>
      <c r="T14" s="1553" t="s">
        <v>8</v>
      </c>
      <c r="U14" s="1554">
        <f t="shared" si="1"/>
        <v>100</v>
      </c>
      <c r="V14" s="1553" t="s">
        <v>8</v>
      </c>
      <c r="W14" s="1554">
        <f t="shared" si="2"/>
        <v>100</v>
      </c>
      <c r="X14" s="1555"/>
      <c r="Y14" s="3413"/>
      <c r="Z14" s="1145">
        <f t="shared" si="7"/>
        <v>111</v>
      </c>
      <c r="AA14" s="1556">
        <f t="shared" si="3"/>
        <v>1</v>
      </c>
      <c r="AB14" s="1556">
        <f t="shared" si="4"/>
        <v>1</v>
      </c>
      <c r="AC14" s="1556">
        <f t="shared" si="5"/>
        <v>1</v>
      </c>
    </row>
    <row r="15" spans="1:29" ht="71.25">
      <c r="A15" s="2748" t="s">
        <v>2750</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26"/>
      <c r="M15" s="2118"/>
      <c r="N15" s="2118"/>
      <c r="O15" s="2125"/>
      <c r="P15" s="3472" t="s">
        <v>540</v>
      </c>
      <c r="Q15" s="1557" t="str">
        <f t="shared" si="6"/>
        <v>商业繁华度</v>
      </c>
      <c r="R15" s="1558" t="s">
        <v>8</v>
      </c>
      <c r="S15" s="1559">
        <f t="shared" si="0"/>
        <v>100</v>
      </c>
      <c r="T15" s="1558" t="s">
        <v>8</v>
      </c>
      <c r="U15" s="1559">
        <f t="shared" si="1"/>
        <v>100</v>
      </c>
      <c r="V15" s="1558" t="s">
        <v>8</v>
      </c>
      <c r="W15" s="1559">
        <f t="shared" si="2"/>
        <v>100</v>
      </c>
      <c r="X15" s="1552"/>
      <c r="Y15" s="3472" t="s">
        <v>540</v>
      </c>
      <c r="Z15" s="1560" t="str">
        <f t="shared" si="7"/>
        <v>商业繁华度</v>
      </c>
      <c r="AA15" s="1561">
        <f t="shared" si="3"/>
        <v>1</v>
      </c>
      <c r="AB15" s="1561">
        <f t="shared" si="4"/>
        <v>1</v>
      </c>
      <c r="AC15" s="1561">
        <f t="shared" si="5"/>
        <v>1</v>
      </c>
    </row>
    <row r="16" spans="1:29" ht="15">
      <c r="A16" s="531"/>
      <c r="B16" s="868"/>
      <c r="C16" s="575"/>
      <c r="D16" s="554"/>
      <c r="E16" s="575"/>
      <c r="F16" s="556"/>
      <c r="G16" s="575"/>
      <c r="H16" s="558"/>
      <c r="I16" s="575"/>
      <c r="J16" s="554"/>
      <c r="K16" s="898"/>
      <c r="L16" s="2126"/>
      <c r="M16" s="2118"/>
      <c r="N16" s="2118"/>
      <c r="O16" s="2125"/>
      <c r="P16" s="3473"/>
      <c r="Q16" s="1557"/>
      <c r="R16" s="1558"/>
      <c r="S16" s="1559"/>
      <c r="T16" s="1558"/>
      <c r="U16" s="1559"/>
      <c r="V16" s="1558"/>
      <c r="W16" s="1559"/>
      <c r="X16" s="1552"/>
      <c r="Y16" s="3473"/>
      <c r="Z16" s="1560"/>
      <c r="AA16" s="1561">
        <v>1</v>
      </c>
      <c r="AB16" s="1561">
        <v>1</v>
      </c>
      <c r="AC16" s="1561">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26"/>
      <c r="M17" s="2118"/>
      <c r="N17" s="2118"/>
      <c r="O17" s="2125"/>
      <c r="P17" s="3473"/>
      <c r="Q17" s="1557" t="str">
        <f>B17</f>
        <v>交通便捷度</v>
      </c>
      <c r="R17" s="1558" t="s">
        <v>8</v>
      </c>
      <c r="S17" s="1559">
        <f>F17</f>
        <v>100</v>
      </c>
      <c r="T17" s="1558" t="s">
        <v>8</v>
      </c>
      <c r="U17" s="1559">
        <f>H17</f>
        <v>100</v>
      </c>
      <c r="V17" s="1558" t="s">
        <v>8</v>
      </c>
      <c r="W17" s="1559">
        <f>J17</f>
        <v>100</v>
      </c>
      <c r="X17" s="1552"/>
      <c r="Y17" s="3473"/>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6"/>
      <c r="M18" s="2118"/>
      <c r="N18" s="2118"/>
      <c r="O18" s="2125"/>
      <c r="P18" s="3473"/>
      <c r="Q18" s="1557"/>
      <c r="R18" s="1558"/>
      <c r="S18" s="1559"/>
      <c r="T18" s="1558"/>
      <c r="U18" s="1559"/>
      <c r="V18" s="1558"/>
      <c r="W18" s="1559"/>
      <c r="X18" s="1552"/>
      <c r="Y18" s="3473"/>
      <c r="Z18" s="1560"/>
      <c r="AA18" s="1561">
        <v>1</v>
      </c>
      <c r="AB18" s="1561">
        <v>1</v>
      </c>
      <c r="AC18" s="1561">
        <v>1</v>
      </c>
    </row>
    <row r="19" spans="1:29" ht="42.75">
      <c r="A19" s="531"/>
      <c r="B19" s="2563" t="s">
        <v>2543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26"/>
      <c r="M19" s="2118"/>
      <c r="N19" s="2118"/>
      <c r="O19" s="2125"/>
      <c r="P19" s="3473"/>
      <c r="Q19" s="1557" t="str">
        <f>B19</f>
        <v>公共配套设施</v>
      </c>
      <c r="R19" s="1558" t="s">
        <v>8</v>
      </c>
      <c r="S19" s="1559">
        <f>F19</f>
        <v>100</v>
      </c>
      <c r="T19" s="1558" t="s">
        <v>8</v>
      </c>
      <c r="U19" s="1559">
        <f>H19</f>
        <v>100</v>
      </c>
      <c r="V19" s="1558" t="s">
        <v>8</v>
      </c>
      <c r="W19" s="1559">
        <f>J19</f>
        <v>100</v>
      </c>
      <c r="X19" s="1552"/>
      <c r="Y19" s="3473"/>
      <c r="Z19" s="1560" t="str">
        <f>Q19</f>
        <v>公共配套设施</v>
      </c>
      <c r="AA19" s="1561">
        <f t="shared" si="3"/>
        <v>1</v>
      </c>
      <c r="AB19" s="1561">
        <f t="shared" si="4"/>
        <v>1</v>
      </c>
      <c r="AC19" s="1561">
        <f t="shared" si="5"/>
        <v>1</v>
      </c>
    </row>
    <row r="20" spans="1:29" ht="15">
      <c r="A20" s="531"/>
      <c r="B20" s="594"/>
      <c r="C20" s="575"/>
      <c r="D20" s="554"/>
      <c r="E20" s="555"/>
      <c r="F20" s="556"/>
      <c r="G20" s="557"/>
      <c r="H20" s="554"/>
      <c r="I20" s="555"/>
      <c r="J20" s="554"/>
      <c r="K20" s="898"/>
      <c r="L20" s="2126"/>
      <c r="M20" s="2118"/>
      <c r="N20" s="2118"/>
      <c r="O20" s="2125"/>
      <c r="P20" s="3473"/>
      <c r="Q20" s="1557"/>
      <c r="R20" s="1558"/>
      <c r="S20" s="1559"/>
      <c r="T20" s="1558"/>
      <c r="U20" s="1559"/>
      <c r="V20" s="1558"/>
      <c r="W20" s="1559"/>
      <c r="X20" s="1552"/>
      <c r="Y20" s="3473"/>
      <c r="Z20" s="1560"/>
      <c r="AA20" s="1561">
        <v>1</v>
      </c>
      <c r="AB20" s="1561">
        <v>1</v>
      </c>
      <c r="AC20" s="1561">
        <v>1</v>
      </c>
    </row>
    <row r="21" spans="1:29" ht="28.5">
      <c r="A21" s="531"/>
      <c r="B21" s="2556" t="s">
        <v>2555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26"/>
      <c r="M21" s="2118"/>
      <c r="N21" s="2118"/>
      <c r="O21" s="2125"/>
      <c r="P21" s="3473"/>
      <c r="Q21" s="2542" t="str">
        <f>B21</f>
        <v>基础设施水平</v>
      </c>
      <c r="R21" s="1558" t="s">
        <v>8</v>
      </c>
      <c r="S21" s="1559">
        <f>F21</f>
        <v>100</v>
      </c>
      <c r="T21" s="1558" t="s">
        <v>8</v>
      </c>
      <c r="U21" s="1559">
        <f>H21</f>
        <v>100</v>
      </c>
      <c r="V21" s="1558" t="s">
        <v>8</v>
      </c>
      <c r="W21" s="1559">
        <f>J21</f>
        <v>100</v>
      </c>
      <c r="X21" s="2544"/>
      <c r="Y21" s="3473"/>
      <c r="Z21" s="2543" t="str">
        <f>Q21</f>
        <v>基础设施水平</v>
      </c>
      <c r="AA21" s="1561">
        <f t="shared" ref="AA21" si="8">D21/F21</f>
        <v>1</v>
      </c>
      <c r="AB21" s="1561">
        <f t="shared" ref="AB21" si="9">D21/H21</f>
        <v>1</v>
      </c>
      <c r="AC21" s="1561">
        <f t="shared" ref="AC21" si="10">D21/J21</f>
        <v>1</v>
      </c>
    </row>
    <row r="22" spans="1:29" ht="15">
      <c r="A22" s="531"/>
      <c r="B22" s="921"/>
      <c r="C22" s="872"/>
      <c r="D22" s="554"/>
      <c r="E22" s="575"/>
      <c r="F22" s="556"/>
      <c r="G22" s="575"/>
      <c r="H22" s="554"/>
      <c r="I22" s="575"/>
      <c r="J22" s="554"/>
      <c r="K22" s="2565"/>
      <c r="L22" s="2126"/>
      <c r="M22" s="2118"/>
      <c r="N22" s="2118"/>
      <c r="O22" s="2125"/>
      <c r="P22" s="3473"/>
      <c r="Q22" s="2542"/>
      <c r="R22" s="1558"/>
      <c r="S22" s="1559"/>
      <c r="T22" s="1558"/>
      <c r="U22" s="1559"/>
      <c r="V22" s="1558"/>
      <c r="W22" s="1559"/>
      <c r="X22" s="2544"/>
      <c r="Y22" s="3473"/>
      <c r="Z22" s="2543"/>
      <c r="AA22" s="1561">
        <v>1</v>
      </c>
      <c r="AB22" s="1561">
        <v>1</v>
      </c>
      <c r="AC22" s="1561">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26"/>
      <c r="M23" s="2118"/>
      <c r="N23" s="2118"/>
      <c r="O23" s="2125"/>
      <c r="P23" s="3473"/>
      <c r="Q23" s="1557" t="str">
        <f>B23</f>
        <v>自然及人文环境</v>
      </c>
      <c r="R23" s="1558" t="s">
        <v>8</v>
      </c>
      <c r="S23" s="1559">
        <f>F23</f>
        <v>100</v>
      </c>
      <c r="T23" s="1558" t="s">
        <v>8</v>
      </c>
      <c r="U23" s="1559">
        <f>H23</f>
        <v>100</v>
      </c>
      <c r="V23" s="1558" t="s">
        <v>8</v>
      </c>
      <c r="W23" s="1559">
        <f>J23</f>
        <v>100</v>
      </c>
      <c r="X23" s="1552"/>
      <c r="Y23" s="3473"/>
      <c r="Z23" s="1560" t="str">
        <f>Q23</f>
        <v>自然及人文环境</v>
      </c>
      <c r="AA23" s="1561">
        <f t="shared" si="3"/>
        <v>1</v>
      </c>
      <c r="AB23" s="1561">
        <f t="shared" si="4"/>
        <v>1</v>
      </c>
      <c r="AC23" s="1561">
        <f t="shared" si="5"/>
        <v>1</v>
      </c>
    </row>
    <row r="24" spans="1:29" ht="15">
      <c r="A24" s="531"/>
      <c r="B24" s="594"/>
      <c r="C24" s="575"/>
      <c r="D24" s="554"/>
      <c r="E24" s="555"/>
      <c r="F24" s="556"/>
      <c r="G24" s="557"/>
      <c r="H24" s="554"/>
      <c r="I24" s="555"/>
      <c r="J24" s="554"/>
      <c r="K24" s="898"/>
      <c r="L24" s="2126"/>
      <c r="M24" s="2118"/>
      <c r="N24" s="2118"/>
      <c r="O24" s="2125"/>
      <c r="P24" s="3473"/>
      <c r="Q24" s="1557"/>
      <c r="R24" s="1558"/>
      <c r="S24" s="1559"/>
      <c r="T24" s="1558"/>
      <c r="U24" s="1559"/>
      <c r="V24" s="1558"/>
      <c r="W24" s="1559"/>
      <c r="X24" s="1552"/>
      <c r="Y24" s="3473"/>
      <c r="Z24" s="1560"/>
      <c r="AA24" s="1561">
        <v>1</v>
      </c>
      <c r="AB24" s="1561">
        <v>1</v>
      </c>
      <c r="AC24" s="1561">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6"/>
      <c r="M25" s="2118"/>
      <c r="N25" s="2118"/>
      <c r="O25" s="2125"/>
      <c r="P25" s="3473"/>
      <c r="Q25" s="1557" t="str">
        <f t="shared" ref="Q25:Q46" si="11">B25</f>
        <v>临街状况</v>
      </c>
      <c r="R25" s="1558" t="s">
        <v>8</v>
      </c>
      <c r="S25" s="1559">
        <f>F25</f>
        <v>100</v>
      </c>
      <c r="T25" s="1558" t="s">
        <v>8</v>
      </c>
      <c r="U25" s="1559">
        <f>H25</f>
        <v>100</v>
      </c>
      <c r="V25" s="1558" t="s">
        <v>8</v>
      </c>
      <c r="W25" s="1559">
        <f>J25</f>
        <v>100</v>
      </c>
      <c r="X25" s="1552"/>
      <c r="Y25" s="3473"/>
      <c r="Z25" s="1560" t="str">
        <f>Q25</f>
        <v>临街状况</v>
      </c>
      <c r="AA25" s="1561">
        <f t="shared" si="3"/>
        <v>1</v>
      </c>
      <c r="AB25" s="1561">
        <f t="shared" si="4"/>
        <v>1</v>
      </c>
      <c r="AC25" s="1561">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6"/>
      <c r="M26" s="2118"/>
      <c r="N26" s="2118"/>
      <c r="O26" s="2125"/>
      <c r="P26" s="3473"/>
      <c r="Q26" s="1557" t="str">
        <f t="shared" si="11"/>
        <v>平面位置/可视性</v>
      </c>
      <c r="R26" s="1558" t="s">
        <v>8</v>
      </c>
      <c r="S26" s="1559">
        <f>F26</f>
        <v>100</v>
      </c>
      <c r="T26" s="1558" t="s">
        <v>8</v>
      </c>
      <c r="U26" s="1559">
        <f>H26</f>
        <v>100</v>
      </c>
      <c r="V26" s="1558" t="s">
        <v>8</v>
      </c>
      <c r="W26" s="1559">
        <f>J26</f>
        <v>100</v>
      </c>
      <c r="X26" s="1552"/>
      <c r="Y26" s="3473"/>
      <c r="Z26" s="1560" t="str">
        <f>Q26</f>
        <v>平面位置/可视性</v>
      </c>
      <c r="AA26" s="1561">
        <f t="shared" si="3"/>
        <v>1</v>
      </c>
      <c r="AB26" s="1561">
        <f t="shared" si="4"/>
        <v>1</v>
      </c>
      <c r="AC26" s="1561">
        <f t="shared" si="5"/>
        <v>1</v>
      </c>
    </row>
    <row r="27" spans="1:29" s="1215"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19"/>
      <c r="M27" s="2120"/>
      <c r="N27" s="2120"/>
      <c r="O27" s="2121"/>
      <c r="P27" s="3473"/>
      <c r="Q27" s="1146" t="str">
        <f t="shared" si="11"/>
        <v>人流量</v>
      </c>
      <c r="R27" s="1553" t="s">
        <v>8</v>
      </c>
      <c r="S27" s="1554">
        <f>F27</f>
        <v>100</v>
      </c>
      <c r="T27" s="1553" t="s">
        <v>8</v>
      </c>
      <c r="U27" s="1554">
        <f>H27</f>
        <v>100</v>
      </c>
      <c r="V27" s="1553" t="s">
        <v>8</v>
      </c>
      <c r="W27" s="1554">
        <f>J27</f>
        <v>100</v>
      </c>
      <c r="X27" s="1555"/>
      <c r="Y27" s="3473"/>
      <c r="Z27" s="1145" t="str">
        <f>Q27</f>
        <v>人流量</v>
      </c>
      <c r="AA27" s="1561">
        <f>D27/F27</f>
        <v>1</v>
      </c>
      <c r="AB27" s="1561">
        <f>D27/H27</f>
        <v>1</v>
      </c>
      <c r="AC27" s="1561">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6"/>
      <c r="M28" s="2118"/>
      <c r="N28" s="2118"/>
      <c r="O28" s="2125"/>
      <c r="P28" s="3473"/>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73"/>
      <c r="Z28" s="1560" t="str">
        <f t="shared" ref="Z28:Z46" si="15">Q28</f>
        <v>楼层</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6"/>
      <c r="M29" s="2118"/>
      <c r="N29" s="2118"/>
      <c r="O29" s="2125"/>
      <c r="P29" s="3473"/>
      <c r="Q29" s="1557">
        <f t="shared" si="11"/>
        <v>111</v>
      </c>
      <c r="R29" s="1558" t="s">
        <v>8</v>
      </c>
      <c r="S29" s="1559">
        <f t="shared" si="12"/>
        <v>100</v>
      </c>
      <c r="T29" s="1558" t="s">
        <v>8</v>
      </c>
      <c r="U29" s="1559">
        <f t="shared" si="13"/>
        <v>100</v>
      </c>
      <c r="V29" s="1558" t="s">
        <v>8</v>
      </c>
      <c r="W29" s="1559">
        <f t="shared" si="14"/>
        <v>100</v>
      </c>
      <c r="X29" s="1552"/>
      <c r="Y29" s="3473"/>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6"/>
      <c r="M30" s="2118"/>
      <c r="N30" s="2118"/>
      <c r="O30" s="2125"/>
      <c r="P30" s="3473"/>
      <c r="Q30" s="1557">
        <f t="shared" si="11"/>
        <v>111</v>
      </c>
      <c r="R30" s="1558" t="s">
        <v>8</v>
      </c>
      <c r="S30" s="1559">
        <f t="shared" si="12"/>
        <v>100</v>
      </c>
      <c r="T30" s="1558" t="s">
        <v>8</v>
      </c>
      <c r="U30" s="1559">
        <f t="shared" si="13"/>
        <v>100</v>
      </c>
      <c r="V30" s="1558" t="s">
        <v>8</v>
      </c>
      <c r="W30" s="1559">
        <f t="shared" si="14"/>
        <v>100</v>
      </c>
      <c r="X30" s="1552"/>
      <c r="Y30" s="3473"/>
      <c r="Z30" s="1560">
        <f t="shared" si="15"/>
        <v>111</v>
      </c>
      <c r="AA30" s="1561">
        <f t="shared" si="3"/>
        <v>1</v>
      </c>
      <c r="AB30" s="1561">
        <f t="shared" si="4"/>
        <v>1</v>
      </c>
      <c r="AC30" s="1561">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6"/>
      <c r="M31" s="2118"/>
      <c r="N31" s="2118"/>
      <c r="O31" s="2125"/>
      <c r="P31" s="3473"/>
      <c r="Q31" s="1557">
        <f t="shared" si="11"/>
        <v>111</v>
      </c>
      <c r="R31" s="1558" t="s">
        <v>8</v>
      </c>
      <c r="S31" s="1559">
        <f t="shared" si="12"/>
        <v>100</v>
      </c>
      <c r="T31" s="1558" t="s">
        <v>8</v>
      </c>
      <c r="U31" s="1559">
        <f t="shared" si="13"/>
        <v>100</v>
      </c>
      <c r="V31" s="1558" t="s">
        <v>8</v>
      </c>
      <c r="W31" s="1559">
        <f t="shared" si="14"/>
        <v>100</v>
      </c>
      <c r="X31" s="1552"/>
      <c r="Y31" s="3473"/>
      <c r="Z31" s="1560">
        <f t="shared" si="15"/>
        <v>111</v>
      </c>
      <c r="AA31" s="1561">
        <f t="shared" si="3"/>
        <v>1</v>
      </c>
      <c r="AB31" s="1561">
        <f t="shared" si="4"/>
        <v>1</v>
      </c>
      <c r="AC31" s="1561">
        <f t="shared" si="5"/>
        <v>1</v>
      </c>
    </row>
    <row r="32" spans="1:29" ht="15">
      <c r="A32" s="2745" t="s">
        <v>2751</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6"/>
      <c r="M32" s="2118"/>
      <c r="N32" s="2118"/>
      <c r="O32" s="2125"/>
      <c r="P32" s="3474" t="s">
        <v>550</v>
      </c>
      <c r="Q32" s="1557" t="str">
        <f t="shared" si="11"/>
        <v>商业类型</v>
      </c>
      <c r="R32" s="1558" t="s">
        <v>8</v>
      </c>
      <c r="S32" s="1559">
        <f t="shared" si="12"/>
        <v>100</v>
      </c>
      <c r="T32" s="1558" t="s">
        <v>8</v>
      </c>
      <c r="U32" s="1559">
        <f t="shared" si="13"/>
        <v>100</v>
      </c>
      <c r="V32" s="1558" t="s">
        <v>8</v>
      </c>
      <c r="W32" s="1559">
        <f t="shared" si="14"/>
        <v>100</v>
      </c>
      <c r="X32" s="1552"/>
      <c r="Y32" s="3475" t="s">
        <v>550</v>
      </c>
      <c r="Z32" s="1560" t="str">
        <f t="shared" si="15"/>
        <v>商业类型</v>
      </c>
      <c r="AA32" s="1561">
        <f t="shared" si="3"/>
        <v>1</v>
      </c>
      <c r="AB32" s="1561">
        <f t="shared" si="4"/>
        <v>1</v>
      </c>
      <c r="AC32" s="1561">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4"/>
      <c r="M33" s="2155"/>
      <c r="N33" s="2155"/>
      <c r="O33" s="2127"/>
      <c r="P33" s="3475"/>
      <c r="Q33" s="1589" t="str">
        <f t="shared" si="11"/>
        <v>项目建筑规模</v>
      </c>
      <c r="R33" s="1562" t="s">
        <v>8</v>
      </c>
      <c r="S33" s="1563" t="e">
        <f t="shared" si="12"/>
        <v>#N/A</v>
      </c>
      <c r="T33" s="1562" t="s">
        <v>8</v>
      </c>
      <c r="U33" s="1563" t="e">
        <f t="shared" si="13"/>
        <v>#N/A</v>
      </c>
      <c r="V33" s="1562" t="s">
        <v>8</v>
      </c>
      <c r="W33" s="1563" t="e">
        <f t="shared" si="14"/>
        <v>#N/A</v>
      </c>
      <c r="X33" s="1564"/>
      <c r="Y33" s="3475"/>
      <c r="Z33" s="1565" t="str">
        <f t="shared" si="15"/>
        <v>项目建筑规模</v>
      </c>
      <c r="AA33" s="1561" t="e">
        <f t="shared" si="3"/>
        <v>#N/A</v>
      </c>
      <c r="AB33" s="1561" t="e">
        <f t="shared" si="4"/>
        <v>#N/A</v>
      </c>
      <c r="AC33" s="1561"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6"/>
      <c r="M34" s="2118"/>
      <c r="N34" s="2118"/>
      <c r="O34" s="2125"/>
      <c r="P34" s="3475"/>
      <c r="Q34" s="1557" t="str">
        <f t="shared" si="11"/>
        <v>建筑结构</v>
      </c>
      <c r="R34" s="1558" t="s">
        <v>8</v>
      </c>
      <c r="S34" s="1559">
        <f t="shared" si="12"/>
        <v>100</v>
      </c>
      <c r="T34" s="1558" t="s">
        <v>8</v>
      </c>
      <c r="U34" s="1559">
        <f t="shared" si="13"/>
        <v>100</v>
      </c>
      <c r="V34" s="1558" t="s">
        <v>8</v>
      </c>
      <c r="W34" s="1559">
        <f t="shared" si="14"/>
        <v>100</v>
      </c>
      <c r="X34" s="1552"/>
      <c r="Y34" s="3475"/>
      <c r="Z34" s="1560" t="str">
        <f t="shared" si="15"/>
        <v>建筑结构</v>
      </c>
      <c r="AA34" s="1561">
        <f t="shared" si="3"/>
        <v>1</v>
      </c>
      <c r="AB34" s="1561">
        <f t="shared" si="4"/>
        <v>1</v>
      </c>
      <c r="AC34" s="1561">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6"/>
      <c r="M35" s="2118"/>
      <c r="N35" s="2118"/>
      <c r="O35" s="2125"/>
      <c r="P35" s="3475"/>
      <c r="Q35" s="1557" t="str">
        <f t="shared" si="11"/>
        <v>公共部分装修</v>
      </c>
      <c r="R35" s="1558" t="s">
        <v>8</v>
      </c>
      <c r="S35" s="1559">
        <f t="shared" si="12"/>
        <v>100</v>
      </c>
      <c r="T35" s="1558" t="s">
        <v>8</v>
      </c>
      <c r="U35" s="1559">
        <f t="shared" si="13"/>
        <v>100</v>
      </c>
      <c r="V35" s="1558" t="s">
        <v>8</v>
      </c>
      <c r="W35" s="1559">
        <f t="shared" si="14"/>
        <v>100</v>
      </c>
      <c r="X35" s="1552"/>
      <c r="Y35" s="3475"/>
      <c r="Z35" s="1560" t="str">
        <f t="shared" si="15"/>
        <v>公共部分装修</v>
      </c>
      <c r="AA35" s="1561">
        <f t="shared" si="3"/>
        <v>1</v>
      </c>
      <c r="AB35" s="1561">
        <f t="shared" si="4"/>
        <v>1</v>
      </c>
      <c r="AC35" s="1561">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6"/>
      <c r="M36" s="2118"/>
      <c r="N36" s="2118"/>
      <c r="O36" s="2125"/>
      <c r="P36" s="3475"/>
      <c r="Q36" s="1557" t="str">
        <f t="shared" si="11"/>
        <v>成新度</v>
      </c>
      <c r="R36" s="1558" t="s">
        <v>8</v>
      </c>
      <c r="S36" s="1559" t="e">
        <f t="shared" si="12"/>
        <v>#N/A</v>
      </c>
      <c r="T36" s="1558" t="s">
        <v>8</v>
      </c>
      <c r="U36" s="1559" t="e">
        <f t="shared" si="13"/>
        <v>#N/A</v>
      </c>
      <c r="V36" s="1558" t="s">
        <v>8</v>
      </c>
      <c r="W36" s="1559" t="e">
        <f t="shared" si="14"/>
        <v>#N/A</v>
      </c>
      <c r="X36" s="1552"/>
      <c r="Y36" s="3475"/>
      <c r="Z36" s="1560" t="str">
        <f t="shared" si="15"/>
        <v>成新度</v>
      </c>
      <c r="AA36" s="1561" t="e">
        <f t="shared" si="3"/>
        <v>#N/A</v>
      </c>
      <c r="AB36" s="1561" t="e">
        <f t="shared" si="4"/>
        <v>#N/A</v>
      </c>
      <c r="AC36" s="1561" t="e">
        <f t="shared" si="5"/>
        <v>#N/A</v>
      </c>
    </row>
    <row r="37" spans="1:29" s="1215" customFormat="1" ht="15">
      <c r="A37" s="599"/>
      <c r="B37" s="1879" t="s">
        <v>2562</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9"/>
      <c r="M37" s="2120"/>
      <c r="N37" s="2120"/>
      <c r="O37" s="2121"/>
      <c r="P37" s="3475"/>
      <c r="Q37" s="1146" t="str">
        <f t="shared" si="11"/>
        <v>市政基础设施</v>
      </c>
      <c r="R37" s="1553" t="s">
        <v>8</v>
      </c>
      <c r="S37" s="1554">
        <f t="shared" si="12"/>
        <v>100</v>
      </c>
      <c r="T37" s="1553" t="s">
        <v>8</v>
      </c>
      <c r="U37" s="1554">
        <f t="shared" si="13"/>
        <v>100</v>
      </c>
      <c r="V37" s="1553" t="s">
        <v>8</v>
      </c>
      <c r="W37" s="1554">
        <f t="shared" si="14"/>
        <v>100</v>
      </c>
      <c r="X37" s="1555"/>
      <c r="Y37" s="3475"/>
      <c r="Z37" s="1145" t="str">
        <f t="shared" si="15"/>
        <v>市政基础设施</v>
      </c>
      <c r="AA37" s="1556">
        <f t="shared" si="3"/>
        <v>1</v>
      </c>
      <c r="AB37" s="1556">
        <f t="shared" si="4"/>
        <v>1</v>
      </c>
      <c r="AC37" s="1556">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6"/>
      <c r="M38" s="2118"/>
      <c r="N38" s="2118"/>
      <c r="O38" s="2125"/>
      <c r="P38" s="3475" t="s">
        <v>766</v>
      </c>
      <c r="Q38" s="1557" t="str">
        <f t="shared" si="11"/>
        <v>业态</v>
      </c>
      <c r="R38" s="1558" t="s">
        <v>8</v>
      </c>
      <c r="S38" s="1559">
        <f t="shared" si="12"/>
        <v>100</v>
      </c>
      <c r="T38" s="1558" t="s">
        <v>8</v>
      </c>
      <c r="U38" s="1559">
        <f t="shared" si="13"/>
        <v>100</v>
      </c>
      <c r="V38" s="1558" t="s">
        <v>8</v>
      </c>
      <c r="W38" s="1559">
        <f t="shared" si="14"/>
        <v>100</v>
      </c>
      <c r="X38" s="1552"/>
      <c r="Y38" s="3475" t="s">
        <v>766</v>
      </c>
      <c r="Z38" s="1560" t="str">
        <f t="shared" si="15"/>
        <v>业态</v>
      </c>
      <c r="AA38" s="1561">
        <f t="shared" si="3"/>
        <v>1</v>
      </c>
      <c r="AB38" s="1561">
        <f t="shared" si="4"/>
        <v>1</v>
      </c>
      <c r="AC38" s="1561">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475"/>
      <c r="Q39" s="1557" t="str">
        <f t="shared" si="11"/>
        <v>层高</v>
      </c>
      <c r="R39" s="1558" t="s">
        <v>8</v>
      </c>
      <c r="S39" s="1559">
        <f t="shared" si="12"/>
        <v>100</v>
      </c>
      <c r="T39" s="1558" t="s">
        <v>8</v>
      </c>
      <c r="U39" s="1559">
        <f t="shared" si="13"/>
        <v>100</v>
      </c>
      <c r="V39" s="1558" t="s">
        <v>8</v>
      </c>
      <c r="W39" s="1559">
        <f t="shared" si="14"/>
        <v>100</v>
      </c>
      <c r="X39" s="1552"/>
      <c r="Y39" s="3475"/>
      <c r="Z39" s="1560" t="str">
        <f t="shared" si="15"/>
        <v>层高</v>
      </c>
      <c r="AA39" s="1561">
        <f t="shared" si="3"/>
        <v>1</v>
      </c>
      <c r="AB39" s="1561">
        <f t="shared" si="4"/>
        <v>1</v>
      </c>
      <c r="AC39" s="1561">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6"/>
      <c r="M40" s="2118"/>
      <c r="N40" s="2118"/>
      <c r="O40" s="2125"/>
      <c r="P40" s="3475"/>
      <c r="Q40" s="1557" t="str">
        <f t="shared" si="11"/>
        <v>单套建筑面积</v>
      </c>
      <c r="R40" s="1558" t="s">
        <v>8</v>
      </c>
      <c r="S40" s="1559">
        <f t="shared" si="12"/>
        <v>100</v>
      </c>
      <c r="T40" s="1558" t="s">
        <v>8</v>
      </c>
      <c r="U40" s="1559">
        <f t="shared" si="13"/>
        <v>100</v>
      </c>
      <c r="V40" s="1558" t="s">
        <v>8</v>
      </c>
      <c r="W40" s="1559">
        <f t="shared" si="14"/>
        <v>100</v>
      </c>
      <c r="X40" s="1552"/>
      <c r="Y40" s="3475"/>
      <c r="Z40" s="1560" t="str">
        <f t="shared" si="15"/>
        <v>单套建筑面积</v>
      </c>
      <c r="AA40" s="1561">
        <f t="shared" si="3"/>
        <v>1</v>
      </c>
      <c r="AB40" s="1561">
        <f t="shared" si="4"/>
        <v>1</v>
      </c>
      <c r="AC40" s="1561">
        <f t="shared" si="5"/>
        <v>1</v>
      </c>
    </row>
    <row r="41" spans="1:29" s="1334"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4"/>
      <c r="M41" s="2155"/>
      <c r="N41" s="2155"/>
      <c r="O41" s="2127"/>
      <c r="P41" s="3475"/>
      <c r="Q41" s="1589" t="str">
        <f t="shared" si="11"/>
        <v>进深比</v>
      </c>
      <c r="R41" s="1562" t="s">
        <v>8</v>
      </c>
      <c r="S41" s="1563">
        <f t="shared" si="12"/>
        <v>100</v>
      </c>
      <c r="T41" s="1562" t="s">
        <v>8</v>
      </c>
      <c r="U41" s="1563">
        <f t="shared" si="13"/>
        <v>100</v>
      </c>
      <c r="V41" s="1562" t="s">
        <v>8</v>
      </c>
      <c r="W41" s="1563">
        <f t="shared" si="14"/>
        <v>100</v>
      </c>
      <c r="X41" s="1564"/>
      <c r="Y41" s="3475"/>
      <c r="Z41" s="1565" t="str">
        <f t="shared" si="15"/>
        <v>进深比</v>
      </c>
      <c r="AA41" s="1561">
        <f t="shared" si="3"/>
        <v>1</v>
      </c>
      <c r="AB41" s="1561">
        <f t="shared" si="4"/>
        <v>1</v>
      </c>
      <c r="AC41" s="1561">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6"/>
      <c r="M42" s="2118"/>
      <c r="N42" s="2118"/>
      <c r="O42" s="2125"/>
      <c r="P42" s="3475"/>
      <c r="Q42" s="1557" t="str">
        <f t="shared" si="11"/>
        <v>内部装修</v>
      </c>
      <c r="R42" s="1558" t="s">
        <v>8</v>
      </c>
      <c r="S42" s="1559">
        <f t="shared" si="12"/>
        <v>100</v>
      </c>
      <c r="T42" s="1558" t="s">
        <v>8</v>
      </c>
      <c r="U42" s="1559">
        <f t="shared" si="13"/>
        <v>100</v>
      </c>
      <c r="V42" s="1558" t="s">
        <v>8</v>
      </c>
      <c r="W42" s="1559">
        <f t="shared" si="14"/>
        <v>100</v>
      </c>
      <c r="X42" s="1552"/>
      <c r="Y42" s="3475"/>
      <c r="Z42" s="1560" t="str">
        <f t="shared" si="15"/>
        <v>内部装修</v>
      </c>
      <c r="AA42" s="1561">
        <f t="shared" si="3"/>
        <v>1</v>
      </c>
      <c r="AB42" s="1561">
        <f t="shared" si="4"/>
        <v>1</v>
      </c>
      <c r="AC42" s="1561">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6"/>
      <c r="M43" s="2118"/>
      <c r="N43" s="2118"/>
      <c r="O43" s="2125"/>
      <c r="P43" s="3475"/>
      <c r="Q43" s="1557" t="str">
        <f t="shared" si="11"/>
        <v>内部装修维护情况</v>
      </c>
      <c r="R43" s="1558" t="s">
        <v>8</v>
      </c>
      <c r="S43" s="1559">
        <f t="shared" si="12"/>
        <v>100</v>
      </c>
      <c r="T43" s="1558" t="s">
        <v>8</v>
      </c>
      <c r="U43" s="1559">
        <f t="shared" si="13"/>
        <v>100</v>
      </c>
      <c r="V43" s="1558" t="s">
        <v>8</v>
      </c>
      <c r="W43" s="1559">
        <f t="shared" si="14"/>
        <v>100</v>
      </c>
      <c r="X43" s="1552"/>
      <c r="Y43" s="3475"/>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9"/>
      <c r="M44" s="2120"/>
      <c r="N44" s="2120"/>
      <c r="O44" s="2121"/>
      <c r="P44" s="3475"/>
      <c r="Q44" s="1146">
        <f t="shared" si="11"/>
        <v>111</v>
      </c>
      <c r="R44" s="1553" t="s">
        <v>8</v>
      </c>
      <c r="S44" s="1554">
        <f t="shared" si="12"/>
        <v>100</v>
      </c>
      <c r="T44" s="1553" t="s">
        <v>8</v>
      </c>
      <c r="U44" s="1554">
        <f t="shared" si="13"/>
        <v>100</v>
      </c>
      <c r="V44" s="1553" t="s">
        <v>8</v>
      </c>
      <c r="W44" s="1554">
        <f t="shared" si="14"/>
        <v>100</v>
      </c>
      <c r="X44" s="1555"/>
      <c r="Y44" s="3475"/>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6"/>
      <c r="M45" s="2118"/>
      <c r="N45" s="2118"/>
      <c r="O45" s="2125"/>
      <c r="P45" s="3475"/>
      <c r="Q45" s="1557">
        <f t="shared" si="11"/>
        <v>111</v>
      </c>
      <c r="R45" s="1558" t="s">
        <v>8</v>
      </c>
      <c r="S45" s="1559">
        <f t="shared" si="12"/>
        <v>100</v>
      </c>
      <c r="T45" s="1558" t="s">
        <v>8</v>
      </c>
      <c r="U45" s="1559">
        <f t="shared" si="13"/>
        <v>100</v>
      </c>
      <c r="V45" s="1558" t="s">
        <v>8</v>
      </c>
      <c r="W45" s="1559">
        <f t="shared" si="14"/>
        <v>100</v>
      </c>
      <c r="X45" s="1552"/>
      <c r="Y45" s="3475"/>
      <c r="Z45" s="1560">
        <f t="shared" si="15"/>
        <v>111</v>
      </c>
      <c r="AA45" s="1561">
        <f t="shared" si="3"/>
        <v>1</v>
      </c>
      <c r="AB45" s="1561">
        <f t="shared" si="4"/>
        <v>1</v>
      </c>
      <c r="AC45" s="1561">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6"/>
      <c r="M46" s="2118"/>
      <c r="N46" s="2118"/>
      <c r="O46" s="2125"/>
      <c r="P46" s="3534"/>
      <c r="Q46" s="1557">
        <f t="shared" si="11"/>
        <v>111</v>
      </c>
      <c r="R46" s="1558" t="s">
        <v>8</v>
      </c>
      <c r="S46" s="1559">
        <f t="shared" si="12"/>
        <v>100</v>
      </c>
      <c r="T46" s="1558" t="s">
        <v>8</v>
      </c>
      <c r="U46" s="1559">
        <f t="shared" si="13"/>
        <v>100</v>
      </c>
      <c r="V46" s="1558" t="s">
        <v>8</v>
      </c>
      <c r="W46" s="1559">
        <f t="shared" si="14"/>
        <v>100</v>
      </c>
      <c r="X46" s="1552"/>
      <c r="Y46" s="3534"/>
      <c r="Z46" s="1560">
        <f t="shared" si="15"/>
        <v>111</v>
      </c>
      <c r="AA46" s="1561">
        <f t="shared" si="3"/>
        <v>1</v>
      </c>
      <c r="AB46" s="1561">
        <f t="shared" si="4"/>
        <v>1</v>
      </c>
      <c r="AC46" s="1561">
        <f t="shared" si="5"/>
        <v>1</v>
      </c>
    </row>
    <row r="47" spans="1:29" ht="15">
      <c r="A47" s="606" t="s">
        <v>736</v>
      </c>
      <c r="B47" s="886"/>
      <c r="C47" s="2590" t="s">
        <v>1</v>
      </c>
      <c r="D47" s="2591"/>
      <c r="E47" s="2592"/>
      <c r="F47" s="2593"/>
      <c r="G47" s="2594"/>
      <c r="H47" s="2595"/>
      <c r="I47" s="2592"/>
      <c r="J47" s="2595"/>
      <c r="K47" s="1595"/>
      <c r="L47" s="2128"/>
      <c r="M47" s="2129"/>
      <c r="N47" s="2118"/>
      <c r="O47" s="2129"/>
      <c r="P47" s="3469" t="str">
        <f>A47</f>
        <v>成交单价（元/平方米）</v>
      </c>
      <c r="Q47" s="3469"/>
      <c r="R47" s="3533">
        <f>E47</f>
        <v>0</v>
      </c>
      <c r="S47" s="3533"/>
      <c r="T47" s="3533">
        <f>G47</f>
        <v>0</v>
      </c>
      <c r="U47" s="3533"/>
      <c r="V47" s="3533">
        <f>I47</f>
        <v>0</v>
      </c>
      <c r="W47" s="3533"/>
      <c r="X47" s="1544"/>
      <c r="Y47" s="1566"/>
      <c r="Z47" s="1544"/>
      <c r="AA47" s="1544"/>
      <c r="AB47" s="1544"/>
      <c r="AC47" s="1544"/>
    </row>
    <row r="48" spans="1:29" ht="15.75" thickBot="1">
      <c r="A48" s="614" t="s">
        <v>2756</v>
      </c>
      <c r="B48" s="887"/>
      <c r="C48" s="2596" t="e">
        <f>R49</f>
        <v>#DIV/0!</v>
      </c>
      <c r="D48" s="2597"/>
      <c r="E48" s="2598" t="e">
        <f>R48</f>
        <v>#DIV/0!</v>
      </c>
      <c r="F48" s="2598"/>
      <c r="G48" s="2596" t="e">
        <f>T48</f>
        <v>#DIV/0!</v>
      </c>
      <c r="H48" s="2597"/>
      <c r="I48" s="2598" t="e">
        <f>V48</f>
        <v>#DIV/0!</v>
      </c>
      <c r="J48" s="2597"/>
      <c r="K48" s="1596"/>
      <c r="L48" s="2128"/>
      <c r="M48" s="2129"/>
      <c r="N48" s="2118"/>
      <c r="O48" s="2129"/>
      <c r="P48" s="3469" t="str">
        <f>A48</f>
        <v>比较价格（元/平方米）</v>
      </c>
      <c r="Q48" s="3469"/>
      <c r="R48" s="3533" t="e">
        <f>IF(F1="售价",ROUND(PRODUCT(R47,AA7:AA46),0),ROUND(PRODUCT(R47,AA7:AA46),1))</f>
        <v>#DIV/0!</v>
      </c>
      <c r="S48" s="3533"/>
      <c r="T48" s="3533" t="e">
        <f>IF(F1="售价",ROUND(PRODUCT(T47,AB7:AB46),0),ROUND(PRODUCT(T47,AB7:AB46),1))</f>
        <v>#DIV/0!</v>
      </c>
      <c r="U48" s="3533"/>
      <c r="V48" s="3533" t="e">
        <f>IF(F1="售价",ROUND(PRODUCT(V47,AC7:AC46),0),ROUND(PRODUCT(V47,AC7:AC46),1))</f>
        <v>#DIV/0!</v>
      </c>
      <c r="W48" s="3533"/>
      <c r="X48" s="1544"/>
      <c r="Y48" s="1544"/>
      <c r="Z48" s="1544"/>
      <c r="AA48" s="1544"/>
      <c r="AB48" s="1544"/>
      <c r="AC48" s="1544"/>
    </row>
    <row r="49" spans="1:29" ht="15.75" thickBot="1">
      <c r="A49" s="620" t="s">
        <v>2932</v>
      </c>
      <c r="B49" s="621"/>
      <c r="C49" s="2599" t="e">
        <f>R49</f>
        <v>#DIV/0!</v>
      </c>
      <c r="D49" s="2599"/>
      <c r="E49" s="2599"/>
      <c r="F49" s="2599"/>
      <c r="G49" s="2599"/>
      <c r="H49" s="2599"/>
      <c r="I49" s="2599"/>
      <c r="J49" s="2599"/>
      <c r="K49" s="1597"/>
      <c r="L49" s="2128"/>
      <c r="M49" s="2129"/>
      <c r="N49" s="2118"/>
      <c r="O49" s="2129"/>
      <c r="P49" s="3466" t="str">
        <f>A49</f>
        <v>估价对象XX用房的比较价格（楼面单价，元/平方米）</v>
      </c>
      <c r="Q49" s="3467"/>
      <c r="R49" s="3532" t="e">
        <f>IF(F1="售价",ROUND(AVERAGE(R48:V48),0),ROUND(AVERAGE(R48:V48),1))</f>
        <v>#DIV/0!</v>
      </c>
      <c r="S49" s="3532"/>
      <c r="T49" s="3532"/>
      <c r="U49" s="3532"/>
      <c r="V49" s="3532"/>
      <c r="W49" s="3532"/>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4" t="s">
        <v>529</v>
      </c>
      <c r="B58" s="645"/>
      <c r="C58" s="2640" t="str">
        <f>YEAR(C7)&amp;"-"&amp;MONTH(C7)</f>
        <v>2020-9</v>
      </c>
      <c r="D58" s="2642">
        <f>EDATE(C58,-1)</f>
        <v>44044</v>
      </c>
      <c r="E58" s="2642">
        <f t="shared" ref="E58:O58" si="16">EDATE(D58,-1)</f>
        <v>44013</v>
      </c>
      <c r="F58" s="2642">
        <f t="shared" si="16"/>
        <v>43983</v>
      </c>
      <c r="G58" s="2642">
        <f t="shared" si="16"/>
        <v>43952</v>
      </c>
      <c r="H58" s="2642">
        <f t="shared" si="16"/>
        <v>43922</v>
      </c>
      <c r="I58" s="2642">
        <f t="shared" si="16"/>
        <v>43891</v>
      </c>
      <c r="J58" s="2642">
        <f t="shared" si="16"/>
        <v>43862</v>
      </c>
      <c r="K58" s="2642">
        <f t="shared" si="16"/>
        <v>43831</v>
      </c>
      <c r="L58" s="2642">
        <f t="shared" si="16"/>
        <v>43800</v>
      </c>
      <c r="M58" s="2642">
        <f t="shared" si="16"/>
        <v>43770</v>
      </c>
      <c r="N58" s="2642">
        <f t="shared" si="16"/>
        <v>43739</v>
      </c>
      <c r="O58" s="2642">
        <f t="shared" si="16"/>
        <v>43709</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50"/>
      <c r="N59" s="649"/>
      <c r="O59" s="651"/>
      <c r="P59" s="2142"/>
      <c r="Q59" s="1977"/>
      <c r="R59" s="1977"/>
      <c r="S59" s="1977"/>
      <c r="T59" s="1977"/>
      <c r="U59" s="1977"/>
      <c r="V59" s="1977"/>
      <c r="W59" s="1977"/>
      <c r="X59" s="1977"/>
      <c r="Y59" s="1977"/>
      <c r="Z59" s="1977"/>
      <c r="AA59" s="1977"/>
      <c r="AB59" s="1977"/>
      <c r="AC59" s="1977"/>
    </row>
    <row r="60" spans="1:29" s="1215" customFormat="1" ht="15.7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200"/>
    </row>
    <row r="63" spans="1:29">
      <c r="A63" s="663" t="s">
        <v>577</v>
      </c>
      <c r="B63" s="664" t="s">
        <v>534</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670"/>
      <c r="F64" s="670"/>
      <c r="G64" s="670"/>
      <c r="H64" s="670"/>
      <c r="I64" s="670"/>
      <c r="J64" s="670"/>
      <c r="K64" s="670"/>
      <c r="L64" s="670"/>
      <c r="M64" s="671"/>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70"/>
      <c r="E73" s="670"/>
      <c r="F73" s="670"/>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2554</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2555</v>
      </c>
      <c r="C82" s="2561" t="s">
        <v>2556</v>
      </c>
      <c r="D82" s="2561" t="s">
        <v>2557</v>
      </c>
      <c r="E82" s="2561" t="s">
        <v>2558</v>
      </c>
      <c r="F82" s="2561" t="s">
        <v>2559</v>
      </c>
      <c r="G82" s="2561" t="s">
        <v>2560</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672" t="s">
        <v>771</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8"/>
      <c r="B88" s="672" t="str">
        <f>B26</f>
        <v>平面位置/可视性</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8"/>
      <c r="B89" s="677"/>
      <c r="C89" s="691"/>
      <c r="D89" s="670"/>
      <c r="E89" s="670"/>
      <c r="F89" s="670"/>
      <c r="G89" s="670"/>
      <c r="H89" s="670"/>
      <c r="I89" s="670"/>
      <c r="J89" s="670"/>
      <c r="K89" s="670"/>
      <c r="L89" s="670"/>
      <c r="M89" s="670"/>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6"/>
      <c r="B90" s="672" t="str">
        <f>B27</f>
        <v>人流量</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8"/>
      <c r="B92" s="672" t="str">
        <f>B28</f>
        <v>楼层</v>
      </c>
      <c r="C92" s="687"/>
      <c r="D92" s="687"/>
      <c r="E92" s="687"/>
      <c r="F92" s="687"/>
      <c r="G92" s="687"/>
      <c r="H92" s="687"/>
      <c r="I92" s="687"/>
      <c r="J92" s="687"/>
      <c r="K92" s="687"/>
      <c r="L92" s="889"/>
      <c r="M92" s="89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0"/>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70"/>
      <c r="E95" s="670"/>
      <c r="F95" s="670"/>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1"/>
      <c r="D97" s="670"/>
      <c r="E97" s="670"/>
      <c r="F97" s="670"/>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687"/>
      <c r="D98" s="687"/>
      <c r="E98" s="687"/>
      <c r="F98" s="687"/>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699"/>
      <c r="D99" s="699"/>
      <c r="E99" s="699"/>
      <c r="F99" s="699"/>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772</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c r="D104" s="670"/>
      <c r="E104" s="670"/>
      <c r="F104" s="670"/>
      <c r="G104" s="670"/>
      <c r="H104" s="670"/>
      <c r="I104" s="670"/>
      <c r="J104" s="670"/>
      <c r="K104" s="670"/>
      <c r="L104" s="670"/>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751</v>
      </c>
      <c r="C107" s="687"/>
      <c r="D107" s="687"/>
      <c r="E107" s="68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c r="A110" s="734"/>
      <c r="B110" s="680"/>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7"/>
      <c r="B112" s="1880" t="s">
        <v>2553</v>
      </c>
      <c r="C112" s="687"/>
      <c r="D112" s="687"/>
      <c r="E112" s="687"/>
      <c r="F112" s="687"/>
      <c r="G112" s="687"/>
      <c r="H112" s="717"/>
      <c r="I112" s="717"/>
      <c r="J112" s="717"/>
      <c r="K112" s="718"/>
      <c r="L112" s="719"/>
      <c r="M112" s="720"/>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773</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672" t="s">
        <v>774</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775</v>
      </c>
      <c r="C118" s="908"/>
      <c r="D118" s="908"/>
      <c r="E118" s="908"/>
      <c r="F118" s="908"/>
      <c r="G118" s="908"/>
      <c r="H118" s="688"/>
      <c r="I118" s="688"/>
      <c r="J118" s="688"/>
      <c r="K118" s="688"/>
      <c r="L118" s="689"/>
      <c r="M118" s="69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7"/>
      <c r="B120" s="672" t="s">
        <v>776</v>
      </c>
      <c r="C120" s="717"/>
      <c r="D120" s="717"/>
      <c r="E120" s="717"/>
      <c r="F120" s="717"/>
      <c r="G120" s="688"/>
      <c r="H120" s="688"/>
      <c r="I120" s="688"/>
      <c r="J120" s="688"/>
      <c r="K120" s="688"/>
      <c r="L120" s="689"/>
      <c r="M120" s="6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70"/>
      <c r="E129" s="670"/>
      <c r="F129" s="670"/>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33" priority="17" stopIfTrue="1" operator="containsText" text="超过">
      <formula>NOT(ISERROR(SEARCH("超过",F52)))</formula>
    </cfRule>
  </conditionalFormatting>
  <conditionalFormatting sqref="H54">
    <cfRule type="containsText" dxfId="132" priority="15" stopIfTrue="1" operator="containsText" text="超过">
      <formula>NOT(ISERROR(SEARCH("超过",H54)))</formula>
    </cfRule>
  </conditionalFormatting>
  <conditionalFormatting sqref="F54">
    <cfRule type="containsText" dxfId="131" priority="14" stopIfTrue="1" operator="containsText" text="超过">
      <formula>NOT(ISERROR(SEARCH("超过",F54)))</formula>
    </cfRule>
  </conditionalFormatting>
  <conditionalFormatting sqref="F53 H53">
    <cfRule type="containsText" dxfId="130" priority="13" stopIfTrue="1" operator="containsText" text="超过">
      <formula>NOT(ISERROR(SEARCH("超过",F53)))</formula>
    </cfRule>
  </conditionalFormatting>
  <conditionalFormatting sqref="E52">
    <cfRule type="expression" dxfId="129" priority="12" stopIfTrue="1">
      <formula>$F$52="超过30%"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4">
    <cfRule type="expression" dxfId="126" priority="9" stopIfTrue="1">
      <formula>$H$54="超过30%"</formula>
    </cfRule>
  </conditionalFormatting>
  <conditionalFormatting sqref="G52">
    <cfRule type="expression" dxfId="125" priority="8" stopIfTrue="1">
      <formula>$H$52="超过30%"</formula>
    </cfRule>
  </conditionalFormatting>
  <conditionalFormatting sqref="G53">
    <cfRule type="expression" dxfId="124" priority="7" stopIfTrue="1">
      <formula>$H$53="超过20%"</formula>
    </cfRule>
  </conditionalFormatting>
  <conditionalFormatting sqref="J52">
    <cfRule type="containsText" dxfId="123" priority="6" stopIfTrue="1" operator="containsText" text="超过">
      <formula>NOT(ISERROR(SEARCH("超过",J52)))</formula>
    </cfRule>
  </conditionalFormatting>
  <conditionalFormatting sqref="J54">
    <cfRule type="containsText" dxfId="122" priority="5" stopIfTrue="1" operator="containsText" text="超过">
      <formula>NOT(ISERROR(SEARCH("超过",J54)))</formula>
    </cfRule>
  </conditionalFormatting>
  <conditionalFormatting sqref="J53">
    <cfRule type="containsText" dxfId="121" priority="4" stopIfTrue="1" operator="containsText" text="超过">
      <formula>NOT(ISERROR(SEARCH("超过",J53)))</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E45" sqref="E45"/>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5"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777</v>
      </c>
      <c r="C1" s="503" t="s">
        <v>720</v>
      </c>
      <c r="D1" s="848" t="s">
        <v>1677</v>
      </c>
      <c r="E1" s="505"/>
      <c r="F1" s="2645" t="s">
        <v>3008</v>
      </c>
      <c r="G1" s="1585" t="s">
        <v>721</v>
      </c>
      <c r="H1" s="505"/>
      <c r="I1" s="505"/>
      <c r="J1" s="505"/>
      <c r="K1" s="506"/>
      <c r="L1" s="1547"/>
      <c r="M1" s="1548"/>
      <c r="N1" s="1548"/>
      <c r="O1" s="1548"/>
      <c r="P1" s="2191"/>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1" customFormat="1" ht="28.5" customHeight="1" thickBot="1">
      <c r="A3" s="508" t="s">
        <v>519</v>
      </c>
      <c r="B3" s="509" t="e">
        <f>C50</f>
        <v>#DIV/0!</v>
      </c>
      <c r="C3" s="851" t="s">
        <v>722</v>
      </c>
      <c r="D3" s="850">
        <f>SUMIF('数据-汇总表'!$C19:$C33,D1,'数据-汇总表'!$E19:$E33)</f>
        <v>164092.99</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1" t="s">
        <v>521</v>
      </c>
      <c r="B4" s="512"/>
      <c r="C4" s="3481" t="s">
        <v>522</v>
      </c>
      <c r="D4" s="3482"/>
      <c r="E4" s="3483" t="s">
        <v>523</v>
      </c>
      <c r="F4" s="3484"/>
      <c r="G4" s="3481" t="s">
        <v>524</v>
      </c>
      <c r="H4" s="3482"/>
      <c r="I4" s="3481" t="s">
        <v>525</v>
      </c>
      <c r="J4" s="3482"/>
      <c r="K4" s="513" t="s">
        <v>526</v>
      </c>
      <c r="L4" s="2117"/>
      <c r="M4" s="2118"/>
      <c r="N4" s="2118"/>
      <c r="O4" s="2118"/>
      <c r="P4" s="3537" t="s">
        <v>527</v>
      </c>
      <c r="Q4" s="3486"/>
      <c r="R4" s="3491" t="s">
        <v>523</v>
      </c>
      <c r="S4" s="3492"/>
      <c r="T4" s="3491" t="s">
        <v>524</v>
      </c>
      <c r="U4" s="3492"/>
      <c r="V4" s="3471" t="s">
        <v>525</v>
      </c>
      <c r="W4" s="3471"/>
      <c r="X4" s="1552"/>
      <c r="Y4" s="3491" t="s">
        <v>527</v>
      </c>
      <c r="Z4" s="3492"/>
      <c r="AA4" s="3478" t="s">
        <v>523</v>
      </c>
      <c r="AB4" s="3478" t="s">
        <v>524</v>
      </c>
      <c r="AC4" s="3478" t="s">
        <v>525</v>
      </c>
    </row>
    <row r="5" spans="1:29" ht="15">
      <c r="A5" s="514"/>
      <c r="B5" s="515"/>
      <c r="C5" s="3499" t="s">
        <v>3019</v>
      </c>
      <c r="D5" s="3500"/>
      <c r="E5" s="3497" t="str">
        <f>[1]办公案例!B29</f>
        <v>金融街园中园</v>
      </c>
      <c r="F5" s="3498"/>
      <c r="G5" s="3499" t="str">
        <f>[1]办公案例!B60</f>
        <v>金融街园中园</v>
      </c>
      <c r="H5" s="3500"/>
      <c r="I5" s="3499" t="str">
        <f>[1]办公案例!B90</f>
        <v>通州万达广场</v>
      </c>
      <c r="J5" s="3500"/>
      <c r="K5" s="513"/>
      <c r="L5" s="2117"/>
      <c r="M5" s="2118"/>
      <c r="N5" s="2118"/>
      <c r="O5" s="2118"/>
      <c r="P5" s="3538"/>
      <c r="Q5" s="3488"/>
      <c r="R5" s="3493"/>
      <c r="S5" s="3494"/>
      <c r="T5" s="3493"/>
      <c r="U5" s="3494"/>
      <c r="V5" s="3471"/>
      <c r="W5" s="3471"/>
      <c r="X5" s="1552"/>
      <c r="Y5" s="3493"/>
      <c r="Z5" s="3494"/>
      <c r="AA5" s="3479"/>
      <c r="AB5" s="3479"/>
      <c r="AC5" s="3479"/>
    </row>
    <row r="6" spans="1:29" ht="15.75" thickBot="1">
      <c r="A6" s="516"/>
      <c r="B6" s="517"/>
      <c r="C6" s="3535" t="s">
        <v>3020</v>
      </c>
      <c r="D6" s="3502"/>
      <c r="E6" s="3536" t="s">
        <v>3021</v>
      </c>
      <c r="F6" s="3505"/>
      <c r="G6" s="3501" t="str">
        <f>E6</f>
        <v>通州区永顺镇</v>
      </c>
      <c r="H6" s="3502"/>
      <c r="I6" s="3535" t="s">
        <v>3022</v>
      </c>
      <c r="J6" s="3502"/>
      <c r="K6" s="513" t="s">
        <v>528</v>
      </c>
      <c r="L6" s="2117"/>
      <c r="M6" s="2118"/>
      <c r="N6" s="2118"/>
      <c r="O6" s="2118"/>
      <c r="P6" s="3539"/>
      <c r="Q6" s="3490"/>
      <c r="R6" s="3493"/>
      <c r="S6" s="3494"/>
      <c r="T6" s="3495"/>
      <c r="U6" s="3496"/>
      <c r="V6" s="3471"/>
      <c r="W6" s="3471"/>
      <c r="X6" s="1552"/>
      <c r="Y6" s="3495"/>
      <c r="Z6" s="3496"/>
      <c r="AA6" s="3480"/>
      <c r="AB6" s="3480"/>
      <c r="AC6" s="3480"/>
    </row>
    <row r="7" spans="1:29" s="1215" customFormat="1" ht="15.75" thickBot="1">
      <c r="A7" s="2750"/>
      <c r="B7" s="2757" t="s">
        <v>529</v>
      </c>
      <c r="C7" s="518">
        <f>'数据-取费表'!B2</f>
        <v>44078</v>
      </c>
      <c r="D7" s="519">
        <v>100</v>
      </c>
      <c r="E7" s="520">
        <v>43891</v>
      </c>
      <c r="F7" s="521">
        <f>SUMIF(59:59,YEAR(E7)&amp;"-"&amp;MONTH(E7),60:60)</f>
        <v>100</v>
      </c>
      <c r="G7" s="520">
        <v>43891</v>
      </c>
      <c r="H7" s="519">
        <f>SUMIF(59:59,YEAR(G7)&amp;"-"&amp;MONTH(G7),60:60)</f>
        <v>100</v>
      </c>
      <c r="I7" s="520">
        <v>43800</v>
      </c>
      <c r="J7" s="519">
        <f>SUMIF(59:59,YEAR(I7)&amp;"-"&amp;MONTH(I7),60:60)</f>
        <v>0</v>
      </c>
      <c r="K7" s="523"/>
      <c r="L7" s="2119"/>
      <c r="M7" s="2120"/>
      <c r="N7" s="2120"/>
      <c r="O7" s="2120"/>
      <c r="P7" s="3503" t="s">
        <v>530</v>
      </c>
      <c r="Q7" s="3503"/>
      <c r="R7" s="1553" t="s">
        <v>8</v>
      </c>
      <c r="S7" s="1554">
        <f t="shared" ref="S7:S15" si="0">F7</f>
        <v>100</v>
      </c>
      <c r="T7" s="1553" t="s">
        <v>8</v>
      </c>
      <c r="U7" s="1554">
        <f t="shared" ref="U7:U15" si="1">H7</f>
        <v>100</v>
      </c>
      <c r="V7" s="1553" t="s">
        <v>8</v>
      </c>
      <c r="W7" s="1554">
        <f t="shared" ref="W7:W15" si="2">J7</f>
        <v>0</v>
      </c>
      <c r="X7" s="1555"/>
      <c r="Y7" s="3476" t="s">
        <v>530</v>
      </c>
      <c r="Z7" s="3477"/>
      <c r="AA7" s="1556">
        <f>D7/F7</f>
        <v>1</v>
      </c>
      <c r="AB7" s="1556">
        <f>D7/H7</f>
        <v>1</v>
      </c>
      <c r="AC7" s="1556" t="e">
        <f>D7/J7</f>
        <v>#DIV/0!</v>
      </c>
    </row>
    <row r="8" spans="1:29" s="1215" customFormat="1" ht="15.75" thickBot="1">
      <c r="A8" s="2751"/>
      <c r="B8" s="2758" t="s">
        <v>531</v>
      </c>
      <c r="C8" s="524" t="s">
        <v>576</v>
      </c>
      <c r="D8" s="519">
        <v>100</v>
      </c>
      <c r="E8" s="524" t="s">
        <v>3023</v>
      </c>
      <c r="F8" s="521">
        <f>SUMIF(62:62,E8,63:63)-SUMIF(62:62,C8,63:63)+100</f>
        <v>100</v>
      </c>
      <c r="G8" s="524" t="s">
        <v>576</v>
      </c>
      <c r="H8" s="519">
        <f>SUMIF(62:62,G8,63:63)-SUMIF(62:62,C8,63:63)+100</f>
        <v>100</v>
      </c>
      <c r="I8" s="524" t="s">
        <v>576</v>
      </c>
      <c r="J8" s="519">
        <f>SUMIF(62:62,I8,63:63)-SUMIF(62:62,C8,63:63)+100</f>
        <v>100</v>
      </c>
      <c r="K8" s="523"/>
      <c r="L8" s="2119"/>
      <c r="M8" s="2120"/>
      <c r="N8" s="2120"/>
      <c r="O8" s="2120"/>
      <c r="P8" s="3503" t="s">
        <v>533</v>
      </c>
      <c r="Q8" s="3477"/>
      <c r="R8" s="1553" t="s">
        <v>8</v>
      </c>
      <c r="S8" s="1554">
        <f t="shared" si="0"/>
        <v>100</v>
      </c>
      <c r="T8" s="1553" t="s">
        <v>8</v>
      </c>
      <c r="U8" s="1554">
        <f t="shared" si="1"/>
        <v>100</v>
      </c>
      <c r="V8" s="1553" t="s">
        <v>8</v>
      </c>
      <c r="W8" s="1554">
        <f t="shared" si="2"/>
        <v>100</v>
      </c>
      <c r="X8" s="1555"/>
      <c r="Y8" s="3476" t="s">
        <v>533</v>
      </c>
      <c r="Z8" s="3477"/>
      <c r="AA8" s="1556">
        <f t="shared" ref="AA8:AA47" si="3">D8/F8</f>
        <v>1</v>
      </c>
      <c r="AB8" s="1556">
        <f t="shared" ref="AB8:AB47" si="4">D8/H8</f>
        <v>1</v>
      </c>
      <c r="AC8" s="1556">
        <f t="shared" ref="AC8:AC47" si="5">D8/J8</f>
        <v>1</v>
      </c>
    </row>
    <row r="9" spans="1:29" s="1215" customFormat="1" ht="15">
      <c r="A9" s="2752"/>
      <c r="B9" s="2759" t="s">
        <v>2752</v>
      </c>
      <c r="C9" s="3190" t="s">
        <v>3024</v>
      </c>
      <c r="D9" s="253">
        <v>100</v>
      </c>
      <c r="E9" s="859" t="s">
        <v>1677</v>
      </c>
      <c r="F9" s="253">
        <f>SUMIF(64:64,E9,65:65)-SUMIF(64:64,C9,65:65)+100</f>
        <v>100</v>
      </c>
      <c r="G9" s="859" t="s">
        <v>1677</v>
      </c>
      <c r="H9" s="253">
        <f>SUMIF(64:64,G9,65:65)-SUMIF(64:64,C9,65:65)+100</f>
        <v>100</v>
      </c>
      <c r="I9" s="859" t="s">
        <v>1677</v>
      </c>
      <c r="J9" s="253">
        <f>SUMIF(64:64,I9,65:65)-SUMIF(64:64,C9,65:65)+100</f>
        <v>100</v>
      </c>
      <c r="K9" s="523"/>
      <c r="L9" s="2119"/>
      <c r="M9" s="2120"/>
      <c r="N9" s="2120"/>
      <c r="O9" s="2120"/>
      <c r="P9" s="3469" t="s">
        <v>535</v>
      </c>
      <c r="Q9" s="1146" t="str">
        <f t="shared" ref="Q9:Q15" si="6">B9</f>
        <v>用途</v>
      </c>
      <c r="R9" s="1553" t="s">
        <v>8</v>
      </c>
      <c r="S9" s="1554">
        <f t="shared" si="0"/>
        <v>100</v>
      </c>
      <c r="T9" s="1553" t="s">
        <v>8</v>
      </c>
      <c r="U9" s="1554">
        <f t="shared" si="1"/>
        <v>100</v>
      </c>
      <c r="V9" s="1553" t="s">
        <v>8</v>
      </c>
      <c r="W9" s="1554">
        <f t="shared" si="2"/>
        <v>100</v>
      </c>
      <c r="X9" s="1555"/>
      <c r="Y9" s="3413" t="s">
        <v>536</v>
      </c>
      <c r="Z9" s="1145" t="str">
        <f t="shared" ref="Z9:Z15" si="7">Q9</f>
        <v>用途</v>
      </c>
      <c r="AA9" s="1556">
        <f t="shared" si="3"/>
        <v>1</v>
      </c>
      <c r="AB9" s="1556">
        <f t="shared" si="4"/>
        <v>1</v>
      </c>
      <c r="AC9" s="1556">
        <f t="shared" si="5"/>
        <v>1</v>
      </c>
    </row>
    <row r="10" spans="1:29" s="1333" customFormat="1" ht="27">
      <c r="A10" s="2753"/>
      <c r="B10" s="2758" t="s">
        <v>2753</v>
      </c>
      <c r="C10" s="860" t="s">
        <v>3025</v>
      </c>
      <c r="D10" s="254">
        <v>100</v>
      </c>
      <c r="E10" s="860" t="s">
        <v>3025</v>
      </c>
      <c r="F10" s="254">
        <f>SUMIF(66:66,E10,67:67)-SUMIF(66:66,C10,67:67)+100</f>
        <v>100</v>
      </c>
      <c r="G10" s="860" t="s">
        <v>3025</v>
      </c>
      <c r="H10" s="254">
        <f>SUMIF(66:66,G10,67:67)-SUMIF(66:66,C10,67:67)+100</f>
        <v>100</v>
      </c>
      <c r="I10" s="860" t="s">
        <v>3025</v>
      </c>
      <c r="J10" s="254">
        <f>SUMIF(66:66,I10,67:67)-SUMIF(66:66,C10,67:67)+100</f>
        <v>100</v>
      </c>
      <c r="K10" s="583">
        <v>2</v>
      </c>
      <c r="L10" s="2122"/>
      <c r="M10" s="2162"/>
      <c r="N10" s="2162"/>
      <c r="O10" s="2162"/>
      <c r="P10" s="3469"/>
      <c r="Q10" s="1146" t="str">
        <f t="shared" si="6"/>
        <v>土地使用年限（年）</v>
      </c>
      <c r="R10" s="1553" t="s">
        <v>8</v>
      </c>
      <c r="S10" s="1554">
        <f t="shared" si="0"/>
        <v>100</v>
      </c>
      <c r="T10" s="1553" t="s">
        <v>8</v>
      </c>
      <c r="U10" s="1554">
        <f t="shared" si="1"/>
        <v>100</v>
      </c>
      <c r="V10" s="1553" t="s">
        <v>8</v>
      </c>
      <c r="W10" s="1554">
        <f t="shared" si="2"/>
        <v>100</v>
      </c>
      <c r="X10" s="1555"/>
      <c r="Y10" s="3413"/>
      <c r="Z10" s="1145" t="str">
        <f t="shared" si="7"/>
        <v>土地使用年限（年）</v>
      </c>
      <c r="AA10" s="1556">
        <f t="shared" si="3"/>
        <v>1</v>
      </c>
      <c r="AB10" s="1556">
        <f t="shared" si="4"/>
        <v>1</v>
      </c>
      <c r="AC10" s="1556">
        <f t="shared" si="5"/>
        <v>1</v>
      </c>
    </row>
    <row r="11" spans="1:29" ht="15.75" thickBot="1">
      <c r="A11" s="2754"/>
      <c r="B11" s="2758" t="s">
        <v>2754</v>
      </c>
      <c r="C11" s="532">
        <v>1</v>
      </c>
      <c r="D11" s="254">
        <v>100</v>
      </c>
      <c r="E11" s="532">
        <v>1</v>
      </c>
      <c r="F11" s="254">
        <f>LOOKUP(E11,69:69,70:70)-LOOKUP(C11,69:69,70:70)+100</f>
        <v>100</v>
      </c>
      <c r="G11" s="533">
        <v>1</v>
      </c>
      <c r="H11" s="254">
        <f>LOOKUP(G11,69:69,70:70)-LOOKUP(C11,69:69,70:70)+100</f>
        <v>100</v>
      </c>
      <c r="I11" s="532">
        <v>1</v>
      </c>
      <c r="J11" s="254">
        <f>LOOKUP(I11,69:69,70:70)-LOOKUP(C11,69:69,70:70)+100</f>
        <v>100</v>
      </c>
      <c r="K11" s="583"/>
      <c r="L11" s="2124"/>
      <c r="M11" s="2118"/>
      <c r="N11" s="2118"/>
      <c r="O11" s="2118"/>
      <c r="P11" s="3469"/>
      <c r="Q11" s="1146" t="str">
        <f t="shared" si="6"/>
        <v>容积率</v>
      </c>
      <c r="R11" s="1553" t="s">
        <v>8</v>
      </c>
      <c r="S11" s="1554">
        <f t="shared" si="0"/>
        <v>100</v>
      </c>
      <c r="T11" s="1553" t="s">
        <v>8</v>
      </c>
      <c r="U11" s="1554">
        <f t="shared" si="1"/>
        <v>100</v>
      </c>
      <c r="V11" s="1553" t="s">
        <v>8</v>
      </c>
      <c r="W11" s="1554">
        <f t="shared" si="2"/>
        <v>100</v>
      </c>
      <c r="X11" s="1555"/>
      <c r="Y11" s="3413"/>
      <c r="Z11" s="1145" t="str">
        <f t="shared" si="7"/>
        <v>容积率</v>
      </c>
      <c r="AA11" s="1556">
        <f t="shared" si="3"/>
        <v>1</v>
      </c>
      <c r="AB11" s="1556">
        <f t="shared" si="4"/>
        <v>1</v>
      </c>
      <c r="AC11" s="1556">
        <f t="shared" si="5"/>
        <v>1</v>
      </c>
    </row>
    <row r="12" spans="1:29" s="1215" customFormat="1" ht="15" hidden="1">
      <c r="A12" s="2755"/>
      <c r="B12" s="2761">
        <v>111</v>
      </c>
      <c r="C12" s="527"/>
      <c r="D12" s="537">
        <v>100</v>
      </c>
      <c r="E12" s="527"/>
      <c r="F12" s="254">
        <f>SUMIF(71:71,E12,72:72)-SUMIF(71:71,C12,72:72)+100</f>
        <v>100</v>
      </c>
      <c r="G12" s="909"/>
      <c r="H12" s="254">
        <f>SUMIF(71:71,G12,72:72)-SUMIF(71:71,C12,72:72)+100</f>
        <v>100</v>
      </c>
      <c r="I12" s="527"/>
      <c r="J12" s="254">
        <f>SUMIF(71:71,I12,72:72)-SUMIF(71:71,C12,72:72)+100</f>
        <v>100</v>
      </c>
      <c r="K12" s="580"/>
      <c r="L12" s="2119"/>
      <c r="M12" s="2120"/>
      <c r="N12" s="2120"/>
      <c r="O12" s="2120"/>
      <c r="P12" s="3469"/>
      <c r="Q12" s="1146">
        <f t="shared" si="6"/>
        <v>111</v>
      </c>
      <c r="R12" s="1553" t="s">
        <v>8</v>
      </c>
      <c r="S12" s="1554">
        <f t="shared" si="0"/>
        <v>100</v>
      </c>
      <c r="T12" s="1553" t="s">
        <v>8</v>
      </c>
      <c r="U12" s="1554">
        <f t="shared" si="1"/>
        <v>100</v>
      </c>
      <c r="V12" s="1553" t="s">
        <v>8</v>
      </c>
      <c r="W12" s="1554">
        <f t="shared" si="2"/>
        <v>100</v>
      </c>
      <c r="X12" s="1555"/>
      <c r="Y12" s="3413"/>
      <c r="Z12" s="1145">
        <f t="shared" si="7"/>
        <v>111</v>
      </c>
      <c r="AA12" s="1556">
        <f>D12/F12</f>
        <v>1</v>
      </c>
      <c r="AB12" s="1556">
        <f>D12/H12</f>
        <v>1</v>
      </c>
      <c r="AC12" s="1556">
        <f>D12/J12</f>
        <v>1</v>
      </c>
    </row>
    <row r="13" spans="1:29" ht="15" hidden="1">
      <c r="A13" s="2755"/>
      <c r="B13" s="2761">
        <v>111</v>
      </c>
      <c r="C13" s="538"/>
      <c r="D13" s="539">
        <v>100</v>
      </c>
      <c r="E13" s="527"/>
      <c r="F13" s="254">
        <f>SUMIF(73:73,E13,74:74)-SUMIF(73:73,C13,74:74)+100</f>
        <v>100</v>
      </c>
      <c r="G13" s="909"/>
      <c r="H13" s="539">
        <f>SUMIF(73:73,G13,74:74)-SUMIF(73:73,C13,74:74)+100</f>
        <v>100</v>
      </c>
      <c r="I13" s="527"/>
      <c r="J13" s="539">
        <f>SUMIF(73:73,I13,74:74)-SUMIF(73:73,C13,74:74)+100</f>
        <v>100</v>
      </c>
      <c r="K13" s="580"/>
      <c r="L13" s="2126"/>
      <c r="M13" s="2118"/>
      <c r="N13" s="2118"/>
      <c r="O13" s="2118"/>
      <c r="P13" s="3469"/>
      <c r="Q13" s="1146">
        <f t="shared" si="6"/>
        <v>111</v>
      </c>
      <c r="R13" s="1553" t="s">
        <v>8</v>
      </c>
      <c r="S13" s="1554">
        <f t="shared" si="0"/>
        <v>100</v>
      </c>
      <c r="T13" s="1553" t="s">
        <v>8</v>
      </c>
      <c r="U13" s="1554">
        <f t="shared" si="1"/>
        <v>100</v>
      </c>
      <c r="V13" s="1553" t="s">
        <v>8</v>
      </c>
      <c r="W13" s="1554">
        <f t="shared" si="2"/>
        <v>100</v>
      </c>
      <c r="X13" s="1555"/>
      <c r="Y13" s="3413"/>
      <c r="Z13" s="1145">
        <f t="shared" si="7"/>
        <v>111</v>
      </c>
      <c r="AA13" s="1556">
        <f t="shared" si="3"/>
        <v>1</v>
      </c>
      <c r="AB13" s="1556">
        <f t="shared" si="4"/>
        <v>1</v>
      </c>
      <c r="AC13" s="1556">
        <f t="shared" si="5"/>
        <v>1</v>
      </c>
    </row>
    <row r="14" spans="1:29" ht="15.75" hidden="1" thickBot="1">
      <c r="A14" s="2756"/>
      <c r="B14" s="2762">
        <v>111</v>
      </c>
      <c r="C14" s="544"/>
      <c r="D14" s="545">
        <v>100</v>
      </c>
      <c r="E14" s="910"/>
      <c r="F14" s="545">
        <f>SUMIF(75:75,E14,76:76)-SUMIF(75:75,C14,76:76)+100</f>
        <v>100</v>
      </c>
      <c r="G14" s="909"/>
      <c r="H14" s="545">
        <f>SUMIF(75:75,G14,76:76)-SUMIF(75:75,C14,76:76)+100</f>
        <v>100</v>
      </c>
      <c r="I14" s="527"/>
      <c r="J14" s="545">
        <f>SUMIF(75:75,I14,76:76)-SUMIF(75:75,C14,76:76)+100</f>
        <v>100</v>
      </c>
      <c r="K14" s="580"/>
      <c r="L14" s="2126"/>
      <c r="M14" s="2118"/>
      <c r="N14" s="2118"/>
      <c r="O14" s="2118"/>
      <c r="P14" s="3469"/>
      <c r="Q14" s="1146">
        <f t="shared" si="6"/>
        <v>111</v>
      </c>
      <c r="R14" s="1553" t="s">
        <v>8</v>
      </c>
      <c r="S14" s="1554">
        <f t="shared" si="0"/>
        <v>100</v>
      </c>
      <c r="T14" s="1553" t="s">
        <v>8</v>
      </c>
      <c r="U14" s="1554">
        <f t="shared" si="1"/>
        <v>100</v>
      </c>
      <c r="V14" s="1553" t="s">
        <v>8</v>
      </c>
      <c r="W14" s="1554">
        <f t="shared" si="2"/>
        <v>100</v>
      </c>
      <c r="X14" s="1555"/>
      <c r="Y14" s="3413"/>
      <c r="Z14" s="1145">
        <f t="shared" si="7"/>
        <v>111</v>
      </c>
      <c r="AA14" s="1556">
        <f t="shared" si="3"/>
        <v>1</v>
      </c>
      <c r="AB14" s="1556">
        <f t="shared" si="4"/>
        <v>1</v>
      </c>
      <c r="AC14" s="1556">
        <f t="shared" si="5"/>
        <v>1</v>
      </c>
    </row>
    <row r="15" spans="1:29" ht="71.25">
      <c r="A15" s="2748" t="s">
        <v>2750</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102</v>
      </c>
      <c r="K15" s="3192">
        <v>2</v>
      </c>
      <c r="L15" s="2126"/>
      <c r="M15" s="2118"/>
      <c r="N15" s="2118"/>
      <c r="O15" s="2118"/>
      <c r="P15" s="3472" t="s">
        <v>540</v>
      </c>
      <c r="Q15" s="1557" t="str">
        <f t="shared" si="6"/>
        <v>办公集聚程度</v>
      </c>
      <c r="R15" s="1558" t="s">
        <v>8</v>
      </c>
      <c r="S15" s="1559">
        <f t="shared" si="0"/>
        <v>100</v>
      </c>
      <c r="T15" s="1558" t="s">
        <v>8</v>
      </c>
      <c r="U15" s="1559">
        <f t="shared" si="1"/>
        <v>100</v>
      </c>
      <c r="V15" s="1558" t="s">
        <v>8</v>
      </c>
      <c r="W15" s="1559">
        <f t="shared" si="2"/>
        <v>102</v>
      </c>
      <c r="X15" s="1552"/>
      <c r="Y15" s="3472" t="s">
        <v>540</v>
      </c>
      <c r="Z15" s="1560" t="str">
        <f t="shared" si="7"/>
        <v>办公集聚程度</v>
      </c>
      <c r="AA15" s="1561">
        <f t="shared" si="3"/>
        <v>1</v>
      </c>
      <c r="AB15" s="1561">
        <f t="shared" si="4"/>
        <v>1</v>
      </c>
      <c r="AC15" s="1561">
        <f t="shared" si="5"/>
        <v>0.98039215686274506</v>
      </c>
    </row>
    <row r="16" spans="1:29" ht="15">
      <c r="A16" s="531"/>
      <c r="B16" s="552"/>
      <c r="C16" s="553" t="s">
        <v>3016</v>
      </c>
      <c r="D16" s="554"/>
      <c r="E16" s="553" t="s">
        <v>3016</v>
      </c>
      <c r="F16" s="554"/>
      <c r="G16" s="553" t="s">
        <v>3016</v>
      </c>
      <c r="H16" s="558"/>
      <c r="I16" s="575" t="s">
        <v>3017</v>
      </c>
      <c r="J16" s="554"/>
      <c r="K16" s="898"/>
      <c r="L16" s="2126"/>
      <c r="M16" s="2118"/>
      <c r="N16" s="2118"/>
      <c r="O16" s="2118"/>
      <c r="P16" s="3473"/>
      <c r="Q16" s="1557"/>
      <c r="R16" s="1558"/>
      <c r="S16" s="1559"/>
      <c r="T16" s="1558"/>
      <c r="U16" s="1559"/>
      <c r="V16" s="1558"/>
      <c r="W16" s="1559"/>
      <c r="X16" s="1552"/>
      <c r="Y16" s="3473"/>
      <c r="Z16" s="1560"/>
      <c r="AA16" s="1561">
        <v>1</v>
      </c>
      <c r="AB16" s="1561">
        <v>1</v>
      </c>
      <c r="AC16" s="1561">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101</v>
      </c>
      <c r="K17" s="897">
        <v>1</v>
      </c>
      <c r="L17" s="2126"/>
      <c r="M17" s="2118"/>
      <c r="N17" s="2118"/>
      <c r="O17" s="2118"/>
      <c r="P17" s="3473"/>
      <c r="Q17" s="1557" t="str">
        <f>B17</f>
        <v>交通便捷度</v>
      </c>
      <c r="R17" s="1558" t="s">
        <v>8</v>
      </c>
      <c r="S17" s="1559">
        <f>F17</f>
        <v>100</v>
      </c>
      <c r="T17" s="1558" t="s">
        <v>8</v>
      </c>
      <c r="U17" s="1559">
        <f>H17</f>
        <v>100</v>
      </c>
      <c r="V17" s="1558" t="s">
        <v>8</v>
      </c>
      <c r="W17" s="1559">
        <f>J17</f>
        <v>101</v>
      </c>
      <c r="X17" s="1552"/>
      <c r="Y17" s="3473"/>
      <c r="Z17" s="1560" t="str">
        <f>Q17</f>
        <v>交通便捷度</v>
      </c>
      <c r="AA17" s="1561">
        <f t="shared" si="3"/>
        <v>1</v>
      </c>
      <c r="AB17" s="1561">
        <f t="shared" si="4"/>
        <v>1</v>
      </c>
      <c r="AC17" s="1561">
        <f t="shared" si="5"/>
        <v>0.99009900990099009</v>
      </c>
    </row>
    <row r="18" spans="1:29" ht="15">
      <c r="A18" s="531"/>
      <c r="B18" s="565"/>
      <c r="C18" s="553" t="s">
        <v>3016</v>
      </c>
      <c r="D18" s="558"/>
      <c r="E18" s="553" t="s">
        <v>3016</v>
      </c>
      <c r="F18" s="558"/>
      <c r="G18" s="553" t="s">
        <v>3016</v>
      </c>
      <c r="H18" s="554"/>
      <c r="I18" s="575" t="s">
        <v>3017</v>
      </c>
      <c r="J18" s="554"/>
      <c r="K18" s="898"/>
      <c r="L18" s="2126"/>
      <c r="M18" s="2118"/>
      <c r="N18" s="2118"/>
      <c r="O18" s="2118"/>
      <c r="P18" s="3473"/>
      <c r="Q18" s="1557"/>
      <c r="R18" s="1558"/>
      <c r="S18" s="1559"/>
      <c r="T18" s="1558"/>
      <c r="U18" s="1559"/>
      <c r="V18" s="1558"/>
      <c r="W18" s="1559"/>
      <c r="X18" s="1552"/>
      <c r="Y18" s="3473"/>
      <c r="Z18" s="1560"/>
      <c r="AA18" s="1561">
        <v>1</v>
      </c>
      <c r="AB18" s="1561">
        <v>1</v>
      </c>
      <c r="AC18" s="1561">
        <v>1</v>
      </c>
    </row>
    <row r="19" spans="1:29" ht="42.75">
      <c r="A19" s="531"/>
      <c r="B19" s="2566" t="s">
        <v>2543</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101</v>
      </c>
      <c r="K19" s="897">
        <v>1</v>
      </c>
      <c r="L19" s="2126"/>
      <c r="M19" s="2118"/>
      <c r="N19" s="2118"/>
      <c r="O19" s="2118"/>
      <c r="P19" s="3473"/>
      <c r="Q19" s="1557" t="str">
        <f>B19</f>
        <v>公共配套设施</v>
      </c>
      <c r="R19" s="1558" t="s">
        <v>8</v>
      </c>
      <c r="S19" s="1559">
        <f>F19</f>
        <v>100</v>
      </c>
      <c r="T19" s="1558" t="s">
        <v>8</v>
      </c>
      <c r="U19" s="1559">
        <f>H19</f>
        <v>100</v>
      </c>
      <c r="V19" s="1558" t="s">
        <v>8</v>
      </c>
      <c r="W19" s="1559">
        <f>J19</f>
        <v>101</v>
      </c>
      <c r="X19" s="1552"/>
      <c r="Y19" s="3473"/>
      <c r="Z19" s="1560" t="str">
        <f>Q19</f>
        <v>公共配套设施</v>
      </c>
      <c r="AA19" s="1561">
        <f t="shared" si="3"/>
        <v>1</v>
      </c>
      <c r="AB19" s="1561">
        <f t="shared" si="4"/>
        <v>1</v>
      </c>
      <c r="AC19" s="1561">
        <f t="shared" si="5"/>
        <v>0.99009900990099009</v>
      </c>
    </row>
    <row r="20" spans="1:29" ht="15">
      <c r="A20" s="531"/>
      <c r="B20" s="565"/>
      <c r="C20" s="553" t="s">
        <v>3016</v>
      </c>
      <c r="D20" s="554"/>
      <c r="E20" s="553" t="s">
        <v>3016</v>
      </c>
      <c r="F20" s="554"/>
      <c r="G20" s="553" t="s">
        <v>3016</v>
      </c>
      <c r="H20" s="554"/>
      <c r="I20" s="555" t="s">
        <v>3017</v>
      </c>
      <c r="J20" s="554"/>
      <c r="K20" s="898"/>
      <c r="L20" s="2126"/>
      <c r="M20" s="2118"/>
      <c r="N20" s="2118"/>
      <c r="O20" s="2118"/>
      <c r="P20" s="3473"/>
      <c r="Q20" s="1557"/>
      <c r="R20" s="1558"/>
      <c r="S20" s="1559"/>
      <c r="T20" s="1558"/>
      <c r="U20" s="1559"/>
      <c r="V20" s="1558"/>
      <c r="W20" s="1559"/>
      <c r="X20" s="1552"/>
      <c r="Y20" s="3473"/>
      <c r="Z20" s="1560"/>
      <c r="AA20" s="1561">
        <v>1</v>
      </c>
      <c r="AB20" s="1561">
        <v>1</v>
      </c>
      <c r="AC20" s="1561">
        <v>1</v>
      </c>
    </row>
    <row r="21" spans="1:29" ht="28.5">
      <c r="A21" s="531"/>
      <c r="B21" s="2554" t="s">
        <v>2555</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v>1</v>
      </c>
      <c r="L21" s="2126"/>
      <c r="M21" s="2118"/>
      <c r="N21" s="2118"/>
      <c r="O21" s="2118"/>
      <c r="P21" s="3473"/>
      <c r="Q21" s="2542" t="str">
        <f>B21</f>
        <v>基础设施水平</v>
      </c>
      <c r="R21" s="1558" t="s">
        <v>8</v>
      </c>
      <c r="S21" s="1559">
        <f>F21</f>
        <v>100</v>
      </c>
      <c r="T21" s="1558" t="s">
        <v>8</v>
      </c>
      <c r="U21" s="1559">
        <f>H21</f>
        <v>100</v>
      </c>
      <c r="V21" s="1558" t="s">
        <v>8</v>
      </c>
      <c r="W21" s="1559">
        <f>J21</f>
        <v>100</v>
      </c>
      <c r="X21" s="2544"/>
      <c r="Y21" s="3473"/>
      <c r="Z21" s="2543" t="str">
        <f>Q21</f>
        <v>基础设施水平</v>
      </c>
      <c r="AA21" s="1561">
        <f t="shared" ref="AA21" si="8">D21/F21</f>
        <v>1</v>
      </c>
      <c r="AB21" s="1561">
        <f t="shared" ref="AB21" si="9">D21/H21</f>
        <v>1</v>
      </c>
      <c r="AC21" s="1561">
        <f t="shared" ref="AC21" si="10">D21/J21</f>
        <v>1</v>
      </c>
    </row>
    <row r="22" spans="1:29" ht="15">
      <c r="A22" s="531"/>
      <c r="B22" s="577"/>
      <c r="C22" s="553" t="s">
        <v>3026</v>
      </c>
      <c r="D22" s="554"/>
      <c r="E22" s="575" t="s">
        <v>3026</v>
      </c>
      <c r="F22" s="554"/>
      <c r="G22" s="575" t="s">
        <v>3026</v>
      </c>
      <c r="H22" s="554"/>
      <c r="I22" s="575" t="s">
        <v>3026</v>
      </c>
      <c r="J22" s="554"/>
      <c r="K22" s="2565"/>
      <c r="L22" s="2126"/>
      <c r="M22" s="2118"/>
      <c r="N22" s="2118"/>
      <c r="O22" s="2118"/>
      <c r="P22" s="3473"/>
      <c r="Q22" s="2542"/>
      <c r="R22" s="1558"/>
      <c r="S22" s="1559"/>
      <c r="T22" s="1558"/>
      <c r="U22" s="1559"/>
      <c r="V22" s="1558"/>
      <c r="W22" s="1559"/>
      <c r="X22" s="2544"/>
      <c r="Y22" s="3473"/>
      <c r="Z22" s="2543"/>
      <c r="AA22" s="1561">
        <v>1</v>
      </c>
      <c r="AB22" s="1561">
        <v>1</v>
      </c>
      <c r="AC22" s="1561">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v>1</v>
      </c>
      <c r="L23" s="2126"/>
      <c r="M23" s="2118"/>
      <c r="N23" s="2118"/>
      <c r="O23" s="2118"/>
      <c r="P23" s="3473"/>
      <c r="Q23" s="1557" t="str">
        <f>B23</f>
        <v>环境质量</v>
      </c>
      <c r="R23" s="1558" t="s">
        <v>8</v>
      </c>
      <c r="S23" s="1559">
        <f>F23</f>
        <v>100</v>
      </c>
      <c r="T23" s="1558" t="s">
        <v>8</v>
      </c>
      <c r="U23" s="1559">
        <f>H23</f>
        <v>100</v>
      </c>
      <c r="V23" s="1558" t="s">
        <v>8</v>
      </c>
      <c r="W23" s="1559">
        <f>J23</f>
        <v>100</v>
      </c>
      <c r="X23" s="1552"/>
      <c r="Y23" s="3473"/>
      <c r="Z23" s="1560" t="str">
        <f>Q23</f>
        <v>环境质量</v>
      </c>
      <c r="AA23" s="1561">
        <f t="shared" si="3"/>
        <v>1</v>
      </c>
      <c r="AB23" s="1561">
        <f t="shared" si="4"/>
        <v>1</v>
      </c>
      <c r="AC23" s="1561">
        <f t="shared" si="5"/>
        <v>1</v>
      </c>
    </row>
    <row r="24" spans="1:29" ht="15">
      <c r="A24" s="531"/>
      <c r="B24" s="577"/>
      <c r="C24" s="555" t="s">
        <v>3017</v>
      </c>
      <c r="D24" s="554"/>
      <c r="E24" s="555" t="s">
        <v>3017</v>
      </c>
      <c r="F24" s="554"/>
      <c r="G24" s="555" t="s">
        <v>3017</v>
      </c>
      <c r="H24" s="554"/>
      <c r="I24" s="555" t="s">
        <v>3017</v>
      </c>
      <c r="J24" s="554"/>
      <c r="K24" s="898"/>
      <c r="L24" s="2126"/>
      <c r="M24" s="2118"/>
      <c r="N24" s="2118"/>
      <c r="O24" s="2118"/>
      <c r="P24" s="3473"/>
      <c r="Q24" s="1557"/>
      <c r="R24" s="1558"/>
      <c r="S24" s="1559"/>
      <c r="T24" s="1558"/>
      <c r="U24" s="1559"/>
      <c r="V24" s="1558"/>
      <c r="W24" s="1559"/>
      <c r="X24" s="1552"/>
      <c r="Y24" s="3473"/>
      <c r="Z24" s="1560"/>
      <c r="AA24" s="1561">
        <v>1</v>
      </c>
      <c r="AB24" s="1561">
        <v>1</v>
      </c>
      <c r="AC24" s="1561">
        <v>1</v>
      </c>
    </row>
    <row r="25" spans="1:29" ht="27">
      <c r="A25" s="514"/>
      <c r="B25" s="559" t="s">
        <v>548</v>
      </c>
      <c r="C25" s="911"/>
      <c r="D25" s="539">
        <v>100</v>
      </c>
      <c r="E25" s="538"/>
      <c r="F25" s="539">
        <f>SUMIF(87:87,E26,88:88)-SUMIF(87:87,C26,88:88)+100</f>
        <v>97</v>
      </c>
      <c r="G25" s="911"/>
      <c r="H25" s="539">
        <f>SUMIF(87:87,G26,88:88)-SUMIF(87:87,C26,88:88)+100</f>
        <v>97</v>
      </c>
      <c r="I25" s="538"/>
      <c r="J25" s="539">
        <f>SUMIF(87:87,I26,88:88)-SUMIF(87:87,C26,88:88)+100</f>
        <v>100</v>
      </c>
      <c r="K25" s="3192">
        <v>3</v>
      </c>
      <c r="L25" s="2126"/>
      <c r="M25" s="2118"/>
      <c r="N25" s="2118"/>
      <c r="O25" s="2118"/>
      <c r="P25" s="3473"/>
      <c r="Q25" s="1557" t="str">
        <f>B25</f>
        <v>毗邻道路的类型与等级</v>
      </c>
      <c r="R25" s="1558" t="s">
        <v>8</v>
      </c>
      <c r="S25" s="1559">
        <f>F25</f>
        <v>97</v>
      </c>
      <c r="T25" s="1558" t="s">
        <v>8</v>
      </c>
      <c r="U25" s="1559">
        <f>H25</f>
        <v>97</v>
      </c>
      <c r="V25" s="1558" t="s">
        <v>8</v>
      </c>
      <c r="W25" s="1559">
        <f>J25</f>
        <v>100</v>
      </c>
      <c r="X25" s="1552"/>
      <c r="Y25" s="3473"/>
      <c r="Z25" s="1560" t="str">
        <f>Q25</f>
        <v>毗邻道路的类型与等级</v>
      </c>
      <c r="AA25" s="1561">
        <f t="shared" si="3"/>
        <v>1.0309278350515463</v>
      </c>
      <c r="AB25" s="1561">
        <f t="shared" si="4"/>
        <v>1.0309278350515463</v>
      </c>
      <c r="AC25" s="1561">
        <f t="shared" si="5"/>
        <v>1</v>
      </c>
    </row>
    <row r="26" spans="1:29" ht="15">
      <c r="A26" s="514"/>
      <c r="B26" s="565"/>
      <c r="C26" s="579" t="s">
        <v>3028</v>
      </c>
      <c r="D26" s="539"/>
      <c r="E26" s="582" t="s">
        <v>3029</v>
      </c>
      <c r="F26" s="539"/>
      <c r="G26" s="582" t="s">
        <v>3029</v>
      </c>
      <c r="H26" s="539"/>
      <c r="I26" s="582" t="s">
        <v>3028</v>
      </c>
      <c r="J26" s="539"/>
      <c r="K26" s="898"/>
      <c r="L26" s="2126"/>
      <c r="M26" s="2118"/>
      <c r="N26" s="2118"/>
      <c r="O26" s="2118"/>
      <c r="P26" s="3473"/>
      <c r="Q26" s="1557"/>
      <c r="R26" s="1558"/>
      <c r="S26" s="1559"/>
      <c r="T26" s="1558"/>
      <c r="U26" s="1559"/>
      <c r="V26" s="1558"/>
      <c r="W26" s="1559"/>
      <c r="X26" s="1552"/>
      <c r="Y26" s="3473"/>
      <c r="Z26" s="1560"/>
      <c r="AA26" s="1561">
        <v>1</v>
      </c>
      <c r="AB26" s="1561">
        <v>1</v>
      </c>
      <c r="AC26" s="1561">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6"/>
      <c r="M27" s="2118"/>
      <c r="N27" s="2118"/>
      <c r="O27" s="2118"/>
      <c r="P27" s="3473"/>
      <c r="Q27" s="1557" t="str">
        <f t="shared" ref="Q27:Q47" si="11">B27</f>
        <v>楼层</v>
      </c>
      <c r="R27" s="1558" t="s">
        <v>8</v>
      </c>
      <c r="S27" s="1559">
        <f>F27</f>
        <v>100</v>
      </c>
      <c r="T27" s="1558" t="s">
        <v>8</v>
      </c>
      <c r="U27" s="1559">
        <f>H27</f>
        <v>100</v>
      </c>
      <c r="V27" s="1558" t="s">
        <v>8</v>
      </c>
      <c r="W27" s="1559">
        <f>J27</f>
        <v>100</v>
      </c>
      <c r="X27" s="1552"/>
      <c r="Y27" s="3473"/>
      <c r="Z27" s="1560" t="str">
        <f>Q27</f>
        <v>楼层</v>
      </c>
      <c r="AA27" s="1561">
        <f t="shared" si="3"/>
        <v>1</v>
      </c>
      <c r="AB27" s="1561">
        <f t="shared" si="4"/>
        <v>1</v>
      </c>
      <c r="AC27" s="1561">
        <f t="shared" si="5"/>
        <v>1</v>
      </c>
    </row>
    <row r="28" spans="1:29" s="1215"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19"/>
      <c r="M28" s="2120"/>
      <c r="N28" s="2120"/>
      <c r="O28" s="2120"/>
      <c r="P28" s="3473"/>
      <c r="Q28" s="1146" t="str">
        <f t="shared" si="11"/>
        <v>朝向</v>
      </c>
      <c r="R28" s="1553" t="s">
        <v>8</v>
      </c>
      <c r="S28" s="1554">
        <f>F28</f>
        <v>100</v>
      </c>
      <c r="T28" s="1553" t="s">
        <v>8</v>
      </c>
      <c r="U28" s="1554">
        <f>H28</f>
        <v>100</v>
      </c>
      <c r="V28" s="1553" t="s">
        <v>8</v>
      </c>
      <c r="W28" s="1554">
        <f>J28</f>
        <v>100</v>
      </c>
      <c r="X28" s="1555"/>
      <c r="Y28" s="3473"/>
      <c r="Z28" s="1145" t="str">
        <f>Q28</f>
        <v>朝向</v>
      </c>
      <c r="AA28" s="1561">
        <f>D28/F28</f>
        <v>1</v>
      </c>
      <c r="AB28" s="1561">
        <f>D28/H28</f>
        <v>1</v>
      </c>
      <c r="AC28" s="1561">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6"/>
      <c r="M29" s="2118"/>
      <c r="N29" s="2118"/>
      <c r="O29" s="2118"/>
      <c r="P29" s="3473"/>
      <c r="Q29" s="1557">
        <f t="shared" si="11"/>
        <v>111</v>
      </c>
      <c r="R29" s="1558" t="s">
        <v>8</v>
      </c>
      <c r="S29" s="1559">
        <f t="shared" ref="S29:S47" si="12">F29</f>
        <v>100</v>
      </c>
      <c r="T29" s="1558" t="s">
        <v>8</v>
      </c>
      <c r="U29" s="1559">
        <f t="shared" ref="U29:U47" si="13">H29</f>
        <v>100</v>
      </c>
      <c r="V29" s="1558" t="s">
        <v>8</v>
      </c>
      <c r="W29" s="1559">
        <f t="shared" ref="W29:W47" si="14">J29</f>
        <v>100</v>
      </c>
      <c r="X29" s="1552"/>
      <c r="Y29" s="3473"/>
      <c r="Z29" s="1560">
        <f t="shared" ref="Z29:Z47" si="15">Q29</f>
        <v>111</v>
      </c>
      <c r="AA29" s="1561">
        <f t="shared" si="3"/>
        <v>1</v>
      </c>
      <c r="AB29" s="1561">
        <f t="shared" si="4"/>
        <v>1</v>
      </c>
      <c r="AC29" s="1561">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6"/>
      <c r="M30" s="2118"/>
      <c r="N30" s="2118"/>
      <c r="O30" s="2118"/>
      <c r="P30" s="3473"/>
      <c r="Q30" s="1557">
        <f t="shared" si="11"/>
        <v>111</v>
      </c>
      <c r="R30" s="1558" t="s">
        <v>8</v>
      </c>
      <c r="S30" s="1559">
        <f t="shared" si="12"/>
        <v>100</v>
      </c>
      <c r="T30" s="1558" t="s">
        <v>8</v>
      </c>
      <c r="U30" s="1559">
        <f t="shared" si="13"/>
        <v>100</v>
      </c>
      <c r="V30" s="1558" t="s">
        <v>8</v>
      </c>
      <c r="W30" s="1559">
        <f t="shared" si="14"/>
        <v>100</v>
      </c>
      <c r="X30" s="1552"/>
      <c r="Y30" s="3473"/>
      <c r="Z30" s="1560">
        <f t="shared" si="15"/>
        <v>111</v>
      </c>
      <c r="AA30" s="1561">
        <f t="shared" si="3"/>
        <v>1</v>
      </c>
      <c r="AB30" s="1561">
        <f t="shared" si="4"/>
        <v>1</v>
      </c>
      <c r="AC30" s="1561">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6"/>
      <c r="M31" s="2118"/>
      <c r="N31" s="2118"/>
      <c r="O31" s="2118"/>
      <c r="P31" s="3473"/>
      <c r="Q31" s="1557">
        <f t="shared" si="11"/>
        <v>111</v>
      </c>
      <c r="R31" s="1558" t="s">
        <v>8</v>
      </c>
      <c r="S31" s="1559">
        <f t="shared" si="12"/>
        <v>100</v>
      </c>
      <c r="T31" s="1558" t="s">
        <v>8</v>
      </c>
      <c r="U31" s="1559">
        <f t="shared" si="13"/>
        <v>100</v>
      </c>
      <c r="V31" s="1558" t="s">
        <v>8</v>
      </c>
      <c r="W31" s="1559">
        <f t="shared" si="14"/>
        <v>100</v>
      </c>
      <c r="X31" s="1552"/>
      <c r="Y31" s="3473"/>
      <c r="Z31" s="1560">
        <f t="shared" si="15"/>
        <v>111</v>
      </c>
      <c r="AA31" s="1561">
        <f t="shared" si="3"/>
        <v>1</v>
      </c>
      <c r="AB31" s="1561">
        <f t="shared" si="4"/>
        <v>1</v>
      </c>
      <c r="AC31" s="1561">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6"/>
      <c r="M32" s="2118"/>
      <c r="N32" s="2118"/>
      <c r="O32" s="2118"/>
      <c r="P32" s="3473"/>
      <c r="Q32" s="1557">
        <f t="shared" si="11"/>
        <v>111</v>
      </c>
      <c r="R32" s="1558" t="s">
        <v>8</v>
      </c>
      <c r="S32" s="1559">
        <f t="shared" si="12"/>
        <v>100</v>
      </c>
      <c r="T32" s="1558" t="s">
        <v>8</v>
      </c>
      <c r="U32" s="1559">
        <f t="shared" si="13"/>
        <v>100</v>
      </c>
      <c r="V32" s="1558" t="s">
        <v>8</v>
      </c>
      <c r="W32" s="1559">
        <f t="shared" si="14"/>
        <v>100</v>
      </c>
      <c r="X32" s="1552"/>
      <c r="Y32" s="3473"/>
      <c r="Z32" s="1560">
        <f t="shared" si="15"/>
        <v>111</v>
      </c>
      <c r="AA32" s="1561">
        <f t="shared" si="3"/>
        <v>1</v>
      </c>
      <c r="AB32" s="1561">
        <f t="shared" si="4"/>
        <v>1</v>
      </c>
      <c r="AC32" s="1561">
        <f t="shared" si="5"/>
        <v>1</v>
      </c>
    </row>
    <row r="33" spans="1:29" ht="15">
      <c r="A33" s="2745" t="s">
        <v>2751</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6"/>
      <c r="M33" s="2118"/>
      <c r="N33" s="2118"/>
      <c r="O33" s="2118"/>
      <c r="P33" s="3474" t="s">
        <v>550</v>
      </c>
      <c r="Q33" s="1557" t="str">
        <f t="shared" si="11"/>
        <v>建筑类型</v>
      </c>
      <c r="R33" s="1558" t="s">
        <v>8</v>
      </c>
      <c r="S33" s="1559">
        <f t="shared" si="12"/>
        <v>100</v>
      </c>
      <c r="T33" s="1558" t="s">
        <v>8</v>
      </c>
      <c r="U33" s="1559">
        <f t="shared" si="13"/>
        <v>100</v>
      </c>
      <c r="V33" s="1558" t="s">
        <v>8</v>
      </c>
      <c r="W33" s="1559">
        <f t="shared" si="14"/>
        <v>100</v>
      </c>
      <c r="X33" s="1552"/>
      <c r="Y33" s="3475" t="s">
        <v>550</v>
      </c>
      <c r="Z33" s="1560" t="str">
        <f t="shared" si="15"/>
        <v>建筑类型</v>
      </c>
      <c r="AA33" s="1561">
        <f t="shared" si="3"/>
        <v>1</v>
      </c>
      <c r="AB33" s="1561">
        <f t="shared" si="4"/>
        <v>1</v>
      </c>
      <c r="AC33" s="1561">
        <f t="shared" si="5"/>
        <v>1</v>
      </c>
    </row>
    <row r="34" spans="1:29" s="1334" customFormat="1" ht="15">
      <c r="A34" s="602"/>
      <c r="B34" s="526" t="s">
        <v>726</v>
      </c>
      <c r="C34" s="879">
        <f>'数据-汇总表'!F19</f>
        <v>986259</v>
      </c>
      <c r="D34" s="254">
        <v>100</v>
      </c>
      <c r="E34" s="533">
        <v>575</v>
      </c>
      <c r="F34" s="862">
        <f>LOOKUP(E34,104:104,105:105)-LOOKUP(C34,104:104,105:105)+100</f>
        <v>106</v>
      </c>
      <c r="G34" s="532">
        <v>2000</v>
      </c>
      <c r="H34" s="254">
        <f>LOOKUP(G34,104:104,105:105)-LOOKUP(C34,104:104,105:105)+100</f>
        <v>100</v>
      </c>
      <c r="I34" s="532">
        <v>71.569999999999993</v>
      </c>
      <c r="J34" s="254">
        <f>LOOKUP(I34,104:104,105:105)-LOOKUP(C34,104:104,105:105)+100</f>
        <v>104</v>
      </c>
      <c r="K34" s="580"/>
      <c r="L34" s="2124"/>
      <c r="M34" s="2155"/>
      <c r="N34" s="2155"/>
      <c r="O34" s="2155"/>
      <c r="P34" s="3475"/>
      <c r="Q34" s="1589" t="str">
        <f t="shared" si="11"/>
        <v>项目建筑规模</v>
      </c>
      <c r="R34" s="1562" t="s">
        <v>8</v>
      </c>
      <c r="S34" s="1563">
        <f t="shared" si="12"/>
        <v>106</v>
      </c>
      <c r="T34" s="1562" t="s">
        <v>8</v>
      </c>
      <c r="U34" s="1563">
        <f t="shared" si="13"/>
        <v>100</v>
      </c>
      <c r="V34" s="1562" t="s">
        <v>8</v>
      </c>
      <c r="W34" s="1563">
        <f t="shared" si="14"/>
        <v>104</v>
      </c>
      <c r="X34" s="1564"/>
      <c r="Y34" s="3475"/>
      <c r="Z34" s="1565" t="str">
        <f t="shared" si="15"/>
        <v>项目建筑规模</v>
      </c>
      <c r="AA34" s="1561">
        <f t="shared" si="3"/>
        <v>0.94339622641509435</v>
      </c>
      <c r="AB34" s="1561">
        <f t="shared" si="4"/>
        <v>1</v>
      </c>
      <c r="AC34" s="1561">
        <f t="shared" si="5"/>
        <v>0.96153846153846156</v>
      </c>
    </row>
    <row r="35" spans="1:29" ht="15">
      <c r="A35" s="593"/>
      <c r="B35" s="526" t="s">
        <v>727</v>
      </c>
      <c r="C35" s="573" t="s">
        <v>3031</v>
      </c>
      <c r="D35" s="539">
        <v>100</v>
      </c>
      <c r="E35" s="573" t="s">
        <v>3031</v>
      </c>
      <c r="F35" s="574">
        <f>SUMIF(106:106,E35,107:107)-SUMIF(106:106,C35,107:107)+100</f>
        <v>100</v>
      </c>
      <c r="G35" s="573" t="s">
        <v>3031</v>
      </c>
      <c r="H35" s="539">
        <f>SUMIF(106:106,G35,107:107)-SUMIF(106:106,C35,107:107)+100</f>
        <v>100</v>
      </c>
      <c r="I35" s="573" t="s">
        <v>3031</v>
      </c>
      <c r="J35" s="539">
        <f>SUMIF(106:106,I35,107:107)-SUMIF(106:106,C35,107:107)+100</f>
        <v>100</v>
      </c>
      <c r="K35" s="583"/>
      <c r="L35" s="2126"/>
      <c r="M35" s="2118"/>
      <c r="N35" s="2118"/>
      <c r="O35" s="2118"/>
      <c r="P35" s="3475"/>
      <c r="Q35" s="1557" t="str">
        <f t="shared" si="11"/>
        <v>建筑结构</v>
      </c>
      <c r="R35" s="1558" t="s">
        <v>8</v>
      </c>
      <c r="S35" s="1559">
        <f t="shared" si="12"/>
        <v>100</v>
      </c>
      <c r="T35" s="1558" t="s">
        <v>8</v>
      </c>
      <c r="U35" s="1559">
        <f t="shared" si="13"/>
        <v>100</v>
      </c>
      <c r="V35" s="1558" t="s">
        <v>8</v>
      </c>
      <c r="W35" s="1559">
        <f t="shared" si="14"/>
        <v>100</v>
      </c>
      <c r="X35" s="1552"/>
      <c r="Y35" s="3475"/>
      <c r="Z35" s="1560" t="str">
        <f t="shared" si="15"/>
        <v>建筑结构</v>
      </c>
      <c r="AA35" s="1561">
        <f t="shared" si="3"/>
        <v>1</v>
      </c>
      <c r="AB35" s="1561">
        <f t="shared" si="4"/>
        <v>1</v>
      </c>
      <c r="AC35" s="1561">
        <f t="shared" si="5"/>
        <v>1</v>
      </c>
    </row>
    <row r="36" spans="1:29" ht="15">
      <c r="A36" s="593"/>
      <c r="B36" s="526" t="s">
        <v>763</v>
      </c>
      <c r="C36" s="573" t="s">
        <v>3033</v>
      </c>
      <c r="D36" s="539">
        <v>100</v>
      </c>
      <c r="E36" s="573" t="s">
        <v>3032</v>
      </c>
      <c r="F36" s="574">
        <f>SUMIF(108:108,E36,109:109)-SUMIF(108:108,C36,109:109)+100</f>
        <v>101</v>
      </c>
      <c r="G36" s="573" t="s">
        <v>3032</v>
      </c>
      <c r="H36" s="539">
        <f>SUMIF(108:108,G36,109:109)-SUMIF(108:108,C36,109:109)+100</f>
        <v>101</v>
      </c>
      <c r="I36" s="573" t="s">
        <v>3032</v>
      </c>
      <c r="J36" s="539">
        <f>SUMIF(108:108,I36,109:109)-SUMIF(108:108,C36,109:109)+100</f>
        <v>101</v>
      </c>
      <c r="K36" s="3197">
        <v>1</v>
      </c>
      <c r="L36" s="2126"/>
      <c r="M36" s="2118"/>
      <c r="N36" s="2118"/>
      <c r="O36" s="2118"/>
      <c r="P36" s="3475"/>
      <c r="Q36" s="1557" t="str">
        <f t="shared" si="11"/>
        <v>公共部分装修</v>
      </c>
      <c r="R36" s="1558" t="s">
        <v>8</v>
      </c>
      <c r="S36" s="1559">
        <f t="shared" si="12"/>
        <v>101</v>
      </c>
      <c r="T36" s="1558" t="s">
        <v>8</v>
      </c>
      <c r="U36" s="1559">
        <f t="shared" si="13"/>
        <v>101</v>
      </c>
      <c r="V36" s="1558" t="s">
        <v>8</v>
      </c>
      <c r="W36" s="1559">
        <f t="shared" si="14"/>
        <v>101</v>
      </c>
      <c r="X36" s="1552"/>
      <c r="Y36" s="3475"/>
      <c r="Z36" s="1560" t="str">
        <f t="shared" si="15"/>
        <v>公共部分装修</v>
      </c>
      <c r="AA36" s="1561">
        <f t="shared" si="3"/>
        <v>0.99009900990099009</v>
      </c>
      <c r="AB36" s="1561">
        <f t="shared" si="4"/>
        <v>0.99009900990099009</v>
      </c>
      <c r="AC36" s="1561">
        <f t="shared" si="5"/>
        <v>0.99009900990099009</v>
      </c>
    </row>
    <row r="37" spans="1:29" ht="15">
      <c r="A37" s="593"/>
      <c r="B37" s="526" t="s">
        <v>764</v>
      </c>
      <c r="C37" s="882">
        <v>1</v>
      </c>
      <c r="D37" s="539">
        <v>100</v>
      </c>
      <c r="E37" s="882">
        <v>1</v>
      </c>
      <c r="F37" s="574">
        <f>LOOKUP(E37,111:111,112:112)-LOOKUP(C37,111:111,112:112)+100</f>
        <v>100</v>
      </c>
      <c r="G37" s="882">
        <v>1</v>
      </c>
      <c r="H37" s="574">
        <f>LOOKUP(G37,111:111,112:112)-LOOKUP(C37,111:111,112:112)+100</f>
        <v>100</v>
      </c>
      <c r="I37" s="882">
        <v>1</v>
      </c>
      <c r="J37" s="539">
        <f>LOOKUP(I37,111:111,112:112)-LOOKUP(C37,111:111,112:112)+100</f>
        <v>100</v>
      </c>
      <c r="K37" s="583"/>
      <c r="L37" s="2126"/>
      <c r="M37" s="2118"/>
      <c r="N37" s="2118"/>
      <c r="O37" s="2118"/>
      <c r="P37" s="3475"/>
      <c r="Q37" s="1557" t="str">
        <f t="shared" si="11"/>
        <v>成新度</v>
      </c>
      <c r="R37" s="1558" t="s">
        <v>8</v>
      </c>
      <c r="S37" s="1559">
        <f t="shared" si="12"/>
        <v>100</v>
      </c>
      <c r="T37" s="1558" t="s">
        <v>8</v>
      </c>
      <c r="U37" s="1559">
        <f t="shared" si="13"/>
        <v>100</v>
      </c>
      <c r="V37" s="1558" t="s">
        <v>8</v>
      </c>
      <c r="W37" s="1559">
        <f t="shared" si="14"/>
        <v>100</v>
      </c>
      <c r="X37" s="1552"/>
      <c r="Y37" s="3475"/>
      <c r="Z37" s="1560" t="str">
        <f t="shared" si="15"/>
        <v>成新度</v>
      </c>
      <c r="AA37" s="1561">
        <f t="shared" si="3"/>
        <v>1</v>
      </c>
      <c r="AB37" s="1561">
        <f t="shared" si="4"/>
        <v>1</v>
      </c>
      <c r="AC37" s="1561">
        <f t="shared" si="5"/>
        <v>1</v>
      </c>
    </row>
    <row r="38" spans="1:29" s="1215" customFormat="1" ht="15">
      <c r="A38" s="599"/>
      <c r="B38" s="526" t="s">
        <v>781</v>
      </c>
      <c r="C38" s="573" t="s">
        <v>3036</v>
      </c>
      <c r="D38" s="254">
        <v>100</v>
      </c>
      <c r="E38" s="573" t="s">
        <v>3036</v>
      </c>
      <c r="F38" s="574">
        <f>SUMIF(113:113,E38,114:114)-SUMIF(113:113,C38,114:114)+100</f>
        <v>100</v>
      </c>
      <c r="G38" s="573" t="s">
        <v>3036</v>
      </c>
      <c r="H38" s="539">
        <f>SUMIF(113:113,G38,114:114)-SUMIF(113:113,C38,114:114)+100</f>
        <v>100</v>
      </c>
      <c r="I38" s="573" t="s">
        <v>3036</v>
      </c>
      <c r="J38" s="539">
        <f>SUMIF(113:113,I38,114:114)-SUMIF(113:113,C38,114:114)+100</f>
        <v>100</v>
      </c>
      <c r="K38" s="3198">
        <v>2</v>
      </c>
      <c r="L38" s="2119"/>
      <c r="M38" s="2120"/>
      <c r="N38" s="2120"/>
      <c r="O38" s="2120"/>
      <c r="P38" s="3475"/>
      <c r="Q38" s="1146" t="str">
        <f t="shared" si="11"/>
        <v>写字楼等级</v>
      </c>
      <c r="R38" s="1553" t="s">
        <v>8</v>
      </c>
      <c r="S38" s="1554">
        <f t="shared" si="12"/>
        <v>100</v>
      </c>
      <c r="T38" s="1553" t="s">
        <v>8</v>
      </c>
      <c r="U38" s="1554">
        <f t="shared" si="13"/>
        <v>100</v>
      </c>
      <c r="V38" s="1553" t="s">
        <v>8</v>
      </c>
      <c r="W38" s="1554">
        <f t="shared" si="14"/>
        <v>100</v>
      </c>
      <c r="X38" s="1555"/>
      <c r="Y38" s="3475"/>
      <c r="Z38" s="1145" t="str">
        <f t="shared" si="15"/>
        <v>写字楼等级</v>
      </c>
      <c r="AA38" s="1556">
        <f t="shared" si="3"/>
        <v>1</v>
      </c>
      <c r="AB38" s="1556">
        <f t="shared" si="4"/>
        <v>1</v>
      </c>
      <c r="AC38" s="1556">
        <f t="shared" si="5"/>
        <v>1</v>
      </c>
    </row>
    <row r="39" spans="1:29" ht="15">
      <c r="A39" s="593"/>
      <c r="B39" s="526" t="s">
        <v>782</v>
      </c>
      <c r="C39" s="573" t="s">
        <v>3038</v>
      </c>
      <c r="D39" s="539">
        <v>100</v>
      </c>
      <c r="E39" s="573" t="s">
        <v>3038</v>
      </c>
      <c r="F39" s="574">
        <f>SUMIF(115:115,E39,116:116)-SUMIF(115:115,C39,116:116)+100</f>
        <v>100</v>
      </c>
      <c r="G39" s="573" t="s">
        <v>3038</v>
      </c>
      <c r="H39" s="539">
        <f>SUMIF(115:115,G39,116:116)-SUMIF(115:115,C39,116:116)+100</f>
        <v>100</v>
      </c>
      <c r="I39" s="573" t="s">
        <v>3038</v>
      </c>
      <c r="J39" s="539">
        <f>SUMIF(115:115,I39,116:116)-SUMIF(115:115,C39,116:116)+100</f>
        <v>100</v>
      </c>
      <c r="K39" s="583">
        <v>2</v>
      </c>
      <c r="L39" s="2126"/>
      <c r="M39" s="2118"/>
      <c r="N39" s="2118"/>
      <c r="O39" s="2118"/>
      <c r="P39" s="3475" t="s">
        <v>550</v>
      </c>
      <c r="Q39" s="1557" t="str">
        <f t="shared" si="11"/>
        <v>物业管理</v>
      </c>
      <c r="R39" s="1558" t="s">
        <v>8</v>
      </c>
      <c r="S39" s="1559">
        <f t="shared" si="12"/>
        <v>100</v>
      </c>
      <c r="T39" s="1558" t="s">
        <v>8</v>
      </c>
      <c r="U39" s="1559">
        <f t="shared" si="13"/>
        <v>100</v>
      </c>
      <c r="V39" s="1558" t="s">
        <v>8</v>
      </c>
      <c r="W39" s="1559">
        <f t="shared" si="14"/>
        <v>100</v>
      </c>
      <c r="X39" s="1552"/>
      <c r="Y39" s="3475" t="s">
        <v>550</v>
      </c>
      <c r="Z39" s="1560" t="str">
        <f t="shared" si="15"/>
        <v>物业管理</v>
      </c>
      <c r="AA39" s="1561">
        <f t="shared" si="3"/>
        <v>1</v>
      </c>
      <c r="AB39" s="1561">
        <f t="shared" si="4"/>
        <v>1</v>
      </c>
      <c r="AC39" s="1561">
        <f t="shared" si="5"/>
        <v>1</v>
      </c>
    </row>
    <row r="40" spans="1:29" ht="15">
      <c r="A40" s="593"/>
      <c r="B40" s="1879" t="s">
        <v>2562</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6"/>
      <c r="M40" s="2118"/>
      <c r="N40" s="2118"/>
      <c r="O40" s="2118"/>
      <c r="P40" s="3475"/>
      <c r="Q40" s="1557" t="str">
        <f t="shared" si="11"/>
        <v>市政基础设施</v>
      </c>
      <c r="R40" s="1558" t="s">
        <v>8</v>
      </c>
      <c r="S40" s="1559">
        <f t="shared" si="12"/>
        <v>100</v>
      </c>
      <c r="T40" s="1558" t="s">
        <v>8</v>
      </c>
      <c r="U40" s="1559">
        <f t="shared" si="13"/>
        <v>100</v>
      </c>
      <c r="V40" s="1558" t="s">
        <v>8</v>
      </c>
      <c r="W40" s="1559">
        <f t="shared" si="14"/>
        <v>100</v>
      </c>
      <c r="X40" s="1552"/>
      <c r="Y40" s="3475"/>
      <c r="Z40" s="1560" t="str">
        <f t="shared" si="15"/>
        <v>市政基础设施</v>
      </c>
      <c r="AA40" s="1561">
        <f t="shared" si="3"/>
        <v>1</v>
      </c>
      <c r="AB40" s="1561">
        <f t="shared" si="4"/>
        <v>1</v>
      </c>
      <c r="AC40" s="1561">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6"/>
      <c r="M41" s="2118"/>
      <c r="N41" s="2118"/>
      <c r="O41" s="2118"/>
      <c r="P41" s="3475"/>
      <c r="Q41" s="1557" t="str">
        <f t="shared" si="11"/>
        <v>层高</v>
      </c>
      <c r="R41" s="1558" t="s">
        <v>8</v>
      </c>
      <c r="S41" s="1559">
        <f t="shared" si="12"/>
        <v>100</v>
      </c>
      <c r="T41" s="1558" t="s">
        <v>8</v>
      </c>
      <c r="U41" s="1559">
        <f t="shared" si="13"/>
        <v>100</v>
      </c>
      <c r="V41" s="1558" t="s">
        <v>8</v>
      </c>
      <c r="W41" s="1559">
        <f t="shared" si="14"/>
        <v>100</v>
      </c>
      <c r="X41" s="1552"/>
      <c r="Y41" s="3475"/>
      <c r="Z41" s="1560" t="str">
        <f t="shared" si="15"/>
        <v>层高</v>
      </c>
      <c r="AA41" s="1561">
        <f t="shared" si="3"/>
        <v>1</v>
      </c>
      <c r="AB41" s="1561">
        <f t="shared" si="4"/>
        <v>1</v>
      </c>
      <c r="AC41" s="1561">
        <f t="shared" si="5"/>
        <v>1</v>
      </c>
    </row>
    <row r="42" spans="1:29" s="1334"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4"/>
      <c r="M42" s="2155"/>
      <c r="N42" s="2155"/>
      <c r="O42" s="2155"/>
      <c r="P42" s="3475"/>
      <c r="Q42" s="1589" t="str">
        <f t="shared" si="11"/>
        <v>单套建筑面积</v>
      </c>
      <c r="R42" s="1562" t="s">
        <v>8</v>
      </c>
      <c r="S42" s="1563">
        <f t="shared" si="12"/>
        <v>100</v>
      </c>
      <c r="T42" s="1562" t="s">
        <v>8</v>
      </c>
      <c r="U42" s="1563">
        <f t="shared" si="13"/>
        <v>100</v>
      </c>
      <c r="V42" s="1562" t="s">
        <v>8</v>
      </c>
      <c r="W42" s="1563">
        <f t="shared" si="14"/>
        <v>100</v>
      </c>
      <c r="X42" s="1564"/>
      <c r="Y42" s="3475"/>
      <c r="Z42" s="1565" t="str">
        <f t="shared" si="15"/>
        <v>单套建筑面积</v>
      </c>
      <c r="AA42" s="1561">
        <f t="shared" si="3"/>
        <v>1</v>
      </c>
      <c r="AB42" s="1561">
        <f t="shared" si="4"/>
        <v>1</v>
      </c>
      <c r="AC42" s="1561">
        <f t="shared" si="5"/>
        <v>1</v>
      </c>
    </row>
    <row r="43" spans="1:29" ht="15">
      <c r="A43" s="593"/>
      <c r="B43" s="526" t="s">
        <v>770</v>
      </c>
      <c r="C43" s="573" t="s">
        <v>3035</v>
      </c>
      <c r="D43" s="539">
        <v>100</v>
      </c>
      <c r="E43" s="573" t="s">
        <v>3032</v>
      </c>
      <c r="F43" s="574">
        <f>SUMIF(123:123,E43,124:124)-SUMIF(123:123,C43,124:124)+100</f>
        <v>103</v>
      </c>
      <c r="G43" s="573" t="s">
        <v>3032</v>
      </c>
      <c r="H43" s="539">
        <f>SUMIF(123:123,G43,124:124)-SUMIF(123:123,C43,124:124)+100</f>
        <v>103</v>
      </c>
      <c r="I43" s="573" t="s">
        <v>3034</v>
      </c>
      <c r="J43" s="539">
        <f>SUMIF(123:123,I43,124:124)-SUMIF(123:123,C43,124:124)+100</f>
        <v>101</v>
      </c>
      <c r="K43" s="3197">
        <v>1</v>
      </c>
      <c r="L43" s="2126"/>
      <c r="M43" s="2118"/>
      <c r="N43" s="2118"/>
      <c r="O43" s="2118"/>
      <c r="P43" s="3475"/>
      <c r="Q43" s="1557" t="str">
        <f t="shared" si="11"/>
        <v>内部装修</v>
      </c>
      <c r="R43" s="1558" t="s">
        <v>8</v>
      </c>
      <c r="S43" s="1559">
        <f t="shared" si="12"/>
        <v>103</v>
      </c>
      <c r="T43" s="1558" t="s">
        <v>8</v>
      </c>
      <c r="U43" s="1559">
        <f t="shared" si="13"/>
        <v>103</v>
      </c>
      <c r="V43" s="1558" t="s">
        <v>8</v>
      </c>
      <c r="W43" s="1559">
        <f t="shared" si="14"/>
        <v>101</v>
      </c>
      <c r="X43" s="1552"/>
      <c r="Y43" s="3475"/>
      <c r="Z43" s="1560" t="str">
        <f t="shared" si="15"/>
        <v>内部装修</v>
      </c>
      <c r="AA43" s="1561">
        <f t="shared" si="3"/>
        <v>0.970873786407767</v>
      </c>
      <c r="AB43" s="1561">
        <f t="shared" si="4"/>
        <v>0.970873786407767</v>
      </c>
      <c r="AC43" s="1561">
        <f t="shared" si="5"/>
        <v>0.99009900990099009</v>
      </c>
    </row>
    <row r="44" spans="1:29" ht="27">
      <c r="A44" s="593"/>
      <c r="B44" s="526" t="s">
        <v>735</v>
      </c>
      <c r="C44" s="573" t="s">
        <v>3017</v>
      </c>
      <c r="D44" s="539">
        <v>100</v>
      </c>
      <c r="E44" s="573" t="s">
        <v>3017</v>
      </c>
      <c r="F44" s="574">
        <f>SUMIF(125:125,E44,126:126)-SUMIF(125:125,C44,126:126)+100</f>
        <v>100</v>
      </c>
      <c r="G44" s="573" t="s">
        <v>3017</v>
      </c>
      <c r="H44" s="539">
        <f>SUMIF(125:125,G44,126:126)-SUMIF(125:125,C44,126:126)+100</f>
        <v>100</v>
      </c>
      <c r="I44" s="573" t="s">
        <v>3017</v>
      </c>
      <c r="J44" s="539">
        <f>SUMIF(125:125,I44,126:126)-SUMIF(125:125,C44,126:126)+100</f>
        <v>100</v>
      </c>
      <c r="K44" s="583">
        <v>1</v>
      </c>
      <c r="L44" s="2126"/>
      <c r="M44" s="2118"/>
      <c r="N44" s="2118"/>
      <c r="O44" s="2118"/>
      <c r="P44" s="3475"/>
      <c r="Q44" s="1557" t="str">
        <f t="shared" si="11"/>
        <v>内部装修维护情况</v>
      </c>
      <c r="R44" s="1558" t="s">
        <v>8</v>
      </c>
      <c r="S44" s="1559">
        <f t="shared" si="12"/>
        <v>100</v>
      </c>
      <c r="T44" s="1558" t="s">
        <v>8</v>
      </c>
      <c r="U44" s="1559">
        <f t="shared" si="13"/>
        <v>100</v>
      </c>
      <c r="V44" s="1558" t="s">
        <v>8</v>
      </c>
      <c r="W44" s="1559">
        <f t="shared" si="14"/>
        <v>100</v>
      </c>
      <c r="X44" s="1552"/>
      <c r="Y44" s="3475"/>
      <c r="Z44" s="1560" t="str">
        <f t="shared" si="15"/>
        <v>内部装修维护情况</v>
      </c>
      <c r="AA44" s="1561">
        <f t="shared" si="3"/>
        <v>1</v>
      </c>
      <c r="AB44" s="1561">
        <f t="shared" si="4"/>
        <v>1</v>
      </c>
      <c r="AC44" s="1561">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9"/>
      <c r="M45" s="2120"/>
      <c r="N45" s="2120"/>
      <c r="O45" s="2120"/>
      <c r="P45" s="3475"/>
      <c r="Q45" s="1146">
        <f t="shared" si="11"/>
        <v>111</v>
      </c>
      <c r="R45" s="1553" t="s">
        <v>8</v>
      </c>
      <c r="S45" s="1554">
        <f t="shared" si="12"/>
        <v>100</v>
      </c>
      <c r="T45" s="1553" t="s">
        <v>8</v>
      </c>
      <c r="U45" s="1554">
        <f t="shared" si="13"/>
        <v>100</v>
      </c>
      <c r="V45" s="1553" t="s">
        <v>8</v>
      </c>
      <c r="W45" s="1554">
        <f t="shared" si="14"/>
        <v>100</v>
      </c>
      <c r="X45" s="1555"/>
      <c r="Y45" s="3475"/>
      <c r="Z45" s="1145">
        <f t="shared" si="15"/>
        <v>111</v>
      </c>
      <c r="AA45" s="1556">
        <f t="shared" si="3"/>
        <v>1</v>
      </c>
      <c r="AB45" s="1556">
        <f t="shared" si="4"/>
        <v>1</v>
      </c>
      <c r="AC45" s="1556">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6"/>
      <c r="M46" s="2118"/>
      <c r="N46" s="2118"/>
      <c r="O46" s="2118"/>
      <c r="P46" s="3475"/>
      <c r="Q46" s="1557">
        <f t="shared" si="11"/>
        <v>111</v>
      </c>
      <c r="R46" s="1558" t="s">
        <v>8</v>
      </c>
      <c r="S46" s="1559">
        <f t="shared" si="12"/>
        <v>100</v>
      </c>
      <c r="T46" s="1558" t="s">
        <v>8</v>
      </c>
      <c r="U46" s="1559">
        <f t="shared" si="13"/>
        <v>100</v>
      </c>
      <c r="V46" s="1558" t="s">
        <v>8</v>
      </c>
      <c r="W46" s="1559">
        <f t="shared" si="14"/>
        <v>100</v>
      </c>
      <c r="X46" s="1552"/>
      <c r="Y46" s="3475"/>
      <c r="Z46" s="1560">
        <f t="shared" si="15"/>
        <v>111</v>
      </c>
      <c r="AA46" s="1561">
        <f t="shared" si="3"/>
        <v>1</v>
      </c>
      <c r="AB46" s="1561">
        <f t="shared" si="4"/>
        <v>1</v>
      </c>
      <c r="AC46" s="1561">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6"/>
      <c r="M47" s="2118"/>
      <c r="N47" s="2118"/>
      <c r="O47" s="2118"/>
      <c r="P47" s="3534"/>
      <c r="Q47" s="1557">
        <f t="shared" si="11"/>
        <v>111</v>
      </c>
      <c r="R47" s="1558" t="s">
        <v>8</v>
      </c>
      <c r="S47" s="1559">
        <f t="shared" si="12"/>
        <v>100</v>
      </c>
      <c r="T47" s="1558" t="s">
        <v>8</v>
      </c>
      <c r="U47" s="1559">
        <f t="shared" si="13"/>
        <v>100</v>
      </c>
      <c r="V47" s="1558" t="s">
        <v>8</v>
      </c>
      <c r="W47" s="1559">
        <f t="shared" si="14"/>
        <v>100</v>
      </c>
      <c r="X47" s="1552"/>
      <c r="Y47" s="3534"/>
      <c r="Z47" s="1560">
        <f t="shared" si="15"/>
        <v>111</v>
      </c>
      <c r="AA47" s="1561">
        <f t="shared" si="3"/>
        <v>1</v>
      </c>
      <c r="AB47" s="1561">
        <f t="shared" si="4"/>
        <v>1</v>
      </c>
      <c r="AC47" s="1561">
        <f t="shared" si="5"/>
        <v>1</v>
      </c>
    </row>
    <row r="48" spans="1:29" ht="15">
      <c r="A48" s="606" t="s">
        <v>736</v>
      </c>
      <c r="B48" s="886"/>
      <c r="C48" s="2590" t="s">
        <v>1</v>
      </c>
      <c r="D48" s="2591"/>
      <c r="E48" s="2592">
        <v>22600</v>
      </c>
      <c r="F48" s="2593"/>
      <c r="G48" s="2594">
        <v>25000</v>
      </c>
      <c r="H48" s="2595"/>
      <c r="I48" s="2592">
        <v>29300</v>
      </c>
      <c r="J48" s="2595"/>
      <c r="K48" s="1595"/>
      <c r="L48" s="2128"/>
      <c r="M48" s="2118"/>
      <c r="N48" s="2118"/>
      <c r="O48" s="2118"/>
      <c r="P48" s="3467" t="str">
        <f>A48</f>
        <v>成交单价（元/平方米）</v>
      </c>
      <c r="Q48" s="3469"/>
      <c r="R48" s="3533">
        <f>E48</f>
        <v>22600</v>
      </c>
      <c r="S48" s="3533"/>
      <c r="T48" s="3533">
        <f>G48</f>
        <v>25000</v>
      </c>
      <c r="U48" s="3533"/>
      <c r="V48" s="3533">
        <f>I48</f>
        <v>29300</v>
      </c>
      <c r="W48" s="3533"/>
      <c r="X48" s="1544"/>
      <c r="Y48" s="1566"/>
      <c r="Z48" s="1544"/>
      <c r="AA48" s="1544"/>
      <c r="AB48" s="1544"/>
      <c r="AC48" s="1544"/>
    </row>
    <row r="49" spans="1:29" ht="15.75" thickBot="1">
      <c r="A49" s="614" t="s">
        <v>2756</v>
      </c>
      <c r="B49" s="887"/>
      <c r="C49" s="2596" t="e">
        <f>R50</f>
        <v>#DIV/0!</v>
      </c>
      <c r="D49" s="2597"/>
      <c r="E49" s="2598">
        <f>R49</f>
        <v>21129</v>
      </c>
      <c r="F49" s="2598"/>
      <c r="G49" s="2596">
        <f>T49</f>
        <v>24775</v>
      </c>
      <c r="H49" s="2597"/>
      <c r="I49" s="2598" t="e">
        <f>V49</f>
        <v>#DIV/0!</v>
      </c>
      <c r="J49" s="2597"/>
      <c r="K49" s="1596"/>
      <c r="L49" s="2128"/>
      <c r="M49" s="2118"/>
      <c r="N49" s="2118"/>
      <c r="O49" s="2118"/>
      <c r="P49" s="3467" t="str">
        <f>A49</f>
        <v>比较价格（元/平方米）</v>
      </c>
      <c r="Q49" s="3469"/>
      <c r="R49" s="3533">
        <f>IF(F1="售价",ROUND(PRODUCT(R48,AA7:AA47),0),ROUND(PRODUCT(R48,AA7:AA47),1))</f>
        <v>21129</v>
      </c>
      <c r="S49" s="3533"/>
      <c r="T49" s="3533">
        <f>IF(F1="售价",ROUND(PRODUCT(T48,AB7:AB47),0),ROUND(PRODUCT(T48,AB7:AB47),1))</f>
        <v>24775</v>
      </c>
      <c r="U49" s="3533"/>
      <c r="V49" s="3533" t="e">
        <f>IF(F1="售价",ROUND(PRODUCT(V48,AC7:AC47),0),ROUND(PRODUCT(V48,AC7:AC47),1))</f>
        <v>#DIV/0!</v>
      </c>
      <c r="W49" s="3533"/>
      <c r="X49" s="1544"/>
      <c r="Y49" s="1544"/>
      <c r="Z49" s="1544"/>
      <c r="AA49" s="1544"/>
      <c r="AB49" s="1544"/>
      <c r="AC49" s="1544"/>
    </row>
    <row r="50" spans="1:29" ht="15.75" thickBot="1">
      <c r="A50" s="620" t="s">
        <v>2932</v>
      </c>
      <c r="B50" s="621"/>
      <c r="C50" s="2599" t="e">
        <f>R50</f>
        <v>#DIV/0!</v>
      </c>
      <c r="D50" s="2599"/>
      <c r="E50" s="2599"/>
      <c r="F50" s="2599"/>
      <c r="G50" s="2599"/>
      <c r="H50" s="2599"/>
      <c r="I50" s="2599"/>
      <c r="J50" s="2599"/>
      <c r="K50" s="1597"/>
      <c r="L50" s="2128"/>
      <c r="M50" s="2118"/>
      <c r="N50" s="2118"/>
      <c r="O50" s="2118"/>
      <c r="P50" s="3540" t="str">
        <f>A50</f>
        <v>估价对象XX用房的比较价格（楼面单价，元/平方米）</v>
      </c>
      <c r="Q50" s="3467"/>
      <c r="R50" s="3532" t="e">
        <f>IF(F1="售价",ROUND(AVERAGE(R49:V49),0),ROUND(AVERAGE(R49:V49),1))</f>
        <v>#DIV/0!</v>
      </c>
      <c r="S50" s="3532"/>
      <c r="T50" s="3532"/>
      <c r="U50" s="3532"/>
      <c r="V50" s="3532"/>
      <c r="W50" s="3532"/>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f>IF(E48&lt;E49,E49/E48-1,E48/E49-1)</f>
        <v>6.9619953618249797E-2</v>
      </c>
      <c r="F53" s="626" t="str">
        <f>IF(OR(E53&gt;=0.3,E53&lt;=-0.3),"超过30%","")</f>
        <v/>
      </c>
      <c r="G53" s="625">
        <f>IF(G48&lt;G49,G49/G48-1,G48/G49-1)</f>
        <v>9.0817356205852295E-3</v>
      </c>
      <c r="H53" s="626" t="str">
        <f>IF(OR(G53&gt;=0.3,G53&lt;=-0.3),"超过30%","")</f>
        <v/>
      </c>
      <c r="I53" s="625" t="e">
        <f>IF(I48&lt;I49,I49/I48-1,I48/I49-1)</f>
        <v>#DIV/0!</v>
      </c>
      <c r="J53" s="626"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f>IF(E49&lt;G49,G49/E49-1,E49/G49-1)</f>
        <v>0.17255904207487349</v>
      </c>
      <c r="F54" s="626" t="str">
        <f>IF(OR(E54&gt;=0.2,E54&lt;=-0.2),"超过20%","")</f>
        <v/>
      </c>
      <c r="G54" s="625" t="e">
        <f>IF(G49&lt;I49,I49/G49-1,G49/I49-1)</f>
        <v>#DIV/0!</v>
      </c>
      <c r="H54" s="626" t="e">
        <f>IF(OR(G54&gt;=0.2,G54&lt;=-0.2),"超过20%","")</f>
        <v>#DIV/0!</v>
      </c>
      <c r="I54" s="625" t="e">
        <f>IF(I49&lt;E49,E49/I49-1,I49/E49-1)</f>
        <v>#DIV/0!</v>
      </c>
      <c r="J54" s="626"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f>IF(E48&lt;G48,G48/E48-1,E48/G48-1)</f>
        <v>0.10619469026548667</v>
      </c>
      <c r="F55" s="626" t="str">
        <f>IF(OR(E55&gt;=0.3,E55&lt;=-0.3),"超过30%","")</f>
        <v/>
      </c>
      <c r="G55" s="625">
        <f>IF(G48&lt;I48,I48/G48-1,G48/I48-1)</f>
        <v>0.17199999999999993</v>
      </c>
      <c r="H55" s="626" t="str">
        <f>IF(OR(G55&gt;=0.3,G55&lt;=-0.3),"超过30%","")</f>
        <v/>
      </c>
      <c r="I55" s="625">
        <f>IF(I48&lt;E48,E48/I48-1,I48/E48-1)</f>
        <v>0.29646017699115035</v>
      </c>
      <c r="J55" s="626" t="str">
        <f>IF(OR(I55&gt;=0.3,I55&lt;=-0.3),"超过30%","")</f>
        <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2" customFormat="1" ht="15">
      <c r="A59" s="644" t="s">
        <v>529</v>
      </c>
      <c r="B59" s="645"/>
      <c r="C59" s="2640" t="str">
        <f>YEAR(C7)&amp;"-"&amp;MONTH(C7)</f>
        <v>2020-9</v>
      </c>
      <c r="D59" s="2642">
        <f>EDATE(C59,-1)</f>
        <v>44044</v>
      </c>
      <c r="E59" s="2642">
        <f t="shared" ref="E59:O59" si="16">EDATE(D59,-1)</f>
        <v>44013</v>
      </c>
      <c r="F59" s="2642">
        <f t="shared" si="16"/>
        <v>43983</v>
      </c>
      <c r="G59" s="2642">
        <f t="shared" si="16"/>
        <v>43952</v>
      </c>
      <c r="H59" s="2642">
        <f t="shared" si="16"/>
        <v>43922</v>
      </c>
      <c r="I59" s="2642">
        <f t="shared" si="16"/>
        <v>43891</v>
      </c>
      <c r="J59" s="2642">
        <f t="shared" si="16"/>
        <v>43862</v>
      </c>
      <c r="K59" s="2642">
        <f t="shared" si="16"/>
        <v>43831</v>
      </c>
      <c r="L59" s="2642">
        <f t="shared" si="16"/>
        <v>43800</v>
      </c>
      <c r="M59" s="2642">
        <f t="shared" si="16"/>
        <v>43770</v>
      </c>
      <c r="N59" s="2642">
        <f t="shared" si="16"/>
        <v>43739</v>
      </c>
      <c r="O59" s="2642">
        <f t="shared" si="16"/>
        <v>43709</v>
      </c>
      <c r="P59" s="2195"/>
      <c r="Q59" s="2145"/>
      <c r="R59" s="2145"/>
      <c r="S59" s="2145"/>
      <c r="T59" s="2145"/>
      <c r="U59" s="2145"/>
      <c r="V59" s="2145"/>
      <c r="W59" s="2145"/>
      <c r="X59" s="2145"/>
      <c r="Y59" s="2145"/>
      <c r="Z59" s="2145"/>
      <c r="AA59" s="2145"/>
      <c r="AB59" s="2145"/>
      <c r="AC59" s="2145"/>
    </row>
    <row r="60" spans="1:29" s="1215" customFormat="1" ht="15">
      <c r="A60" s="646"/>
      <c r="B60" s="647"/>
      <c r="C60" s="648">
        <v>100</v>
      </c>
      <c r="D60" s="649">
        <v>100</v>
      </c>
      <c r="E60" s="649">
        <v>100</v>
      </c>
      <c r="F60" s="649">
        <v>100</v>
      </c>
      <c r="G60" s="649">
        <v>100</v>
      </c>
      <c r="H60" s="649">
        <v>100</v>
      </c>
      <c r="I60" s="649">
        <v>100</v>
      </c>
      <c r="J60" s="649"/>
      <c r="K60" s="649"/>
      <c r="L60" s="649"/>
      <c r="M60" s="650"/>
      <c r="N60" s="649"/>
      <c r="O60" s="650"/>
      <c r="P60" s="2196"/>
      <c r="Q60" s="1977"/>
      <c r="R60" s="1977"/>
      <c r="S60" s="1977"/>
      <c r="T60" s="1977"/>
      <c r="U60" s="1977"/>
      <c r="V60" s="1977"/>
      <c r="W60" s="1977"/>
      <c r="X60" s="1977"/>
      <c r="Y60" s="1977"/>
      <c r="Z60" s="1977"/>
      <c r="AA60" s="1977"/>
      <c r="AB60" s="1977"/>
      <c r="AC60" s="1977"/>
    </row>
    <row r="61" spans="1:29" s="1215" customFormat="1" ht="15.75" thickBot="1">
      <c r="A61" s="652" t="s">
        <v>575</v>
      </c>
      <c r="B61" s="653"/>
      <c r="C61" s="654"/>
      <c r="D61" s="655"/>
      <c r="E61" s="655"/>
      <c r="F61" s="655"/>
      <c r="G61" s="655"/>
      <c r="H61" s="655"/>
      <c r="I61" s="655"/>
      <c r="J61" s="655"/>
      <c r="K61" s="655"/>
      <c r="L61" s="655"/>
      <c r="M61" s="656"/>
      <c r="N61" s="655"/>
      <c r="O61" s="656"/>
      <c r="P61" s="2196"/>
      <c r="Q61" s="2142"/>
      <c r="R61" s="1977"/>
      <c r="S61" s="1977"/>
      <c r="T61" s="1977"/>
      <c r="U61" s="1977"/>
      <c r="V61" s="1977"/>
      <c r="W61" s="1977"/>
      <c r="X61" s="1977"/>
      <c r="Y61" s="1977"/>
      <c r="Z61" s="1977"/>
      <c r="AA61" s="1977"/>
      <c r="AB61" s="1977"/>
      <c r="AC61" s="1977"/>
    </row>
    <row r="62" spans="1:29" s="1215" customFormat="1" ht="15">
      <c r="A62" s="658" t="s">
        <v>531</v>
      </c>
      <c r="B62" s="647"/>
      <c r="C62" s="659" t="s">
        <v>576</v>
      </c>
      <c r="D62" s="660"/>
      <c r="E62" s="660"/>
      <c r="F62" s="660"/>
      <c r="G62" s="660"/>
      <c r="H62" s="660"/>
      <c r="I62" s="660"/>
      <c r="J62" s="660"/>
      <c r="K62" s="660"/>
      <c r="L62" s="661"/>
      <c r="M62" s="662"/>
      <c r="N62" s="2146"/>
      <c r="O62" s="2146"/>
      <c r="P62" s="2197"/>
      <c r="Q62" s="2142"/>
      <c r="R62" s="1977"/>
      <c r="S62" s="1977"/>
      <c r="T62" s="1977"/>
      <c r="U62" s="1977"/>
      <c r="V62" s="1977"/>
      <c r="W62" s="1977"/>
      <c r="X62" s="1977"/>
      <c r="Y62" s="1977"/>
      <c r="Z62" s="1977"/>
      <c r="AA62" s="1977"/>
      <c r="AB62" s="1977"/>
      <c r="AC62" s="1977"/>
    </row>
    <row r="63" spans="1:29" s="1215" customFormat="1" ht="15.75" thickBot="1">
      <c r="A63" s="658"/>
      <c r="B63" s="647"/>
      <c r="C63" s="888">
        <v>100</v>
      </c>
      <c r="D63" s="649"/>
      <c r="E63" s="649"/>
      <c r="F63" s="649"/>
      <c r="G63" s="649"/>
      <c r="H63" s="649"/>
      <c r="I63" s="649"/>
      <c r="J63" s="649"/>
      <c r="K63" s="649"/>
      <c r="L63" s="649"/>
      <c r="M63" s="651"/>
      <c r="N63" s="2146"/>
      <c r="O63" s="2146"/>
      <c r="P63" s="2196"/>
      <c r="Q63" s="2142"/>
      <c r="R63" s="1977"/>
      <c r="S63" s="1977"/>
      <c r="T63" s="1977"/>
      <c r="U63" s="1977"/>
      <c r="V63" s="1977"/>
      <c r="W63" s="1977"/>
      <c r="X63" s="1977"/>
      <c r="Y63" s="1977"/>
      <c r="Z63" s="1977"/>
      <c r="AA63" s="1977"/>
      <c r="AB63" s="1977"/>
      <c r="AC63" s="1977"/>
    </row>
    <row r="64" spans="1:29">
      <c r="A64" s="663" t="s">
        <v>577</v>
      </c>
      <c r="B64" s="664" t="s">
        <v>534</v>
      </c>
      <c r="C64" s="703" t="str">
        <f>C9</f>
        <v>办公</v>
      </c>
      <c r="D64" s="597"/>
      <c r="E64" s="597"/>
      <c r="F64" s="597"/>
      <c r="G64" s="597"/>
      <c r="H64" s="597"/>
      <c r="I64" s="597"/>
      <c r="J64" s="597"/>
      <c r="K64" s="665"/>
      <c r="L64" s="666"/>
      <c r="M64" s="667"/>
      <c r="N64" s="2148"/>
      <c r="O64" s="2148"/>
      <c r="P64" s="2198"/>
      <c r="Q64" s="2142"/>
      <c r="R64" s="2129"/>
      <c r="S64" s="2129"/>
      <c r="T64" s="2129"/>
      <c r="U64" s="2129"/>
      <c r="V64" s="2129"/>
      <c r="W64" s="2129"/>
      <c r="X64" s="2129"/>
      <c r="Y64" s="2129"/>
      <c r="Z64" s="2129"/>
      <c r="AA64" s="2129"/>
      <c r="AB64" s="2129"/>
      <c r="AC64" s="2129"/>
    </row>
    <row r="65" spans="1:29" ht="15.75" thickBot="1">
      <c r="A65" s="668"/>
      <c r="B65" s="669"/>
      <c r="C65" s="670"/>
      <c r="D65" s="670"/>
      <c r="E65" s="670"/>
      <c r="F65" s="670"/>
      <c r="G65" s="670"/>
      <c r="H65" s="670"/>
      <c r="I65" s="670"/>
      <c r="J65" s="670"/>
      <c r="K65" s="670"/>
      <c r="L65" s="670"/>
      <c r="M65" s="671"/>
      <c r="N65" s="2150"/>
      <c r="O65" s="2150"/>
      <c r="P65" s="2198"/>
      <c r="Q65" s="2142"/>
      <c r="R65" s="2129"/>
      <c r="S65" s="2129"/>
      <c r="T65" s="2129"/>
      <c r="U65" s="2129"/>
      <c r="V65" s="2129"/>
      <c r="W65" s="2129"/>
      <c r="X65" s="2129"/>
      <c r="Y65" s="2129"/>
      <c r="Z65" s="2129"/>
      <c r="AA65" s="2129"/>
      <c r="AB65" s="2129"/>
      <c r="AC65" s="2129"/>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8"/>
      <c r="O66" s="2148"/>
      <c r="P66" s="2198"/>
      <c r="Q66" s="2142"/>
      <c r="R66" s="2129"/>
      <c r="S66" s="2129"/>
      <c r="T66" s="2129"/>
      <c r="U66" s="2129"/>
      <c r="V66" s="2129"/>
      <c r="W66" s="2129"/>
      <c r="X66" s="2129"/>
      <c r="Y66" s="2129"/>
      <c r="Z66" s="2129"/>
      <c r="AA66" s="2129"/>
      <c r="AB66" s="2129"/>
      <c r="AC66" s="2129"/>
    </row>
    <row r="67" spans="1:29" ht="15.75" thickBot="1">
      <c r="A67" s="668"/>
      <c r="B67" s="677"/>
      <c r="C67" s="678" t="s">
        <v>14</v>
      </c>
      <c r="D67" s="678" t="s">
        <v>15</v>
      </c>
      <c r="E67" s="678">
        <v>100</v>
      </c>
      <c r="F67" s="678">
        <f>E67-$K10</f>
        <v>98</v>
      </c>
      <c r="G67" s="678">
        <f>F67-$K10</f>
        <v>96</v>
      </c>
      <c r="H67" s="678">
        <f>G67-$K10</f>
        <v>94</v>
      </c>
      <c r="I67" s="678">
        <f>H67-$K10</f>
        <v>92</v>
      </c>
      <c r="J67" s="678"/>
      <c r="K67" s="678"/>
      <c r="L67" s="678"/>
      <c r="M67" s="679"/>
      <c r="N67" s="2150"/>
      <c r="O67" s="2150"/>
      <c r="P67" s="2198"/>
      <c r="Q67" s="2142"/>
      <c r="R67" s="2129"/>
      <c r="S67" s="2129"/>
      <c r="T67" s="2129"/>
      <c r="U67" s="2129"/>
      <c r="V67" s="2129"/>
      <c r="W67" s="2129"/>
      <c r="X67" s="2129"/>
      <c r="Y67" s="2129"/>
      <c r="Z67" s="2129"/>
      <c r="AA67" s="2129"/>
      <c r="AB67" s="2129"/>
      <c r="AC67" s="2129"/>
    </row>
    <row r="68" spans="1:29" ht="15.75" thickTop="1">
      <c r="A68" s="668"/>
      <c r="B68" s="680" t="s">
        <v>538</v>
      </c>
      <c r="C68" s="681" t="str">
        <f>C69&amp;"（含）"&amp;"-"&amp;D69</f>
        <v>1（含）-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8"/>
      <c r="B69" s="682"/>
      <c r="C69" s="540">
        <v>1</v>
      </c>
      <c r="D69" s="540"/>
      <c r="E69" s="540"/>
      <c r="F69" s="540"/>
      <c r="G69" s="540"/>
      <c r="H69" s="540"/>
      <c r="I69" s="540"/>
      <c r="J69" s="540"/>
      <c r="K69" s="683"/>
      <c r="L69" s="684"/>
      <c r="M69" s="685"/>
      <c r="N69" s="2148"/>
      <c r="O69" s="2148"/>
      <c r="P69" s="2198"/>
      <c r="Q69" s="2142"/>
      <c r="R69" s="2129"/>
      <c r="S69" s="2129"/>
      <c r="T69" s="2129"/>
      <c r="U69" s="2129"/>
      <c r="V69" s="2129"/>
      <c r="W69" s="2129"/>
      <c r="X69" s="2129"/>
      <c r="Y69" s="2129"/>
      <c r="Z69" s="2129"/>
      <c r="AA69" s="2129"/>
      <c r="AB69" s="2129"/>
      <c r="AC69" s="2129"/>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0"/>
      <c r="O70" s="2150"/>
      <c r="P70" s="2198"/>
      <c r="Q70" s="2142"/>
      <c r="R70" s="2129"/>
      <c r="S70" s="2129"/>
      <c r="T70" s="2129"/>
      <c r="U70" s="2129"/>
      <c r="V70" s="2129"/>
      <c r="W70" s="2129"/>
      <c r="X70" s="2129"/>
      <c r="Y70" s="2129"/>
      <c r="Z70" s="2129"/>
      <c r="AA70" s="2129"/>
      <c r="AB70" s="2129"/>
      <c r="AC70" s="2129"/>
    </row>
    <row r="71" spans="1:29" s="1334" customFormat="1" ht="15.75" thickTop="1">
      <c r="A71" s="686"/>
      <c r="B71" s="672">
        <f>B12</f>
        <v>111</v>
      </c>
      <c r="C71" s="687"/>
      <c r="D71" s="687"/>
      <c r="E71" s="687"/>
      <c r="F71" s="687"/>
      <c r="G71" s="687"/>
      <c r="H71" s="688"/>
      <c r="I71" s="688"/>
      <c r="J71" s="688"/>
      <c r="K71" s="688"/>
      <c r="L71" s="689"/>
      <c r="M71" s="690"/>
      <c r="N71" s="2151"/>
      <c r="O71" s="2151"/>
      <c r="P71" s="2199"/>
      <c r="Q71" s="2153"/>
      <c r="R71" s="2154"/>
      <c r="S71" s="2154"/>
      <c r="T71" s="2154"/>
      <c r="U71" s="2154"/>
      <c r="V71" s="2154"/>
      <c r="W71" s="2154"/>
      <c r="X71" s="2154"/>
      <c r="Y71" s="2154"/>
      <c r="Z71" s="2154"/>
      <c r="AA71" s="2154"/>
      <c r="AB71" s="2154"/>
      <c r="AC71" s="2154"/>
    </row>
    <row r="72" spans="1:29" s="1334" customFormat="1" ht="15.75" thickBot="1">
      <c r="A72" s="686"/>
      <c r="B72" s="677"/>
      <c r="C72" s="691"/>
      <c r="D72" s="670"/>
      <c r="E72" s="670"/>
      <c r="F72" s="670"/>
      <c r="G72" s="670"/>
      <c r="H72" s="670"/>
      <c r="I72" s="670"/>
      <c r="J72" s="670"/>
      <c r="K72" s="670"/>
      <c r="L72" s="670"/>
      <c r="M72" s="671"/>
      <c r="N72" s="2150"/>
      <c r="O72" s="2150"/>
      <c r="P72" s="2199"/>
      <c r="Q72" s="2153"/>
      <c r="R72" s="2154"/>
      <c r="S72" s="2154"/>
      <c r="T72" s="2154"/>
      <c r="U72" s="2154"/>
      <c r="V72" s="2154"/>
      <c r="W72" s="2154"/>
      <c r="X72" s="2154"/>
      <c r="Y72" s="2154"/>
      <c r="Z72" s="2154"/>
      <c r="AA72" s="2154"/>
      <c r="AB72" s="2154"/>
      <c r="AC72" s="2154"/>
    </row>
    <row r="73" spans="1:29" s="1334" customFormat="1" ht="15.75" thickTop="1">
      <c r="A73" s="686"/>
      <c r="B73" s="672">
        <f>B13</f>
        <v>111</v>
      </c>
      <c r="C73" s="687"/>
      <c r="D73" s="687"/>
      <c r="E73" s="687"/>
      <c r="F73" s="687"/>
      <c r="G73" s="687"/>
      <c r="H73" s="688"/>
      <c r="I73" s="688"/>
      <c r="J73" s="688"/>
      <c r="K73" s="688"/>
      <c r="L73" s="689"/>
      <c r="M73" s="690"/>
      <c r="N73" s="2151"/>
      <c r="O73" s="2151"/>
      <c r="P73" s="2200"/>
      <c r="Q73" s="2156"/>
      <c r="R73" s="2154"/>
      <c r="S73" s="2154"/>
      <c r="T73" s="2154"/>
      <c r="U73" s="2154"/>
      <c r="V73" s="2154"/>
      <c r="W73" s="2154"/>
      <c r="X73" s="2154"/>
      <c r="Y73" s="2154"/>
      <c r="Z73" s="2154"/>
      <c r="AA73" s="2154"/>
      <c r="AB73" s="2154"/>
      <c r="AC73" s="2154"/>
    </row>
    <row r="74" spans="1:29" s="1334" customFormat="1" ht="15.75" thickBot="1">
      <c r="A74" s="686"/>
      <c r="B74" s="677"/>
      <c r="C74" s="691"/>
      <c r="D74" s="691"/>
      <c r="E74" s="691"/>
      <c r="F74" s="691"/>
      <c r="G74" s="691"/>
      <c r="H74" s="692"/>
      <c r="I74" s="692"/>
      <c r="J74" s="692"/>
      <c r="K74" s="692"/>
      <c r="L74" s="692"/>
      <c r="M74" s="693"/>
      <c r="N74" s="2151"/>
      <c r="O74" s="2151"/>
      <c r="P74" s="2199"/>
      <c r="Q74" s="2153"/>
      <c r="R74" s="2154"/>
      <c r="S74" s="2154"/>
      <c r="T74" s="2154"/>
      <c r="U74" s="2154"/>
      <c r="V74" s="2154"/>
      <c r="W74" s="2154"/>
      <c r="X74" s="2154"/>
      <c r="Y74" s="2154"/>
      <c r="Z74" s="2154"/>
      <c r="AA74" s="2154"/>
      <c r="AB74" s="2154"/>
      <c r="AC74" s="2154"/>
    </row>
    <row r="75" spans="1:29" s="1334" customFormat="1" ht="15.75" thickTop="1">
      <c r="A75" s="686"/>
      <c r="B75" s="680">
        <f>B14</f>
        <v>111</v>
      </c>
      <c r="C75" s="660"/>
      <c r="D75" s="660"/>
      <c r="E75" s="660"/>
      <c r="F75" s="660"/>
      <c r="G75" s="660"/>
      <c r="H75" s="694"/>
      <c r="I75" s="694"/>
      <c r="J75" s="694"/>
      <c r="K75" s="694"/>
      <c r="L75" s="695"/>
      <c r="M75" s="696"/>
      <c r="N75" s="2151"/>
      <c r="O75" s="2151"/>
      <c r="P75" s="2201"/>
      <c r="Q75" s="2153"/>
      <c r="R75" s="2154"/>
      <c r="S75" s="2154"/>
      <c r="T75" s="2154"/>
      <c r="U75" s="2154"/>
      <c r="V75" s="2154"/>
      <c r="W75" s="2154"/>
      <c r="X75" s="2154"/>
      <c r="Y75" s="2154"/>
      <c r="Z75" s="2154"/>
      <c r="AA75" s="2154"/>
      <c r="AB75" s="2154"/>
      <c r="AC75" s="2154"/>
    </row>
    <row r="76" spans="1:29" s="1334" customFormat="1" ht="15.75" thickBot="1">
      <c r="A76" s="697"/>
      <c r="B76" s="698"/>
      <c r="C76" s="699"/>
      <c r="D76" s="699"/>
      <c r="E76" s="699"/>
      <c r="F76" s="699"/>
      <c r="G76" s="699"/>
      <c r="H76" s="700"/>
      <c r="I76" s="700"/>
      <c r="J76" s="700"/>
      <c r="K76" s="700"/>
      <c r="L76" s="700"/>
      <c r="M76" s="701"/>
      <c r="N76" s="2151"/>
      <c r="O76" s="2151"/>
      <c r="P76" s="2199"/>
      <c r="Q76" s="2153"/>
      <c r="R76" s="2154"/>
      <c r="S76" s="2154"/>
      <c r="T76" s="2154"/>
      <c r="U76" s="2154"/>
      <c r="V76" s="2154"/>
      <c r="W76" s="2154"/>
      <c r="X76" s="2154"/>
      <c r="Y76" s="2154"/>
      <c r="Z76" s="2154"/>
      <c r="AA76" s="2154"/>
      <c r="AB76" s="2154"/>
      <c r="AC76" s="2154"/>
    </row>
    <row r="77" spans="1:29">
      <c r="A77" s="663" t="s">
        <v>539</v>
      </c>
      <c r="B77" s="664" t="s">
        <v>585</v>
      </c>
      <c r="C77" s="702" t="s">
        <v>579</v>
      </c>
      <c r="D77" s="702" t="s">
        <v>580</v>
      </c>
      <c r="E77" s="702" t="s">
        <v>581</v>
      </c>
      <c r="F77" s="702" t="s">
        <v>582</v>
      </c>
      <c r="G77" s="702" t="s">
        <v>583</v>
      </c>
      <c r="H77" s="703"/>
      <c r="I77" s="703"/>
      <c r="J77" s="703"/>
      <c r="K77" s="704"/>
      <c r="L77" s="705"/>
      <c r="M77" s="706"/>
      <c r="N77" s="2148"/>
      <c r="O77" s="2148"/>
      <c r="P77" s="2202"/>
      <c r="Q77" s="2142"/>
      <c r="R77" s="2129"/>
      <c r="S77" s="2129"/>
      <c r="T77" s="2129"/>
      <c r="U77" s="2129"/>
      <c r="V77" s="2129"/>
      <c r="W77" s="2129"/>
      <c r="X77" s="2129"/>
      <c r="Y77" s="2129"/>
      <c r="Z77" s="2129"/>
      <c r="AA77" s="2129"/>
      <c r="AB77" s="2129"/>
      <c r="AC77" s="2129"/>
    </row>
    <row r="78" spans="1:29" ht="15.75" thickBot="1">
      <c r="A78" s="668"/>
      <c r="B78" s="677"/>
      <c r="C78" s="678">
        <v>100</v>
      </c>
      <c r="D78" s="678">
        <f>C78-$K15</f>
        <v>98</v>
      </c>
      <c r="E78" s="678">
        <f>D78-$K15</f>
        <v>96</v>
      </c>
      <c r="F78" s="678">
        <f>E78-$K15</f>
        <v>94</v>
      </c>
      <c r="G78" s="678">
        <f>F78-$K15</f>
        <v>92</v>
      </c>
      <c r="H78" s="678"/>
      <c r="I78" s="678"/>
      <c r="J78" s="678"/>
      <c r="K78" s="678"/>
      <c r="L78" s="678"/>
      <c r="M78" s="679"/>
      <c r="N78" s="2150"/>
      <c r="O78" s="2150"/>
      <c r="P78" s="2198"/>
      <c r="Q78" s="2142"/>
      <c r="R78" s="2129"/>
      <c r="S78" s="2129"/>
      <c r="T78" s="2129"/>
      <c r="U78" s="2129"/>
      <c r="V78" s="2129"/>
      <c r="W78" s="2129"/>
      <c r="X78" s="2129"/>
      <c r="Y78" s="2129"/>
      <c r="Z78" s="2129"/>
      <c r="AA78" s="2129"/>
      <c r="AB78" s="2129"/>
      <c r="AC78" s="2129"/>
    </row>
    <row r="79" spans="1:29" ht="15.75" thickTop="1">
      <c r="A79" s="668"/>
      <c r="B79" s="672" t="s">
        <v>586</v>
      </c>
      <c r="C79" s="707" t="s">
        <v>579</v>
      </c>
      <c r="D79" s="707" t="s">
        <v>580</v>
      </c>
      <c r="E79" s="707" t="s">
        <v>581</v>
      </c>
      <c r="F79" s="707" t="s">
        <v>582</v>
      </c>
      <c r="G79" s="707" t="s">
        <v>583</v>
      </c>
      <c r="H79" s="673"/>
      <c r="I79" s="673"/>
      <c r="J79" s="673"/>
      <c r="K79" s="674"/>
      <c r="L79" s="675"/>
      <c r="M79" s="676"/>
      <c r="N79" s="2148"/>
      <c r="O79" s="2148"/>
      <c r="P79" s="2198"/>
      <c r="Q79" s="2142"/>
      <c r="R79" s="2129"/>
      <c r="S79" s="2129"/>
      <c r="T79" s="2129"/>
      <c r="U79" s="2129"/>
      <c r="V79" s="2129"/>
      <c r="W79" s="2129"/>
      <c r="X79" s="2129"/>
      <c r="Y79" s="2129"/>
      <c r="Z79" s="2129"/>
      <c r="AA79" s="2129"/>
      <c r="AB79" s="2129"/>
      <c r="AC79" s="2129"/>
    </row>
    <row r="80" spans="1:29" ht="15.75" thickBot="1">
      <c r="A80" s="668"/>
      <c r="B80" s="677"/>
      <c r="C80" s="678">
        <v>100</v>
      </c>
      <c r="D80" s="678">
        <f>C80-$K17</f>
        <v>99</v>
      </c>
      <c r="E80" s="678">
        <f>D80-$K17</f>
        <v>98</v>
      </c>
      <c r="F80" s="678">
        <f>E80-$K17</f>
        <v>97</v>
      </c>
      <c r="G80" s="678">
        <f>F80-$K17</f>
        <v>96</v>
      </c>
      <c r="H80" s="678"/>
      <c r="I80" s="678"/>
      <c r="J80" s="678"/>
      <c r="K80" s="678"/>
      <c r="L80" s="678"/>
      <c r="M80" s="679"/>
      <c r="N80" s="2150"/>
      <c r="O80" s="2150"/>
      <c r="P80" s="2198"/>
      <c r="Q80" s="2142"/>
      <c r="R80" s="2129"/>
      <c r="S80" s="2129"/>
      <c r="T80" s="2129"/>
      <c r="U80" s="2129"/>
      <c r="V80" s="2129"/>
      <c r="W80" s="2129"/>
      <c r="X80" s="2129"/>
      <c r="Y80" s="2129"/>
      <c r="Z80" s="2129"/>
      <c r="AA80" s="2129"/>
      <c r="AB80" s="2129"/>
      <c r="AC80" s="2129"/>
    </row>
    <row r="81" spans="1:29" ht="15.75" thickTop="1">
      <c r="A81" s="668"/>
      <c r="B81" s="1880" t="s">
        <v>2554</v>
      </c>
      <c r="C81" s="707" t="s">
        <v>579</v>
      </c>
      <c r="D81" s="707" t="s">
        <v>580</v>
      </c>
      <c r="E81" s="707" t="s">
        <v>581</v>
      </c>
      <c r="F81" s="707" t="s">
        <v>582</v>
      </c>
      <c r="G81" s="707" t="s">
        <v>583</v>
      </c>
      <c r="H81" s="673"/>
      <c r="I81" s="673"/>
      <c r="J81" s="673"/>
      <c r="K81" s="674"/>
      <c r="L81" s="675"/>
      <c r="M81" s="676"/>
      <c r="N81" s="2148"/>
      <c r="O81" s="2148"/>
      <c r="P81" s="2198"/>
      <c r="Q81" s="2142"/>
      <c r="R81" s="2129"/>
      <c r="S81" s="2129"/>
      <c r="T81" s="2129"/>
      <c r="U81" s="2129"/>
      <c r="V81" s="2129"/>
      <c r="W81" s="2129"/>
      <c r="X81" s="2129"/>
      <c r="Y81" s="2129"/>
      <c r="Z81" s="2129"/>
      <c r="AA81" s="2129"/>
      <c r="AB81" s="2129"/>
      <c r="AC81" s="2129"/>
    </row>
    <row r="82" spans="1:29" ht="15.75" thickBot="1">
      <c r="A82" s="668"/>
      <c r="B82" s="677"/>
      <c r="C82" s="678">
        <v>100</v>
      </c>
      <c r="D82" s="678">
        <f>C82-$K19</f>
        <v>99</v>
      </c>
      <c r="E82" s="678">
        <f>D82-$K19</f>
        <v>98</v>
      </c>
      <c r="F82" s="678">
        <f>E82-$K19</f>
        <v>97</v>
      </c>
      <c r="G82" s="678">
        <f>F82-$K19</f>
        <v>96</v>
      </c>
      <c r="H82" s="678"/>
      <c r="I82" s="678"/>
      <c r="J82" s="678"/>
      <c r="K82" s="678"/>
      <c r="L82" s="678"/>
      <c r="M82" s="679"/>
      <c r="N82" s="2150"/>
      <c r="O82" s="2150"/>
      <c r="P82" s="2198"/>
      <c r="Q82" s="2142"/>
      <c r="R82" s="2129"/>
      <c r="S82" s="2129"/>
      <c r="T82" s="2129"/>
      <c r="U82" s="2129"/>
      <c r="V82" s="2129"/>
      <c r="W82" s="2129"/>
      <c r="X82" s="2129"/>
      <c r="Y82" s="2129"/>
      <c r="Z82" s="2129"/>
      <c r="AA82" s="2129"/>
      <c r="AB82" s="2129"/>
      <c r="AC82" s="2129"/>
    </row>
    <row r="83" spans="1:29" ht="15.75" thickTop="1">
      <c r="A83" s="668"/>
      <c r="B83" s="2560" t="s">
        <v>2555</v>
      </c>
      <c r="C83" s="2561" t="s">
        <v>2556</v>
      </c>
      <c r="D83" s="2561" t="s">
        <v>2557</v>
      </c>
      <c r="E83" s="2561" t="s">
        <v>2558</v>
      </c>
      <c r="F83" s="2561" t="s">
        <v>2559</v>
      </c>
      <c r="G83" s="2561" t="s">
        <v>2560</v>
      </c>
      <c r="H83" s="673"/>
      <c r="I83" s="673"/>
      <c r="J83" s="673"/>
      <c r="K83" s="673"/>
      <c r="L83" s="673"/>
      <c r="M83" s="2564"/>
      <c r="N83" s="2150"/>
      <c r="O83" s="2150"/>
      <c r="P83" s="2198"/>
      <c r="Q83" s="2142"/>
      <c r="R83" s="2129"/>
      <c r="S83" s="2129"/>
      <c r="T83" s="2129"/>
      <c r="U83" s="2129"/>
      <c r="V83" s="2129"/>
      <c r="W83" s="2129"/>
      <c r="X83" s="2129"/>
      <c r="Y83" s="2129"/>
      <c r="Z83" s="2129"/>
      <c r="AA83" s="2129"/>
      <c r="AB83" s="2129"/>
      <c r="AC83" s="2129"/>
    </row>
    <row r="84" spans="1:29" ht="15.75" thickBot="1">
      <c r="A84" s="668"/>
      <c r="B84" s="680"/>
      <c r="C84" s="678">
        <v>100</v>
      </c>
      <c r="D84" s="678">
        <f>C84-$K21</f>
        <v>99</v>
      </c>
      <c r="E84" s="678">
        <f>D84-$K21</f>
        <v>98</v>
      </c>
      <c r="F84" s="678">
        <f>E84-$K21</f>
        <v>97</v>
      </c>
      <c r="G84" s="678">
        <f>F84-$K21</f>
        <v>96</v>
      </c>
      <c r="H84" s="934"/>
      <c r="I84" s="934"/>
      <c r="J84" s="934"/>
      <c r="K84" s="934"/>
      <c r="L84" s="934"/>
      <c r="M84" s="558"/>
      <c r="N84" s="2150"/>
      <c r="O84" s="2150"/>
      <c r="P84" s="2198"/>
      <c r="Q84" s="2142"/>
      <c r="R84" s="2129"/>
      <c r="S84" s="2129"/>
      <c r="T84" s="2129"/>
      <c r="U84" s="2129"/>
      <c r="V84" s="2129"/>
      <c r="W84" s="2129"/>
      <c r="X84" s="2129"/>
      <c r="Y84" s="2129"/>
      <c r="Z84" s="2129"/>
      <c r="AA84" s="2129"/>
      <c r="AB84" s="2129"/>
      <c r="AC84" s="2129"/>
    </row>
    <row r="85" spans="1:29" ht="15.75" thickTop="1">
      <c r="A85" s="668"/>
      <c r="B85" s="672" t="s">
        <v>784</v>
      </c>
      <c r="C85" s="707" t="s">
        <v>579</v>
      </c>
      <c r="D85" s="707" t="s">
        <v>580</v>
      </c>
      <c r="E85" s="707" t="s">
        <v>581</v>
      </c>
      <c r="F85" s="707" t="s">
        <v>582</v>
      </c>
      <c r="G85" s="707" t="s">
        <v>583</v>
      </c>
      <c r="H85" s="673"/>
      <c r="I85" s="673"/>
      <c r="J85" s="673"/>
      <c r="K85" s="674"/>
      <c r="L85" s="675"/>
      <c r="M85" s="676"/>
      <c r="N85" s="2148"/>
      <c r="O85" s="2148"/>
      <c r="P85" s="2198"/>
      <c r="Q85" s="2142"/>
      <c r="R85" s="2129"/>
      <c r="S85" s="2129"/>
      <c r="T85" s="2129"/>
      <c r="U85" s="2129"/>
      <c r="V85" s="2129"/>
      <c r="W85" s="2129"/>
      <c r="X85" s="2129"/>
      <c r="Y85" s="2129"/>
      <c r="Z85" s="2129"/>
      <c r="AA85" s="2129"/>
      <c r="AB85" s="2129"/>
      <c r="AC85" s="2129"/>
    </row>
    <row r="86" spans="1:29" ht="15.75" thickBot="1">
      <c r="A86" s="668"/>
      <c r="B86" s="677"/>
      <c r="C86" s="678">
        <v>100</v>
      </c>
      <c r="D86" s="678">
        <f>C86-$K23</f>
        <v>99</v>
      </c>
      <c r="E86" s="678">
        <f>D86-$K23</f>
        <v>98</v>
      </c>
      <c r="F86" s="678">
        <f>E86-$K23</f>
        <v>97</v>
      </c>
      <c r="G86" s="678">
        <f>F86-$K23</f>
        <v>96</v>
      </c>
      <c r="H86" s="678"/>
      <c r="I86" s="678"/>
      <c r="J86" s="678"/>
      <c r="K86" s="678"/>
      <c r="L86" s="678"/>
      <c r="M86" s="679"/>
      <c r="N86" s="2150"/>
      <c r="O86" s="2150"/>
      <c r="P86" s="2198"/>
      <c r="Q86" s="2142"/>
      <c r="R86" s="2129"/>
      <c r="S86" s="2129"/>
      <c r="T86" s="2129"/>
      <c r="U86" s="2129"/>
      <c r="V86" s="2129"/>
      <c r="W86" s="2129"/>
      <c r="X86" s="2129"/>
      <c r="Y86" s="2129"/>
      <c r="Z86" s="2129"/>
      <c r="AA86" s="2129"/>
      <c r="AB86" s="2129"/>
      <c r="AC86" s="2129"/>
    </row>
    <row r="87" spans="1:29" s="1215" customFormat="1" ht="27.75" thickTop="1">
      <c r="A87" s="708"/>
      <c r="B87" s="672" t="s">
        <v>785</v>
      </c>
      <c r="C87" s="3191" t="s">
        <v>3027</v>
      </c>
      <c r="D87" s="3191" t="s">
        <v>3028</v>
      </c>
      <c r="E87" s="3191" t="s">
        <v>3029</v>
      </c>
      <c r="F87" s="3191" t="s">
        <v>3030</v>
      </c>
      <c r="G87" s="687"/>
      <c r="H87" s="687"/>
      <c r="I87" s="687"/>
      <c r="J87" s="687"/>
      <c r="K87" s="687"/>
      <c r="L87" s="889"/>
      <c r="M87" s="890"/>
      <c r="N87" s="2146"/>
      <c r="O87" s="2146"/>
      <c r="P87" s="2198"/>
      <c r="Q87" s="2142"/>
      <c r="R87" s="1977"/>
      <c r="S87" s="1977"/>
      <c r="T87" s="1977"/>
      <c r="U87" s="1977"/>
      <c r="V87" s="1977"/>
      <c r="W87" s="1977"/>
      <c r="X87" s="1977"/>
      <c r="Y87" s="1977"/>
      <c r="Z87" s="1977"/>
      <c r="AA87" s="1977"/>
      <c r="AB87" s="1977"/>
      <c r="AC87" s="1977"/>
    </row>
    <row r="88" spans="1:29" s="1215" customFormat="1" ht="15.75" thickBot="1">
      <c r="A88" s="708"/>
      <c r="B88" s="677"/>
      <c r="C88" s="711">
        <v>100</v>
      </c>
      <c r="D88" s="678">
        <f t="shared" ref="D88:M88" si="19">C88-$K25</f>
        <v>97</v>
      </c>
      <c r="E88" s="678">
        <f t="shared" si="19"/>
        <v>94</v>
      </c>
      <c r="F88" s="678">
        <f t="shared" si="19"/>
        <v>91</v>
      </c>
      <c r="G88" s="678">
        <f t="shared" si="19"/>
        <v>88</v>
      </c>
      <c r="H88" s="678">
        <f t="shared" si="19"/>
        <v>85</v>
      </c>
      <c r="I88" s="678">
        <f t="shared" si="19"/>
        <v>82</v>
      </c>
      <c r="J88" s="678">
        <f t="shared" si="19"/>
        <v>79</v>
      </c>
      <c r="K88" s="678">
        <f t="shared" si="19"/>
        <v>76</v>
      </c>
      <c r="L88" s="678">
        <f t="shared" si="19"/>
        <v>73</v>
      </c>
      <c r="M88" s="678">
        <f t="shared" si="19"/>
        <v>70</v>
      </c>
      <c r="N88" s="2150"/>
      <c r="O88" s="2150"/>
      <c r="P88" s="2198"/>
      <c r="Q88" s="2142"/>
      <c r="R88" s="1977"/>
      <c r="S88" s="1977"/>
      <c r="T88" s="1977"/>
      <c r="U88" s="1977"/>
      <c r="V88" s="1977"/>
      <c r="W88" s="1977"/>
      <c r="X88" s="1977"/>
      <c r="Y88" s="1977"/>
      <c r="Z88" s="1977"/>
      <c r="AA88" s="1977"/>
      <c r="AB88" s="1977"/>
      <c r="AC88" s="1977"/>
    </row>
    <row r="89" spans="1:29" s="1215" customFormat="1" ht="15.75" thickTop="1">
      <c r="A89" s="708"/>
      <c r="B89" s="672" t="str">
        <f>B27</f>
        <v>楼层</v>
      </c>
      <c r="C89" s="687"/>
      <c r="D89" s="687"/>
      <c r="E89" s="687"/>
      <c r="F89" s="891"/>
      <c r="G89" s="687"/>
      <c r="H89" s="687"/>
      <c r="I89" s="687"/>
      <c r="J89" s="687"/>
      <c r="K89" s="687"/>
      <c r="L89" s="687"/>
      <c r="M89" s="890"/>
      <c r="N89" s="2146"/>
      <c r="O89" s="2146"/>
      <c r="P89" s="2198"/>
      <c r="Q89" s="2142"/>
      <c r="R89" s="1977"/>
      <c r="S89" s="1977"/>
      <c r="T89" s="1977"/>
      <c r="U89" s="1977"/>
      <c r="V89" s="1977"/>
      <c r="W89" s="1977"/>
      <c r="X89" s="1977"/>
      <c r="Y89" s="1977"/>
      <c r="Z89" s="1977"/>
      <c r="AA89" s="1977"/>
      <c r="AB89" s="1977"/>
      <c r="AC89" s="1977"/>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0"/>
      <c r="O90" s="2150"/>
      <c r="P90" s="2198"/>
      <c r="Q90" s="2142"/>
      <c r="R90" s="1977"/>
      <c r="S90" s="1977"/>
      <c r="T90" s="1977"/>
      <c r="U90" s="1977"/>
      <c r="V90" s="1977"/>
      <c r="W90" s="1977"/>
      <c r="X90" s="1977"/>
      <c r="Y90" s="1977"/>
      <c r="Z90" s="1977"/>
      <c r="AA90" s="1977"/>
      <c r="AB90" s="1977"/>
      <c r="AC90" s="1977"/>
    </row>
    <row r="91" spans="1:29" s="1334" customFormat="1" ht="15.75" thickTop="1">
      <c r="A91" s="686"/>
      <c r="B91" s="672" t="str">
        <f>B28</f>
        <v>朝向</v>
      </c>
      <c r="C91" s="687"/>
      <c r="D91" s="687"/>
      <c r="E91" s="687"/>
      <c r="F91" s="687"/>
      <c r="G91" s="687"/>
      <c r="H91" s="688"/>
      <c r="I91" s="688"/>
      <c r="J91" s="688"/>
      <c r="K91" s="688"/>
      <c r="L91" s="689"/>
      <c r="M91" s="690"/>
      <c r="N91" s="2151"/>
      <c r="O91" s="2151"/>
      <c r="P91" s="2199"/>
      <c r="Q91" s="2153"/>
      <c r="R91" s="2154"/>
      <c r="S91" s="2154"/>
      <c r="T91" s="2154"/>
      <c r="U91" s="2154"/>
      <c r="V91" s="2154"/>
      <c r="W91" s="2154"/>
      <c r="X91" s="2154"/>
      <c r="Y91" s="2154"/>
      <c r="Z91" s="2154"/>
      <c r="AA91" s="2154"/>
      <c r="AB91" s="2154"/>
      <c r="AC91" s="2154"/>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8"/>
      <c r="B93" s="672">
        <f>B29</f>
        <v>111</v>
      </c>
      <c r="C93" s="687"/>
      <c r="D93" s="687"/>
      <c r="E93" s="687"/>
      <c r="F93" s="687"/>
      <c r="G93" s="687"/>
      <c r="H93" s="687"/>
      <c r="I93" s="687"/>
      <c r="J93" s="687"/>
      <c r="K93" s="687"/>
      <c r="L93" s="889"/>
      <c r="M93" s="890"/>
      <c r="N93" s="2148"/>
      <c r="O93" s="2148"/>
      <c r="P93" s="2198"/>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70"/>
      <c r="H94" s="670"/>
      <c r="I94" s="670"/>
      <c r="J94" s="670"/>
      <c r="K94" s="670"/>
      <c r="L94" s="670"/>
      <c r="M94" s="671"/>
      <c r="N94" s="2150"/>
      <c r="O94" s="2150"/>
      <c r="P94" s="2198"/>
      <c r="Q94" s="2142"/>
      <c r="R94" s="2129"/>
      <c r="S94" s="2129"/>
      <c r="T94" s="2129"/>
      <c r="U94" s="2129"/>
      <c r="V94" s="2129"/>
      <c r="W94" s="2129"/>
      <c r="X94" s="2129"/>
      <c r="Y94" s="2129"/>
      <c r="Z94" s="2129"/>
      <c r="AA94" s="2129"/>
      <c r="AB94" s="2129"/>
      <c r="AC94" s="2129"/>
    </row>
    <row r="95" spans="1:29" ht="15.75" thickTop="1">
      <c r="A95" s="668"/>
      <c r="B95" s="672">
        <f>B30</f>
        <v>111</v>
      </c>
      <c r="C95" s="687"/>
      <c r="D95" s="687"/>
      <c r="E95" s="687"/>
      <c r="F95" s="687"/>
      <c r="G95" s="717"/>
      <c r="H95" s="717"/>
      <c r="I95" s="717"/>
      <c r="J95" s="717"/>
      <c r="K95" s="718"/>
      <c r="L95" s="719"/>
      <c r="M95" s="720"/>
      <c r="N95" s="2148"/>
      <c r="O95" s="2148"/>
      <c r="P95" s="2198"/>
      <c r="Q95" s="2142"/>
      <c r="R95" s="2129"/>
      <c r="S95" s="2129"/>
      <c r="T95" s="2129"/>
      <c r="U95" s="2129"/>
      <c r="V95" s="2129"/>
      <c r="W95" s="2129"/>
      <c r="X95" s="2129"/>
      <c r="Y95" s="2129"/>
      <c r="Z95" s="2129"/>
      <c r="AA95" s="2129"/>
      <c r="AB95" s="2129"/>
      <c r="AC95" s="2129"/>
    </row>
    <row r="96" spans="1:29" ht="15.75" thickBot="1">
      <c r="A96" s="668"/>
      <c r="B96" s="677"/>
      <c r="C96" s="691"/>
      <c r="D96" s="691"/>
      <c r="E96" s="691"/>
      <c r="F96" s="691"/>
      <c r="G96" s="670"/>
      <c r="H96" s="670"/>
      <c r="I96" s="670"/>
      <c r="J96" s="670"/>
      <c r="K96" s="670"/>
      <c r="L96" s="670"/>
      <c r="M96" s="671"/>
      <c r="N96" s="2150"/>
      <c r="O96" s="2150"/>
      <c r="P96" s="2198"/>
      <c r="Q96" s="2142"/>
      <c r="R96" s="2129"/>
      <c r="S96" s="2129"/>
      <c r="T96" s="2129"/>
      <c r="U96" s="2129"/>
      <c r="V96" s="2129"/>
      <c r="W96" s="2129"/>
      <c r="X96" s="2129"/>
      <c r="Y96" s="2129"/>
      <c r="Z96" s="2129"/>
      <c r="AA96" s="2129"/>
      <c r="AB96" s="2129"/>
      <c r="AC96" s="2129"/>
    </row>
    <row r="97" spans="1:29" ht="15.75" thickTop="1">
      <c r="A97" s="668"/>
      <c r="B97" s="672">
        <f>B31</f>
        <v>111</v>
      </c>
      <c r="C97" s="687"/>
      <c r="D97" s="687"/>
      <c r="E97" s="687"/>
      <c r="F97" s="687"/>
      <c r="G97" s="717"/>
      <c r="H97" s="717"/>
      <c r="I97" s="717"/>
      <c r="J97" s="717"/>
      <c r="K97" s="718"/>
      <c r="L97" s="719"/>
      <c r="M97" s="720"/>
      <c r="N97" s="2148"/>
      <c r="O97" s="2148"/>
      <c r="P97" s="2198"/>
      <c r="Q97" s="2142"/>
      <c r="R97" s="2129"/>
      <c r="S97" s="2129"/>
      <c r="T97" s="2129"/>
      <c r="U97" s="2129"/>
      <c r="V97" s="2129"/>
      <c r="W97" s="2129"/>
      <c r="X97" s="2129"/>
      <c r="Y97" s="2129"/>
      <c r="Z97" s="2129"/>
      <c r="AA97" s="2129"/>
      <c r="AB97" s="2129"/>
      <c r="AC97" s="2129"/>
    </row>
    <row r="98" spans="1:29" ht="15.75" thickBot="1">
      <c r="A98" s="668"/>
      <c r="B98" s="677"/>
      <c r="C98" s="691"/>
      <c r="D98" s="670"/>
      <c r="E98" s="670"/>
      <c r="F98" s="670"/>
      <c r="G98" s="670"/>
      <c r="H98" s="670"/>
      <c r="I98" s="670"/>
      <c r="J98" s="670"/>
      <c r="K98" s="670"/>
      <c r="L98" s="670"/>
      <c r="M98" s="671"/>
      <c r="N98" s="2150"/>
      <c r="O98" s="2150"/>
      <c r="P98" s="2198"/>
      <c r="Q98" s="2142"/>
      <c r="R98" s="2129"/>
      <c r="S98" s="2129"/>
      <c r="T98" s="2129"/>
      <c r="U98" s="2129"/>
      <c r="V98" s="2129"/>
      <c r="W98" s="2129"/>
      <c r="X98" s="2129"/>
      <c r="Y98" s="2129"/>
      <c r="Z98" s="2129"/>
      <c r="AA98" s="2129"/>
      <c r="AB98" s="2129"/>
      <c r="AC98" s="2129"/>
    </row>
    <row r="99" spans="1:29" ht="15.75" thickTop="1">
      <c r="A99" s="668"/>
      <c r="B99" s="680">
        <f>B32</f>
        <v>111</v>
      </c>
      <c r="C99" s="660"/>
      <c r="D99" s="660"/>
      <c r="E99" s="660"/>
      <c r="F99" s="660"/>
      <c r="G99" s="721"/>
      <c r="H99" s="721"/>
      <c r="I99" s="721"/>
      <c r="J99" s="721"/>
      <c r="K99" s="722"/>
      <c r="L99" s="723"/>
      <c r="M99" s="724"/>
      <c r="N99" s="2148"/>
      <c r="O99" s="2148"/>
      <c r="P99" s="2198"/>
      <c r="Q99" s="2142"/>
      <c r="R99" s="2129"/>
      <c r="S99" s="2129"/>
      <c r="T99" s="2129"/>
      <c r="U99" s="2129"/>
      <c r="V99" s="2129"/>
      <c r="W99" s="2129"/>
      <c r="X99" s="2129"/>
      <c r="Y99" s="2129"/>
      <c r="Z99" s="2129"/>
      <c r="AA99" s="2129"/>
      <c r="AB99" s="2129"/>
      <c r="AC99" s="2129"/>
    </row>
    <row r="100" spans="1:29" ht="15.75" thickBot="1">
      <c r="A100" s="892"/>
      <c r="B100" s="698"/>
      <c r="C100" s="699"/>
      <c r="D100" s="699"/>
      <c r="E100" s="699"/>
      <c r="F100" s="699"/>
      <c r="G100" s="725"/>
      <c r="H100" s="725"/>
      <c r="I100" s="725"/>
      <c r="J100" s="725"/>
      <c r="K100" s="725"/>
      <c r="L100" s="725"/>
      <c r="M100" s="726"/>
      <c r="N100" s="2150"/>
      <c r="O100" s="2150"/>
      <c r="P100" s="2198"/>
      <c r="Q100" s="2142"/>
      <c r="R100" s="2129"/>
      <c r="S100" s="2129"/>
      <c r="T100" s="2129"/>
      <c r="U100" s="2129"/>
      <c r="V100" s="2129"/>
      <c r="W100" s="2129"/>
      <c r="X100" s="2129"/>
      <c r="Y100" s="2129"/>
      <c r="Z100" s="2129"/>
      <c r="AA100" s="2129"/>
      <c r="AB100" s="2129"/>
      <c r="AC100" s="2129"/>
    </row>
    <row r="101" spans="1:29">
      <c r="A101" s="663" t="s">
        <v>551</v>
      </c>
      <c r="B101" s="664" t="s">
        <v>747</v>
      </c>
      <c r="C101" s="597"/>
      <c r="D101" s="597"/>
      <c r="E101" s="597"/>
      <c r="F101" s="597"/>
      <c r="G101" s="597"/>
      <c r="H101" s="597"/>
      <c r="I101" s="597"/>
      <c r="J101" s="597"/>
      <c r="K101" s="665"/>
      <c r="L101" s="666"/>
      <c r="M101" s="667"/>
      <c r="N101" s="2148"/>
      <c r="O101" s="2148"/>
      <c r="P101" s="2198"/>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0"/>
      <c r="O102" s="2150"/>
      <c r="P102" s="2198"/>
      <c r="Q102" s="2142"/>
      <c r="R102" s="2129"/>
      <c r="S102" s="2129"/>
      <c r="T102" s="2129"/>
      <c r="U102" s="2129"/>
      <c r="V102" s="2129"/>
      <c r="W102" s="2129"/>
      <c r="X102" s="2129"/>
      <c r="Y102" s="2129"/>
      <c r="Z102" s="2129"/>
      <c r="AA102" s="2129"/>
      <c r="AB102" s="2129"/>
      <c r="AC102" s="2129"/>
    </row>
    <row r="103" spans="1:29" ht="29.25" thickTop="1">
      <c r="A103" s="668"/>
      <c r="B103" s="672" t="s">
        <v>748</v>
      </c>
      <c r="C103" s="707" t="str">
        <f>C104&amp;"(含)"&amp;"-"&amp;D104</f>
        <v>0(含)-500</v>
      </c>
      <c r="D103" s="707" t="str">
        <f t="shared" ref="D103:L103" si="23">D104&amp;"(含)"&amp;"-"&amp;E104</f>
        <v>500(含)-1000</v>
      </c>
      <c r="E103" s="707" t="str">
        <f t="shared" si="23"/>
        <v>1000(含)-1500</v>
      </c>
      <c r="F103" s="707" t="str">
        <f t="shared" si="23"/>
        <v>1500(含)-2000</v>
      </c>
      <c r="G103" s="707" t="str">
        <f t="shared" si="23"/>
        <v>2000(含)-</v>
      </c>
      <c r="H103" s="707" t="str">
        <f t="shared" si="23"/>
        <v>(含)-</v>
      </c>
      <c r="I103" s="707" t="str">
        <f t="shared" si="23"/>
        <v>(含)-</v>
      </c>
      <c r="J103" s="707" t="str">
        <f t="shared" si="23"/>
        <v>(含)-</v>
      </c>
      <c r="K103" s="707" t="str">
        <f t="shared" si="23"/>
        <v>(含)-</v>
      </c>
      <c r="L103" s="707" t="str">
        <f t="shared" si="23"/>
        <v>(含)-</v>
      </c>
      <c r="M103" s="710"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7"/>
      <c r="B104" s="728"/>
      <c r="C104" s="3193">
        <v>0</v>
      </c>
      <c r="D104" s="3193">
        <v>500</v>
      </c>
      <c r="E104" s="3193">
        <v>1000</v>
      </c>
      <c r="F104" s="3193">
        <v>1500</v>
      </c>
      <c r="G104" s="3193">
        <v>2000</v>
      </c>
      <c r="H104" s="729"/>
      <c r="I104" s="729"/>
      <c r="J104" s="730"/>
      <c r="K104" s="730"/>
      <c r="L104" s="731"/>
      <c r="M104" s="732"/>
      <c r="N104" s="2151"/>
      <c r="O104" s="2151"/>
      <c r="P104" s="2199"/>
      <c r="Q104" s="2153"/>
      <c r="R104" s="2154"/>
      <c r="S104" s="2154"/>
      <c r="T104" s="2154"/>
      <c r="U104" s="2154"/>
      <c r="V104" s="2154"/>
      <c r="W104" s="2154"/>
      <c r="X104" s="2154"/>
      <c r="Y104" s="2154"/>
      <c r="Z104" s="2154"/>
      <c r="AA104" s="2154"/>
      <c r="AB104" s="2154"/>
      <c r="AC104" s="2154"/>
    </row>
    <row r="105" spans="1:29" s="1334" customFormat="1" ht="15.75" thickBot="1">
      <c r="A105" s="686"/>
      <c r="B105" s="677"/>
      <c r="C105" s="3194">
        <v>100</v>
      </c>
      <c r="D105" s="3195">
        <v>102</v>
      </c>
      <c r="E105" s="3195">
        <v>100</v>
      </c>
      <c r="F105" s="3195">
        <v>98</v>
      </c>
      <c r="G105" s="3195">
        <v>96</v>
      </c>
      <c r="H105" s="670"/>
      <c r="I105" s="670"/>
      <c r="J105" s="670"/>
      <c r="K105" s="670"/>
      <c r="L105" s="670"/>
      <c r="M105" s="671"/>
      <c r="N105" s="2150"/>
      <c r="O105" s="2150"/>
      <c r="P105" s="2199"/>
      <c r="Q105" s="2153"/>
      <c r="R105" s="2154"/>
      <c r="S105" s="2154"/>
      <c r="T105" s="2154"/>
      <c r="U105" s="2154"/>
      <c r="V105" s="2154"/>
      <c r="W105" s="2154"/>
      <c r="X105" s="2154"/>
      <c r="Y105" s="2154"/>
      <c r="Z105" s="2154"/>
      <c r="AA105" s="2154"/>
      <c r="AB105" s="2154"/>
      <c r="AC105" s="2154"/>
    </row>
    <row r="106" spans="1:29" ht="15" thickTop="1">
      <c r="A106" s="734"/>
      <c r="B106" s="672" t="s">
        <v>749</v>
      </c>
      <c r="C106" s="3191" t="s">
        <v>3031</v>
      </c>
      <c r="D106" s="687"/>
      <c r="E106" s="717"/>
      <c r="F106" s="717"/>
      <c r="G106" s="717"/>
      <c r="H106" s="717"/>
      <c r="I106" s="717"/>
      <c r="J106" s="717"/>
      <c r="K106" s="718"/>
      <c r="L106" s="719"/>
      <c r="M106" s="720"/>
      <c r="N106" s="2148"/>
      <c r="O106" s="2148"/>
      <c r="P106" s="2198"/>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4"/>
      <c r="B108" s="672" t="s">
        <v>751</v>
      </c>
      <c r="C108" s="3191" t="s">
        <v>3032</v>
      </c>
      <c r="D108" s="3191" t="s">
        <v>3033</v>
      </c>
      <c r="E108" s="3191" t="s">
        <v>3034</v>
      </c>
      <c r="F108" s="3196" t="s">
        <v>3035</v>
      </c>
      <c r="G108" s="717"/>
      <c r="H108" s="717"/>
      <c r="I108" s="717"/>
      <c r="J108" s="717"/>
      <c r="K108" s="718"/>
      <c r="L108" s="719"/>
      <c r="M108" s="720"/>
      <c r="N108" s="2148"/>
      <c r="O108" s="2148"/>
      <c r="P108" s="2198"/>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 t="shared" ref="D109:M109" si="25">C109-$K36</f>
        <v>99</v>
      </c>
      <c r="E109" s="678">
        <f t="shared" si="25"/>
        <v>98</v>
      </c>
      <c r="F109" s="678">
        <f t="shared" si="25"/>
        <v>97</v>
      </c>
      <c r="G109" s="678">
        <f t="shared" si="25"/>
        <v>96</v>
      </c>
      <c r="H109" s="678">
        <f t="shared" si="25"/>
        <v>95</v>
      </c>
      <c r="I109" s="678">
        <f t="shared" si="25"/>
        <v>94</v>
      </c>
      <c r="J109" s="678">
        <f t="shared" si="25"/>
        <v>93</v>
      </c>
      <c r="K109" s="678">
        <f t="shared" si="25"/>
        <v>92</v>
      </c>
      <c r="L109" s="678">
        <f t="shared" si="25"/>
        <v>91</v>
      </c>
      <c r="M109" s="679">
        <f t="shared" si="25"/>
        <v>90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8"/>
      <c r="O110" s="2148"/>
      <c r="P110" s="2198"/>
      <c r="Q110" s="2142"/>
      <c r="R110" s="2129"/>
      <c r="S110" s="2129"/>
      <c r="T110" s="2129"/>
      <c r="U110" s="2129"/>
      <c r="V110" s="2129"/>
      <c r="W110" s="2129"/>
      <c r="X110" s="2129"/>
      <c r="Y110" s="2129"/>
      <c r="Z110" s="2129"/>
      <c r="AA110" s="2129"/>
      <c r="AB110" s="2129"/>
      <c r="AC110" s="2129"/>
    </row>
    <row r="111" spans="1:29">
      <c r="A111" s="734"/>
      <c r="B111" s="680"/>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7"/>
      <c r="B113" s="672" t="s">
        <v>786</v>
      </c>
      <c r="C113" s="3191" t="s">
        <v>3036</v>
      </c>
      <c r="D113" s="3191" t="s">
        <v>3037</v>
      </c>
      <c r="E113" s="687"/>
      <c r="F113" s="687"/>
      <c r="G113" s="687"/>
      <c r="H113" s="717"/>
      <c r="I113" s="717"/>
      <c r="J113" s="717"/>
      <c r="K113" s="718"/>
      <c r="L113" s="719"/>
      <c r="M113" s="720"/>
      <c r="N113" s="2151"/>
      <c r="O113" s="2151"/>
      <c r="P113" s="2199"/>
      <c r="Q113" s="2153"/>
      <c r="R113" s="2154"/>
      <c r="S113" s="2154"/>
      <c r="T113" s="2154"/>
      <c r="U113" s="2154"/>
      <c r="V113" s="2154"/>
      <c r="W113" s="2154"/>
      <c r="X113" s="2154"/>
      <c r="Y113" s="2154"/>
      <c r="Z113" s="2154"/>
      <c r="AA113" s="2154"/>
      <c r="AB113" s="2154"/>
      <c r="AC113" s="2154"/>
    </row>
    <row r="114" spans="1:29" s="1334" customFormat="1" ht="15.75" thickBot="1">
      <c r="A114" s="686"/>
      <c r="B114" s="677"/>
      <c r="C114" s="678">
        <v>100</v>
      </c>
      <c r="D114" s="678">
        <f>C114-$K38</f>
        <v>98</v>
      </c>
      <c r="E114" s="678">
        <f t="shared" ref="E114:M114" si="27">D114-$K38</f>
        <v>96</v>
      </c>
      <c r="F114" s="678">
        <f t="shared" si="27"/>
        <v>94</v>
      </c>
      <c r="G114" s="678">
        <f t="shared" si="27"/>
        <v>92</v>
      </c>
      <c r="H114" s="678">
        <f t="shared" si="27"/>
        <v>90</v>
      </c>
      <c r="I114" s="678">
        <f t="shared" si="27"/>
        <v>88</v>
      </c>
      <c r="J114" s="678">
        <f t="shared" si="27"/>
        <v>86</v>
      </c>
      <c r="K114" s="678">
        <f t="shared" si="27"/>
        <v>84</v>
      </c>
      <c r="L114" s="678">
        <f t="shared" si="27"/>
        <v>82</v>
      </c>
      <c r="M114" s="678">
        <f t="shared" si="27"/>
        <v>80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4"/>
      <c r="B115" s="672" t="s">
        <v>753</v>
      </c>
      <c r="C115" s="3191" t="s">
        <v>3038</v>
      </c>
      <c r="D115" s="687"/>
      <c r="E115" s="717"/>
      <c r="F115" s="717"/>
      <c r="G115" s="717"/>
      <c r="H115" s="717"/>
      <c r="I115" s="717"/>
      <c r="J115" s="717"/>
      <c r="K115" s="718"/>
      <c r="L115" s="719"/>
      <c r="M115" s="720"/>
      <c r="N115" s="2148"/>
      <c r="O115" s="2148"/>
      <c r="P115" s="2198"/>
      <c r="Q115" s="2142"/>
      <c r="R115" s="2129"/>
      <c r="S115" s="2129"/>
      <c r="T115" s="2129"/>
      <c r="U115" s="2129"/>
      <c r="V115" s="2129"/>
      <c r="W115" s="2129"/>
      <c r="X115" s="2129"/>
      <c r="Y115" s="2129"/>
      <c r="Z115" s="2129"/>
      <c r="AA115" s="2129"/>
      <c r="AB115" s="2129"/>
      <c r="AC115" s="2129"/>
    </row>
    <row r="116" spans="1:29" ht="15.75" thickBot="1">
      <c r="A116" s="668"/>
      <c r="B116" s="677"/>
      <c r="C116" s="678">
        <v>100</v>
      </c>
      <c r="D116" s="678">
        <f t="shared" ref="D116:M116" si="28">C116-$K39</f>
        <v>98</v>
      </c>
      <c r="E116" s="678">
        <f t="shared" si="28"/>
        <v>96</v>
      </c>
      <c r="F116" s="678">
        <f t="shared" si="28"/>
        <v>94</v>
      </c>
      <c r="G116" s="678">
        <f t="shared" si="28"/>
        <v>92</v>
      </c>
      <c r="H116" s="678">
        <f t="shared" si="28"/>
        <v>90</v>
      </c>
      <c r="I116" s="678">
        <f t="shared" si="28"/>
        <v>88</v>
      </c>
      <c r="J116" s="678">
        <f t="shared" si="28"/>
        <v>86</v>
      </c>
      <c r="K116" s="678">
        <f t="shared" si="28"/>
        <v>84</v>
      </c>
      <c r="L116" s="678">
        <f t="shared" si="28"/>
        <v>82</v>
      </c>
      <c r="M116" s="679">
        <f t="shared" si="28"/>
        <v>80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4"/>
      <c r="B117" s="1880" t="s">
        <v>2553</v>
      </c>
      <c r="C117" s="687"/>
      <c r="D117" s="687"/>
      <c r="E117" s="687"/>
      <c r="F117" s="687"/>
      <c r="G117" s="687"/>
      <c r="H117" s="717"/>
      <c r="I117" s="717"/>
      <c r="J117" s="717"/>
      <c r="K117" s="718"/>
      <c r="L117" s="719"/>
      <c r="M117" s="720"/>
      <c r="N117" s="2148"/>
      <c r="O117" s="2148"/>
      <c r="P117" s="2198"/>
      <c r="Q117" s="2142"/>
      <c r="R117" s="2129"/>
      <c r="S117" s="2129"/>
      <c r="T117" s="2129"/>
      <c r="U117" s="2129"/>
      <c r="V117" s="2129"/>
      <c r="W117" s="2129"/>
      <c r="X117" s="2129"/>
      <c r="Y117" s="2129"/>
      <c r="Z117" s="2129"/>
      <c r="AA117" s="2129"/>
      <c r="AB117" s="2129"/>
      <c r="AC117" s="2129"/>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0"/>
      <c r="O118" s="2150"/>
      <c r="P118" s="2198"/>
      <c r="Q118" s="2142"/>
      <c r="R118" s="2129"/>
      <c r="S118" s="2129"/>
      <c r="T118" s="2129"/>
      <c r="U118" s="2129"/>
      <c r="V118" s="2129"/>
      <c r="W118" s="2129"/>
      <c r="X118" s="2129"/>
      <c r="Y118" s="2129"/>
      <c r="Z118" s="2129"/>
      <c r="AA118" s="2129"/>
      <c r="AB118" s="2129"/>
      <c r="AC118" s="2129"/>
    </row>
    <row r="119" spans="1:29" ht="15" thickTop="1">
      <c r="A119" s="734"/>
      <c r="B119" s="916" t="s">
        <v>787</v>
      </c>
      <c r="C119" s="717"/>
      <c r="D119" s="717"/>
      <c r="E119" s="717"/>
      <c r="F119" s="717"/>
      <c r="G119" s="717"/>
      <c r="H119" s="717"/>
      <c r="I119" s="717"/>
      <c r="J119" s="717"/>
      <c r="K119" s="717"/>
      <c r="L119" s="917"/>
      <c r="M119" s="918"/>
      <c r="N119" s="2150"/>
      <c r="O119" s="2150"/>
      <c r="P119" s="2203"/>
      <c r="Q119" s="2190"/>
      <c r="R119" s="2129"/>
      <c r="S119" s="2129"/>
      <c r="T119" s="2129"/>
      <c r="U119" s="2129"/>
      <c r="V119" s="2129"/>
      <c r="W119" s="2129"/>
      <c r="X119" s="2129"/>
      <c r="Y119" s="2129"/>
      <c r="Z119" s="2129"/>
      <c r="AA119" s="2129"/>
      <c r="AB119" s="2129"/>
      <c r="AC119" s="2129"/>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7"/>
      <c r="B121" s="672" t="s">
        <v>775</v>
      </c>
      <c r="C121" s="687"/>
      <c r="D121" s="687"/>
      <c r="E121" s="687"/>
      <c r="F121" s="717"/>
      <c r="G121" s="688"/>
      <c r="H121" s="688"/>
      <c r="I121" s="688"/>
      <c r="J121" s="688"/>
      <c r="K121" s="688"/>
      <c r="L121" s="689"/>
      <c r="M121" s="690"/>
      <c r="N121" s="2151"/>
      <c r="O121" s="2151"/>
      <c r="P121" s="2199"/>
      <c r="Q121" s="2153"/>
      <c r="R121" s="2154"/>
      <c r="S121" s="2154"/>
      <c r="T121" s="2154"/>
      <c r="U121" s="2154"/>
      <c r="V121" s="2154"/>
      <c r="W121" s="2154"/>
      <c r="X121" s="2154"/>
      <c r="Y121" s="2154"/>
      <c r="Z121" s="2154"/>
      <c r="AA121" s="2154"/>
      <c r="AB121" s="2154"/>
      <c r="AC121" s="2154"/>
    </row>
    <row r="122" spans="1:29" s="1334" customFormat="1" ht="15.75" thickBot="1">
      <c r="A122" s="686"/>
      <c r="B122" s="669"/>
      <c r="C122" s="691"/>
      <c r="D122" s="691"/>
      <c r="E122" s="691"/>
      <c r="F122" s="691"/>
      <c r="G122" s="691"/>
      <c r="H122" s="691"/>
      <c r="I122" s="691"/>
      <c r="J122" s="691"/>
      <c r="K122" s="691"/>
      <c r="L122" s="691"/>
      <c r="M122" s="691"/>
      <c r="N122" s="2151"/>
      <c r="O122" s="2151"/>
      <c r="P122" s="2199"/>
      <c r="Q122" s="2153"/>
      <c r="R122" s="2154"/>
      <c r="S122" s="2154"/>
      <c r="T122" s="2154"/>
      <c r="U122" s="2154"/>
      <c r="V122" s="2154"/>
      <c r="W122" s="2154"/>
      <c r="X122" s="2154"/>
      <c r="Y122" s="2154"/>
      <c r="Z122" s="2154"/>
      <c r="AA122" s="2154"/>
      <c r="AB122" s="2154"/>
      <c r="AC122" s="2154"/>
    </row>
    <row r="123" spans="1:29" ht="15" thickTop="1">
      <c r="A123" s="734"/>
      <c r="B123" s="672" t="s">
        <v>755</v>
      </c>
      <c r="C123" s="3191" t="s">
        <v>3032</v>
      </c>
      <c r="D123" s="3191" t="s">
        <v>3033</v>
      </c>
      <c r="E123" s="3191" t="s">
        <v>3034</v>
      </c>
      <c r="F123" s="3196" t="s">
        <v>3035</v>
      </c>
      <c r="G123" s="717"/>
      <c r="H123" s="717"/>
      <c r="I123" s="717"/>
      <c r="J123" s="717"/>
      <c r="K123" s="718"/>
      <c r="L123" s="719"/>
      <c r="M123" s="720"/>
      <c r="N123" s="2148"/>
      <c r="O123" s="2148"/>
      <c r="P123" s="2198"/>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30">C124-$K43</f>
        <v>99</v>
      </c>
      <c r="E124" s="678">
        <f t="shared" si="30"/>
        <v>98</v>
      </c>
      <c r="F124" s="678">
        <f t="shared" si="30"/>
        <v>97</v>
      </c>
      <c r="G124" s="678">
        <f t="shared" si="30"/>
        <v>96</v>
      </c>
      <c r="H124" s="678">
        <f t="shared" si="30"/>
        <v>95</v>
      </c>
      <c r="I124" s="678">
        <f t="shared" si="30"/>
        <v>94</v>
      </c>
      <c r="J124" s="678">
        <f t="shared" si="30"/>
        <v>93</v>
      </c>
      <c r="K124" s="678">
        <f t="shared" si="30"/>
        <v>92</v>
      </c>
      <c r="L124" s="678">
        <f t="shared" si="30"/>
        <v>91</v>
      </c>
      <c r="M124" s="679">
        <f t="shared" si="30"/>
        <v>90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8"/>
      <c r="O125" s="2148"/>
      <c r="P125" s="2199"/>
      <c r="Q125" s="2142"/>
      <c r="R125" s="2129"/>
      <c r="S125" s="2129"/>
      <c r="T125" s="2129"/>
      <c r="U125" s="2129"/>
      <c r="V125" s="2129"/>
      <c r="W125" s="2129"/>
      <c r="X125" s="2129"/>
      <c r="Y125" s="2129"/>
      <c r="Z125" s="2129"/>
      <c r="AA125" s="2129"/>
      <c r="AB125" s="2129"/>
      <c r="AC125" s="2129"/>
    </row>
    <row r="126" spans="1:29" ht="15.75" thickBot="1">
      <c r="A126" s="668"/>
      <c r="B126" s="677"/>
      <c r="C126" s="678">
        <v>100</v>
      </c>
      <c r="D126" s="678">
        <f>C126-$K44</f>
        <v>99</v>
      </c>
      <c r="E126" s="678">
        <f>D126-$K44</f>
        <v>98</v>
      </c>
      <c r="F126" s="678">
        <f>E126-$K44</f>
        <v>97</v>
      </c>
      <c r="G126" s="678">
        <f>F126-$K44</f>
        <v>96</v>
      </c>
      <c r="H126" s="678"/>
      <c r="I126" s="678"/>
      <c r="J126" s="678"/>
      <c r="K126" s="678"/>
      <c r="L126" s="678"/>
      <c r="M126" s="679"/>
      <c r="N126" s="2150"/>
      <c r="O126" s="2150"/>
      <c r="P126" s="2198"/>
      <c r="Q126" s="2142"/>
      <c r="R126" s="2129"/>
      <c r="S126" s="2129"/>
      <c r="T126" s="2129"/>
      <c r="U126" s="2129"/>
      <c r="V126" s="2129"/>
      <c r="W126" s="2129"/>
      <c r="X126" s="2129"/>
      <c r="Y126" s="2129"/>
      <c r="Z126" s="2129"/>
      <c r="AA126" s="2129"/>
      <c r="AB126" s="2129"/>
      <c r="AC126" s="2129"/>
    </row>
    <row r="127" spans="1:29" s="1334" customFormat="1" ht="15" thickTop="1">
      <c r="A127" s="727"/>
      <c r="B127" s="672">
        <f>B45</f>
        <v>111</v>
      </c>
      <c r="C127" s="3191" t="s">
        <v>1678</v>
      </c>
      <c r="D127" s="3191" t="s">
        <v>3039</v>
      </c>
      <c r="E127" s="687"/>
      <c r="F127" s="687"/>
      <c r="G127" s="687"/>
      <c r="H127" s="688"/>
      <c r="I127" s="688"/>
      <c r="J127" s="688"/>
      <c r="K127" s="688"/>
      <c r="L127" s="689"/>
      <c r="M127" s="690"/>
      <c r="N127" s="2151"/>
      <c r="O127" s="2151"/>
      <c r="P127" s="2199"/>
      <c r="Q127" s="2153"/>
      <c r="R127" s="2154"/>
      <c r="S127" s="2154"/>
      <c r="T127" s="2154"/>
      <c r="U127" s="2154"/>
      <c r="V127" s="2154"/>
      <c r="W127" s="2154"/>
      <c r="X127" s="2154"/>
      <c r="Y127" s="2154"/>
      <c r="Z127" s="2154"/>
      <c r="AA127" s="2154"/>
      <c r="AB127" s="2154"/>
      <c r="AC127" s="2154"/>
    </row>
    <row r="128" spans="1:29" s="1334" customFormat="1" ht="15.75" thickBot="1">
      <c r="A128" s="686"/>
      <c r="B128" s="677"/>
      <c r="C128" s="691">
        <v>100</v>
      </c>
      <c r="D128" s="670">
        <v>90</v>
      </c>
      <c r="E128" s="670"/>
      <c r="F128" s="670"/>
      <c r="G128" s="691"/>
      <c r="H128" s="692"/>
      <c r="I128" s="692"/>
      <c r="J128" s="692"/>
      <c r="K128" s="692"/>
      <c r="L128" s="692"/>
      <c r="M128" s="693"/>
      <c r="N128" s="2151"/>
      <c r="O128" s="2151"/>
      <c r="P128" s="2199"/>
      <c r="Q128" s="2153"/>
      <c r="R128" s="2154"/>
      <c r="S128" s="2154"/>
      <c r="T128" s="2154"/>
      <c r="U128" s="2154"/>
      <c r="V128" s="2154"/>
      <c r="W128" s="2154"/>
      <c r="X128" s="2154"/>
      <c r="Y128" s="2154"/>
      <c r="Z128" s="2154"/>
      <c r="AA128" s="2154"/>
      <c r="AB128" s="2154"/>
      <c r="AC128" s="2154"/>
    </row>
    <row r="129" spans="1:29" ht="15" thickTop="1">
      <c r="A129" s="734"/>
      <c r="B129" s="672">
        <f>B46</f>
        <v>111</v>
      </c>
      <c r="C129" s="687"/>
      <c r="D129" s="687"/>
      <c r="E129" s="687"/>
      <c r="F129" s="687"/>
      <c r="G129" s="717"/>
      <c r="H129" s="717"/>
      <c r="I129" s="717"/>
      <c r="J129" s="717"/>
      <c r="K129" s="718"/>
      <c r="L129" s="719"/>
      <c r="M129" s="720"/>
      <c r="N129" s="2148"/>
      <c r="O129" s="2148"/>
      <c r="P129" s="2198"/>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98"/>
      <c r="Q130" s="2142"/>
      <c r="R130" s="2129"/>
      <c r="S130" s="2129"/>
      <c r="T130" s="2129"/>
      <c r="U130" s="2129"/>
      <c r="V130" s="2129"/>
      <c r="W130" s="2129"/>
      <c r="X130" s="2129"/>
      <c r="Y130" s="2129"/>
      <c r="Z130" s="2129"/>
      <c r="AA130" s="2129"/>
      <c r="AB130" s="2129"/>
      <c r="AC130" s="2129"/>
    </row>
    <row r="131" spans="1:29" ht="15" thickTop="1">
      <c r="A131" s="734"/>
      <c r="B131" s="680">
        <f>B47</f>
        <v>111</v>
      </c>
      <c r="C131" s="660"/>
      <c r="D131" s="660"/>
      <c r="E131" s="660"/>
      <c r="F131" s="660"/>
      <c r="G131" s="721"/>
      <c r="H131" s="721"/>
      <c r="I131" s="721"/>
      <c r="J131" s="721"/>
      <c r="K131" s="660"/>
      <c r="L131" s="661"/>
      <c r="M131" s="724"/>
      <c r="N131" s="2148"/>
      <c r="O131" s="2148"/>
      <c r="P131" s="2198"/>
      <c r="Q131" s="2142"/>
      <c r="R131" s="2129"/>
      <c r="S131" s="2129"/>
      <c r="T131" s="2129"/>
      <c r="U131" s="2129"/>
      <c r="V131" s="2129"/>
      <c r="W131" s="2129"/>
      <c r="X131" s="2129"/>
      <c r="Y131" s="2129"/>
      <c r="Z131" s="2129"/>
      <c r="AA131" s="2129"/>
      <c r="AB131" s="2129"/>
      <c r="AC131" s="2129"/>
    </row>
    <row r="132" spans="1:29" ht="15.75" thickBot="1">
      <c r="A132" s="892"/>
      <c r="B132" s="698"/>
      <c r="C132" s="699"/>
      <c r="D132" s="699"/>
      <c r="E132" s="699"/>
      <c r="F132" s="699"/>
      <c r="G132" s="725"/>
      <c r="H132" s="725"/>
      <c r="I132" s="725"/>
      <c r="J132" s="725"/>
      <c r="K132" s="725"/>
      <c r="L132" s="725"/>
      <c r="M132" s="726"/>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17" priority="16" stopIfTrue="1" operator="containsText" text="超过">
      <formula>NOT(ISERROR(SEARCH("超过",F53)))</formula>
    </cfRule>
  </conditionalFormatting>
  <conditionalFormatting sqref="H55">
    <cfRule type="containsText" dxfId="116" priority="15" stopIfTrue="1" operator="containsText" text="超过">
      <formula>NOT(ISERROR(SEARCH("超过",H55)))</formula>
    </cfRule>
  </conditionalFormatting>
  <conditionalFormatting sqref="F55">
    <cfRule type="containsText" dxfId="115" priority="14" stopIfTrue="1" operator="containsText" text="超过">
      <formula>NOT(ISERROR(SEARCH("超过",F55)))</formula>
    </cfRule>
  </conditionalFormatting>
  <conditionalFormatting sqref="F54 H54">
    <cfRule type="containsText" dxfId="114" priority="13" stopIfTrue="1" operator="containsText" text="超过">
      <formula>NOT(ISERROR(SEARCH("超过",F54)))</formula>
    </cfRule>
  </conditionalFormatting>
  <conditionalFormatting sqref="E53">
    <cfRule type="expression" dxfId="113" priority="12" stopIfTrue="1">
      <formula>$F$53="超过30%"</formula>
    </cfRule>
  </conditionalFormatting>
  <conditionalFormatting sqref="E54">
    <cfRule type="expression" dxfId="112" priority="11" stopIfTrue="1">
      <formula>$F$54="超过20%"</formula>
    </cfRule>
  </conditionalFormatting>
  <conditionalFormatting sqref="E55">
    <cfRule type="expression" dxfId="111" priority="10" stopIfTrue="1">
      <formula>$F$55="超过30%"</formula>
    </cfRule>
  </conditionalFormatting>
  <conditionalFormatting sqref="G55">
    <cfRule type="expression" dxfId="110" priority="9" stopIfTrue="1">
      <formula>$H$55="超过30%"</formula>
    </cfRule>
  </conditionalFormatting>
  <conditionalFormatting sqref="G53">
    <cfRule type="expression" dxfId="109" priority="8" stopIfTrue="1">
      <formula>$H$53="超过30%"</formula>
    </cfRule>
  </conditionalFormatting>
  <conditionalFormatting sqref="G54">
    <cfRule type="expression" dxfId="108" priority="7" stopIfTrue="1">
      <formula>$H$54="超过20%"</formula>
    </cfRule>
  </conditionalFormatting>
  <conditionalFormatting sqref="J53">
    <cfRule type="containsText" dxfId="107" priority="6" stopIfTrue="1" operator="containsText" text="超过">
      <formula>NOT(ISERROR(SEARCH("超过",J53)))</formula>
    </cfRule>
  </conditionalFormatting>
  <conditionalFormatting sqref="J55">
    <cfRule type="containsText" dxfId="106" priority="5" stopIfTrue="1" operator="containsText" text="超过">
      <formula>NOT(ISERROR(SEARCH("超过",J55)))</formula>
    </cfRule>
  </conditionalFormatting>
  <conditionalFormatting sqref="J54">
    <cfRule type="containsText" dxfId="105" priority="4" stopIfTrue="1" operator="containsText" text="超过">
      <formula>NOT(ISERROR(SEARCH("超过",J54)))</formula>
    </cfRule>
  </conditionalFormatting>
  <conditionalFormatting sqref="I53">
    <cfRule type="expression" dxfId="104" priority="3" stopIfTrue="1">
      <formula>$J$53="超过30%"</formula>
    </cfRule>
  </conditionalFormatting>
  <conditionalFormatting sqref="I54">
    <cfRule type="expression" dxfId="103" priority="2" stopIfTrue="1">
      <formula>$J$53+$J$54="超过20%"</formula>
    </cfRule>
  </conditionalFormatting>
  <conditionalFormatting sqref="I55">
    <cfRule type="expression" dxfId="102"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29:D90"/>
  <sheetViews>
    <sheetView topLeftCell="A22" zoomScale="70" zoomScaleNormal="70" workbookViewId="0">
      <selection activeCell="O58" sqref="O58"/>
    </sheetView>
  </sheetViews>
  <sheetFormatPr defaultColWidth="8.875" defaultRowHeight="13.5"/>
  <cols>
    <col min="1" max="16384" width="8.875" style="3188"/>
  </cols>
  <sheetData>
    <row r="29" spans="1:4">
      <c r="A29" s="3188" t="s">
        <v>3001</v>
      </c>
      <c r="B29" s="3188" t="s">
        <v>3002</v>
      </c>
      <c r="D29" s="3189">
        <v>22600</v>
      </c>
    </row>
    <row r="60" spans="1:4">
      <c r="A60" s="3188" t="s">
        <v>3003</v>
      </c>
      <c r="B60" s="3188" t="str">
        <f>B29</f>
        <v>金融街园中园</v>
      </c>
      <c r="D60" s="3189">
        <v>25000</v>
      </c>
    </row>
    <row r="90" spans="1:4">
      <c r="A90" s="3188" t="s">
        <v>3004</v>
      </c>
      <c r="B90" s="3188" t="s">
        <v>3005</v>
      </c>
      <c r="D90" s="3189">
        <v>29300</v>
      </c>
    </row>
  </sheetData>
  <phoneticPr fontId="228" type="noConversion"/>
  <pageMargins left="0.75" right="0.75" top="1" bottom="1"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30" sqref="H30"/>
    </sheetView>
  </sheetViews>
  <sheetFormatPr defaultColWidth="12" defaultRowHeight="12"/>
  <cols>
    <col min="1" max="1" width="9.75" style="1399" customWidth="1"/>
    <col min="2" max="2" width="20.875" style="1514" customWidth="1"/>
    <col min="3" max="4" width="12" style="1400"/>
    <col min="5" max="5" width="14.625" style="1400" customWidth="1"/>
    <col min="6" max="6" width="16.125" style="1400" customWidth="1"/>
    <col min="7"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2423</v>
      </c>
      <c r="D1" s="1507">
        <f>SUM(D29:D30,D33:D39)</f>
        <v>465392</v>
      </c>
      <c r="E1" s="1401" t="s">
        <v>2424</v>
      </c>
      <c r="F1" s="2415">
        <f>'数据-汇总表'!D3</f>
        <v>798900</v>
      </c>
      <c r="G1" s="1396"/>
      <c r="H1" s="1396"/>
      <c r="I1" s="1396"/>
      <c r="J1" s="1396"/>
      <c r="K1" s="1396"/>
      <c r="L1" s="1866" t="s">
        <v>2236</v>
      </c>
      <c r="M1" s="1867">
        <f>SUMPRODUCT((区片价!B5:B9=I2)*(区片价!C3:F3=E2)*(区片价!C5:F9))</f>
        <v>0</v>
      </c>
      <c r="N1" s="1868">
        <f>SUMPRODUCT((因素修正幅度!B5:B9=I2)*(因素修正幅度!C3:F3=E2)*(因素修正幅度!C5:F9))</f>
        <v>0</v>
      </c>
      <c r="O1" s="1396"/>
      <c r="P1" s="1396"/>
      <c r="Q1" s="2173"/>
      <c r="R1" s="2774" t="s">
        <v>2757</v>
      </c>
      <c r="S1" s="2774" t="s">
        <v>2758</v>
      </c>
      <c r="T1" s="2774" t="s">
        <v>2779</v>
      </c>
      <c r="U1" s="2774" t="s">
        <v>2780</v>
      </c>
      <c r="V1" s="2774" t="s">
        <v>992</v>
      </c>
      <c r="W1" s="2173"/>
      <c r="X1" s="2173"/>
      <c r="Y1" s="2173"/>
      <c r="Z1" s="2173"/>
      <c r="AA1" s="2173"/>
      <c r="AB1" s="2173"/>
      <c r="AC1" s="2174"/>
    </row>
    <row r="2" spans="1:39" ht="15.75">
      <c r="A2" s="1401" t="s">
        <v>920</v>
      </c>
      <c r="B2" s="1037">
        <f ca="1">C26</f>
        <v>262062</v>
      </c>
      <c r="C2" s="1402" t="s">
        <v>921</v>
      </c>
      <c r="D2" s="1403" t="s">
        <v>898</v>
      </c>
      <c r="E2" s="1404" t="s">
        <v>3061</v>
      </c>
      <c r="F2" s="1403" t="s">
        <v>924</v>
      </c>
      <c r="G2" s="1636" t="str">
        <f>IF(E2="商业",项目基本情况!B43,IF(E2="办公",项目基本情况!C43,IF(E2="住宅",项目基本情况!D43,项目基本情况!E43)))</f>
        <v>七级</v>
      </c>
      <c r="H2" s="1403" t="s">
        <v>926</v>
      </c>
      <c r="I2" s="1637" t="str">
        <f>IF(E2="商业",项目基本情况!B44,IF(E2="办公",项目基本情况!C44,IF(E2="住宅",项目基本情况!D44,项目基本情况!E44)))</f>
        <v>Ⅶ-通1</v>
      </c>
      <c r="J2" s="1405"/>
      <c r="K2" s="1405"/>
      <c r="L2" s="1869" t="s">
        <v>2237</v>
      </c>
      <c r="M2" s="1870">
        <f>SUMPRODUCT((区片价!B10:B28=I2)*(区片价!C3:F3=E2)*(区片价!C10:F28))</f>
        <v>0</v>
      </c>
      <c r="N2" s="1871">
        <f>SUMPRODUCT((因素修正幅度!B10:B28=I2)*(因素修正幅度!C3:F3=E2)*(因素修正幅度!C10:F28))</f>
        <v>0</v>
      </c>
      <c r="O2" s="1405"/>
      <c r="P2" s="1396"/>
      <c r="Q2" s="2173"/>
      <c r="R2" s="2775">
        <v>1</v>
      </c>
      <c r="S2" s="2775">
        <f>ROUND(IF(G3&gt;1,IF(R2&lt;7,SUMPRODUCT((B93:B98=R2)*(C92:N92=G2)*(C93:N98)),SUMIF(C92:N92,G2,C100:N100)),IF(R2&lt;7,SUMPRODUCT((B102:B107=R2)*(C92:N92=G2)*(C102:N107)),SUMIF(C92:N92,G2,C109:N109))),4)</f>
        <v>1.8629</v>
      </c>
      <c r="T2" s="2775">
        <f ca="1">ROUND($C$5*$C$18*$C$19*$C$20*S2*$C$24,0)</f>
        <v>18920</v>
      </c>
      <c r="U2" s="2764"/>
      <c r="V2" s="2775">
        <f ca="1">ROUND(T2*U2/10000,0)</f>
        <v>0</v>
      </c>
      <c r="W2" s="2173"/>
      <c r="X2" s="2173"/>
      <c r="Y2" s="2173"/>
      <c r="Z2" s="2173"/>
      <c r="AA2" s="2173"/>
      <c r="AB2" s="2173"/>
      <c r="AC2" s="2174"/>
    </row>
    <row r="3" spans="1:39" ht="15.75">
      <c r="A3" s="1406" t="s">
        <v>1687</v>
      </c>
      <c r="B3" s="1037">
        <f ca="1">ROUND(B2*10000/D1,0)</f>
        <v>5631</v>
      </c>
      <c r="C3" s="1402" t="s">
        <v>927</v>
      </c>
      <c r="D3" s="1403" t="s">
        <v>928</v>
      </c>
      <c r="E3" s="1407" t="s">
        <v>3083</v>
      </c>
      <c r="F3" s="1408" t="s">
        <v>3018</v>
      </c>
      <c r="G3" s="1038">
        <f>IF(F3="宗地容积率",'数据-汇总表'!I4,IF(F3="估价对象容积率",'数据-汇总表'!I6,'数据-汇总表'!I7))</f>
        <v>1.9</v>
      </c>
      <c r="H3" s="1409" t="s">
        <v>929</v>
      </c>
      <c r="I3" s="1039">
        <v>1</v>
      </c>
      <c r="J3" s="1405" t="s">
        <v>930</v>
      </c>
      <c r="K3" s="1405"/>
      <c r="L3" s="1869" t="s">
        <v>2238</v>
      </c>
      <c r="M3" s="1870">
        <f>SUMPRODUCT((区片价!B29:B48=I2)*(区片价!C3:F3=E2)*(区片价!C29:F48))</f>
        <v>0</v>
      </c>
      <c r="N3" s="1871">
        <f>SUMPRODUCT((因素修正幅度!B29:B48=I2)*(因素修正幅度!C3:F3=E2)*(因素修正幅度!C29:F48))</f>
        <v>0</v>
      </c>
      <c r="O3" s="1405"/>
      <c r="P3" s="1396"/>
      <c r="Q3" s="2173"/>
      <c r="R3" s="2775">
        <v>2</v>
      </c>
      <c r="S3" s="2775">
        <f>ROUND(IF(G3&gt;1,IF(R3&lt;7,SUMPRODUCT((B93:B98=R3)*(C92:N92=G2)*(C93:N98)),SUMIF(C92:N92,G2,C100:N100)),IF(R3&lt;7,SUMPRODUCT((B102:B107=R3)*(C92:N92=G2)*(C102:N107)),SUMIF(C92:N92,G2,C109:N109))),4)</f>
        <v>1.3371999999999999</v>
      </c>
      <c r="T3" s="2775">
        <f t="shared" ref="T3:T16" ca="1" si="0">ROUND($C$5*$C$18*$C$19*$C$20*S3*$C$24,0)</f>
        <v>13581</v>
      </c>
      <c r="U3" s="2764"/>
      <c r="V3" s="2775">
        <f t="shared" ref="V3:V16" ca="1" si="1">ROUND(T3*U3/10000,0)</f>
        <v>0</v>
      </c>
      <c r="W3" s="2173"/>
      <c r="X3" s="2173"/>
      <c r="Y3" s="2173"/>
      <c r="Z3" s="2173"/>
      <c r="AA3" s="2173"/>
      <c r="AB3" s="2173"/>
      <c r="AC3" s="2174"/>
    </row>
    <row r="4" spans="1:39" ht="28.5">
      <c r="A4" s="1875" t="s">
        <v>2278</v>
      </c>
      <c r="B4" s="2416">
        <f ca="1">ROUND(B2*10000/F1,0)</f>
        <v>3280</v>
      </c>
      <c r="C4" s="1878" t="s">
        <v>2252</v>
      </c>
      <c r="D4" s="1878">
        <f ca="1">ROUND(B2/(F1/666.67),0)</f>
        <v>219</v>
      </c>
      <c r="E4" s="1878" t="s">
        <v>2253</v>
      </c>
      <c r="F4" s="1876"/>
      <c r="G4" s="1876"/>
      <c r="H4" s="1876"/>
      <c r="I4" s="1876"/>
      <c r="J4" s="1877"/>
      <c r="K4" s="3000"/>
      <c r="L4" s="1869" t="s">
        <v>2239</v>
      </c>
      <c r="M4" s="1870">
        <f>SUMPRODUCT((区片价!B49:B75=I2)*(区片价!C3:F3=E2)*(区片价!C49:F75))</f>
        <v>0</v>
      </c>
      <c r="N4" s="1871">
        <f>SUMPRODUCT((因素修正幅度!B49:B75=I2)*(因素修正幅度!C3:F3=E2)*(因素修正幅度!C49:F75))</f>
        <v>0</v>
      </c>
      <c r="O4" s="3000"/>
      <c r="P4" s="1396"/>
      <c r="Q4" s="2173"/>
      <c r="R4" s="2775">
        <v>3</v>
      </c>
      <c r="S4" s="2775">
        <f>ROUND(IF(G3&gt;1,IF(R4&lt;7,SUMPRODUCT((B93:B98=R4)*(C92:N92=G2)*(C93:N98)),SUMIF(C92:N92,G2,C100:N100)),IF(R4&lt;7,SUMPRODUCT((B102:B107=R4)*(C92:N92=G2)*(C102:N107)),SUMIF(C92:N92,G2,C109:N109))),4)</f>
        <v>1.0788</v>
      </c>
      <c r="T4" s="2775">
        <f t="shared" ca="1" si="0"/>
        <v>10956</v>
      </c>
      <c r="U4" s="2764"/>
      <c r="V4" s="2775">
        <f t="shared" ca="1" si="1"/>
        <v>0</v>
      </c>
      <c r="W4" s="2173"/>
      <c r="X4" s="2173"/>
      <c r="Y4" s="2173"/>
      <c r="Z4" s="2173"/>
      <c r="AA4" s="2173"/>
      <c r="AB4" s="2173"/>
      <c r="AC4" s="2174"/>
    </row>
    <row r="5" spans="1:39" s="1416" customFormat="1" ht="15.75" thickBot="1">
      <c r="A5" s="1622" t="s">
        <v>1823</v>
      </c>
      <c r="B5" s="1410" t="s">
        <v>931</v>
      </c>
      <c r="C5" s="1040">
        <f>ROUND(IF(E2="商业",C6*C7+C16,(IF(E2="住宅",C6*C12+C16,C6+C16))),0)</f>
        <v>7120</v>
      </c>
      <c r="D5" s="2941">
        <f>ROUND(C6+C16,0)</f>
        <v>7120</v>
      </c>
      <c r="E5" s="2941"/>
      <c r="F5" s="1411"/>
      <c r="G5" s="1412"/>
      <c r="H5" s="1412"/>
      <c r="I5" s="1412"/>
      <c r="J5" s="1413"/>
      <c r="K5" s="3001"/>
      <c r="L5" s="1869" t="s">
        <v>2240</v>
      </c>
      <c r="M5" s="1870">
        <f>SUMPRODUCT((区片价!B76:B109=I2)*(区片价!C3:F3=E2)*(区片价!C76:F109))</f>
        <v>0</v>
      </c>
      <c r="N5" s="1871">
        <f>SUMPRODUCT((因素修正幅度!B76:B109=I2)*(因素修正幅度!C3:F3=E2)*(因素修正幅度!C76:F109))</f>
        <v>0</v>
      </c>
      <c r="O5" s="3001"/>
      <c r="P5" s="1579"/>
      <c r="Q5" s="2173"/>
      <c r="R5" s="2775">
        <v>4</v>
      </c>
      <c r="S5" s="2775">
        <f>ROUND(IF(G3&gt;1,IF(R5&lt;7,SUMPRODUCT((B93:B98=R5)*(C92:N92=G2)*(C93:N98)),SUMIF(C92:N92,G2,C100:N100)),IF(R5&lt;7,SUMPRODUCT((B102:B107=R5)*(C92:N92=G2)*(C102:N107)),SUMIF(C92:N92,G2,C109:N109))),4)</f>
        <v>0.86560000000000004</v>
      </c>
      <c r="T5" s="2775">
        <f t="shared" ca="1" si="0"/>
        <v>8791</v>
      </c>
      <c r="U5" s="2764"/>
      <c r="V5" s="2775">
        <f t="shared" ca="1" si="1"/>
        <v>0</v>
      </c>
      <c r="W5" s="2173"/>
      <c r="X5" s="2173"/>
      <c r="Y5" s="2173"/>
      <c r="Z5" s="2173"/>
      <c r="AA5" s="2173"/>
      <c r="AB5" s="2173"/>
      <c r="AC5" s="2175"/>
      <c r="AD5" s="1414"/>
      <c r="AE5" s="1414"/>
      <c r="AF5" s="1414"/>
      <c r="AG5" s="1414"/>
      <c r="AH5" s="1414"/>
      <c r="AI5" s="1414"/>
      <c r="AJ5" s="1415"/>
      <c r="AK5" s="1415"/>
      <c r="AL5" s="1415"/>
      <c r="AM5" s="1415"/>
    </row>
    <row r="6" spans="1:39" ht="15.75" thickBot="1">
      <c r="A6" s="1623" t="s">
        <v>1870</v>
      </c>
      <c r="B6" s="1417" t="s">
        <v>931</v>
      </c>
      <c r="C6" s="1041">
        <f>SUMIF(L1:L12,'基准地价-商业'!G2,M1:M12)</f>
        <v>7120</v>
      </c>
      <c r="D6" s="1418" t="s">
        <v>1695</v>
      </c>
      <c r="E6" s="1419"/>
      <c r="F6" s="1419"/>
      <c r="G6" s="1420"/>
      <c r="H6" s="1420"/>
      <c r="I6" s="1420"/>
      <c r="J6" s="1421"/>
      <c r="K6" s="1451"/>
      <c r="L6" s="1869" t="s">
        <v>2241</v>
      </c>
      <c r="M6" s="1870">
        <f>SUMPRODUCT((区片价!B110:B157=I2)*(区片价!C3:F3=E2)*(区片价!C110:F157))</f>
        <v>0</v>
      </c>
      <c r="N6" s="1871">
        <f>SUMPRODUCT((因素修正幅度!B110:B157=I2)*(因素修正幅度!C3:F3=E2)*(因素修正幅度!C110:F157))</f>
        <v>0</v>
      </c>
      <c r="O6" s="1451"/>
      <c r="P6" s="1580"/>
      <c r="Q6" s="2173"/>
      <c r="R6" s="2775">
        <v>5</v>
      </c>
      <c r="S6" s="2775">
        <f>ROUND(IF(G3&gt;1,IF(R6&lt;7,SUMPRODUCT((B93:B98=R6)*(C92:N92=G2)*(C93:N98)),SUMIF(C92:N92,G2,C100:N100)),IF(R6&lt;7,SUMPRODUCT((B102:B107=R6)*(C92:N92=G2)*(C102:N107)),SUMIF(C92:N92,G2,C109:N109))),4)</f>
        <v>0.73709999999999998</v>
      </c>
      <c r="T6" s="2775">
        <f t="shared" ca="1" si="0"/>
        <v>7486</v>
      </c>
      <c r="U6" s="2764"/>
      <c r="V6" s="2775">
        <f t="shared" ca="1" si="1"/>
        <v>0</v>
      </c>
      <c r="W6" s="2173"/>
      <c r="X6" s="2173"/>
      <c r="Y6" s="2173"/>
      <c r="Z6" s="2173"/>
      <c r="AA6" s="2173"/>
      <c r="AB6" s="2173"/>
      <c r="AC6" s="2175"/>
      <c r="AD6" s="1414"/>
      <c r="AE6" s="1414"/>
      <c r="AF6" s="1414"/>
      <c r="AG6" s="1414"/>
      <c r="AH6" s="1414"/>
      <c r="AI6" s="1414"/>
      <c r="AJ6" s="1415"/>
    </row>
    <row r="7" spans="1:39" ht="24">
      <c r="A7" s="3441" t="str">
        <f>IF(E2="商业",IF(C8="不临58条商业街","",2),"")</f>
        <v/>
      </c>
      <c r="B7" s="1422" t="s">
        <v>932</v>
      </c>
      <c r="C7" s="1042">
        <f>IF(C8="不临58条商业街",1,ROUND(1+(1.6*E8+1.2*E9+0.8*E10+0.4*E11)*C9,4))</f>
        <v>1</v>
      </c>
      <c r="D7" s="1423" t="s">
        <v>933</v>
      </c>
      <c r="E7" s="1043">
        <v>6</v>
      </c>
      <c r="F7" s="1424"/>
      <c r="G7" s="1425"/>
      <c r="H7" s="1425"/>
      <c r="I7" s="1425"/>
      <c r="J7" s="1426"/>
      <c r="K7" s="1451"/>
      <c r="L7" s="1869" t="s">
        <v>2242</v>
      </c>
      <c r="M7" s="1870">
        <f>SUMPRODUCT((区片价!B158:B205=I2)*(区片价!C3:F3=E2)*(区片价!C158:F205))</f>
        <v>7120</v>
      </c>
      <c r="N7" s="1871">
        <f>SUMPRODUCT((因素修正幅度!B158:B205=I2)*(因素修正幅度!C3:F3=E2)*(因素修正幅度!C158:F205))</f>
        <v>0.13</v>
      </c>
      <c r="O7" s="1451"/>
      <c r="P7" s="1580"/>
      <c r="Q7" s="2173"/>
      <c r="R7" s="2775">
        <v>6</v>
      </c>
      <c r="S7" s="2775">
        <f>ROUND(IF(G3&gt;1,IF(R7&lt;7,SUMPRODUCT((B93:B98=R7)*(C92:N92=G2)*(C93:N98)),SUMIF(C92:N92,G2,C100:N100)),IF(R7&lt;7,SUMPRODUCT((B102:B107=R7)*(C92:N92=G2)*(C102:N107)),SUMIF(C92:N92,G2,C109:N109))),4)</f>
        <v>0.6482</v>
      </c>
      <c r="T7" s="2775">
        <f t="shared" ca="1" si="0"/>
        <v>6583</v>
      </c>
      <c r="U7" s="2764"/>
      <c r="V7" s="2775">
        <f t="shared" ca="1" si="1"/>
        <v>0</v>
      </c>
      <c r="W7" s="3213" t="s">
        <v>2760</v>
      </c>
      <c r="X7" s="2765" t="str">
        <f>G2</f>
        <v>七级</v>
      </c>
      <c r="Y7" s="2765" t="s">
        <v>2761</v>
      </c>
      <c r="Z7" s="2766">
        <f>G3</f>
        <v>1.9</v>
      </c>
      <c r="AA7" s="2176"/>
      <c r="AB7" s="2176"/>
      <c r="AC7" s="2177"/>
      <c r="AD7" s="2767"/>
      <c r="AE7" s="2767"/>
      <c r="AF7" s="2767"/>
      <c r="AG7" s="2767"/>
      <c r="AH7" s="2767"/>
      <c r="AI7" s="2767"/>
      <c r="AJ7" s="2768"/>
    </row>
    <row r="8" spans="1:39" ht="25.5">
      <c r="A8" s="3442"/>
      <c r="B8" s="1409" t="s">
        <v>934</v>
      </c>
      <c r="C8" s="1515" t="s">
        <v>3082</v>
      </c>
      <c r="D8" s="1044" t="s">
        <v>935</v>
      </c>
      <c r="E8" s="1045">
        <f>ROUND(C11/E7,4)</f>
        <v>0</v>
      </c>
      <c r="F8" s="1427" t="s">
        <v>936</v>
      </c>
      <c r="G8" s="1428"/>
      <c r="H8" s="1428"/>
      <c r="I8" s="1428"/>
      <c r="J8" s="1429"/>
      <c r="K8" s="1451"/>
      <c r="L8" s="1869" t="s">
        <v>2243</v>
      </c>
      <c r="M8" s="1870">
        <f>SUMPRODUCT((区片价!B206:B244=I2)*(区片价!C3:F3=E2)*(区片价!C206:F244))</f>
        <v>0</v>
      </c>
      <c r="N8" s="1871">
        <f>SUMPRODUCT((因素修正幅度!B206:B244=I2)*(因素修正幅度!C3:F3=E2)*(因素修正幅度!C206:F244))</f>
        <v>0</v>
      </c>
      <c r="O8" s="1451"/>
      <c r="P8" s="1396"/>
      <c r="Q8" s="2173"/>
      <c r="R8" s="2775">
        <v>7</v>
      </c>
      <c r="S8" s="2764"/>
      <c r="T8" s="2775">
        <f t="shared" ca="1" si="0"/>
        <v>0</v>
      </c>
      <c r="U8" s="2764"/>
      <c r="V8" s="2775">
        <f t="shared" ca="1" si="1"/>
        <v>0</v>
      </c>
      <c r="W8" s="3452" t="s">
        <v>2778</v>
      </c>
      <c r="X8" s="3453"/>
      <c r="Y8" s="1833" t="s">
        <v>2762</v>
      </c>
      <c r="Z8" s="1833" t="s">
        <v>2763</v>
      </c>
      <c r="AA8" s="1833" t="s">
        <v>2764</v>
      </c>
      <c r="AB8" s="1833" t="s">
        <v>2765</v>
      </c>
      <c r="AC8" s="1833" t="s">
        <v>2766</v>
      </c>
      <c r="AD8" s="1833" t="s">
        <v>2767</v>
      </c>
      <c r="AE8" s="1833" t="s">
        <v>2768</v>
      </c>
      <c r="AF8" s="1833" t="s">
        <v>2769</v>
      </c>
      <c r="AG8" s="1833" t="s">
        <v>2770</v>
      </c>
      <c r="AH8" s="1833" t="s">
        <v>2771</v>
      </c>
      <c r="AI8" s="1833" t="s">
        <v>2772</v>
      </c>
      <c r="AJ8" s="1833" t="s">
        <v>2773</v>
      </c>
    </row>
    <row r="9" spans="1:39" ht="15">
      <c r="A9" s="3442"/>
      <c r="B9" s="1409" t="s">
        <v>937</v>
      </c>
      <c r="C9" s="1046">
        <f>SUMIF(修正!C59:C119,C8,修正!E59:E119)</f>
        <v>0</v>
      </c>
      <c r="D9" s="1047" t="s">
        <v>938</v>
      </c>
      <c r="E9" s="1047">
        <f>ROUND(C11/E7,4)</f>
        <v>0</v>
      </c>
      <c r="F9" s="1427" t="s">
        <v>939</v>
      </c>
      <c r="G9" s="1428"/>
      <c r="H9" s="1428"/>
      <c r="I9" s="1428"/>
      <c r="J9" s="1429"/>
      <c r="K9" s="1451"/>
      <c r="L9" s="1869" t="s">
        <v>2244</v>
      </c>
      <c r="M9" s="1870">
        <f>SUMPRODUCT((区片价!B245:B289=I2)*(区片价!C3:F3=E2)*(区片价!C245:F289))</f>
        <v>0</v>
      </c>
      <c r="N9" s="1871">
        <f>SUMPRODUCT((因素修正幅度!B245:B289=I2)*(因素修正幅度!C3:F3=E2)*(因素修正幅度!C245:F289))</f>
        <v>0</v>
      </c>
      <c r="O9" s="1451"/>
      <c r="P9" s="1396"/>
      <c r="Q9" s="2173"/>
      <c r="R9" s="2775">
        <v>8</v>
      </c>
      <c r="S9" s="2764"/>
      <c r="T9" s="2775">
        <f t="shared" ca="1" si="0"/>
        <v>0</v>
      </c>
      <c r="U9" s="2764"/>
      <c r="V9" s="2775">
        <f t="shared" ca="1" si="1"/>
        <v>0</v>
      </c>
      <c r="W9" s="3451" t="s">
        <v>2774</v>
      </c>
      <c r="X9" s="2769" t="s">
        <v>2775</v>
      </c>
      <c r="Y9" s="2926"/>
      <c r="Z9" s="2770">
        <f t="shared" ref="Z9:AJ9" si="2">$Y$9</f>
        <v>0</v>
      </c>
      <c r="AA9" s="2770">
        <f t="shared" si="2"/>
        <v>0</v>
      </c>
      <c r="AB9" s="2770">
        <f t="shared" si="2"/>
        <v>0</v>
      </c>
      <c r="AC9" s="2770">
        <f t="shared" si="2"/>
        <v>0</v>
      </c>
      <c r="AD9" s="2770">
        <f t="shared" si="2"/>
        <v>0</v>
      </c>
      <c r="AE9" s="2770">
        <f t="shared" si="2"/>
        <v>0</v>
      </c>
      <c r="AF9" s="2770">
        <f t="shared" si="2"/>
        <v>0</v>
      </c>
      <c r="AG9" s="2770">
        <f t="shared" si="2"/>
        <v>0</v>
      </c>
      <c r="AH9" s="2770">
        <f t="shared" si="2"/>
        <v>0</v>
      </c>
      <c r="AI9" s="2770">
        <f t="shared" si="2"/>
        <v>0</v>
      </c>
      <c r="AJ9" s="2770">
        <f t="shared" si="2"/>
        <v>0</v>
      </c>
    </row>
    <row r="10" spans="1:39" ht="15">
      <c r="A10" s="3442"/>
      <c r="B10" s="1409" t="s">
        <v>940</v>
      </c>
      <c r="C10" s="1047">
        <f>SUMIF(修正!C59:C119,C8,修正!F59:F119)</f>
        <v>0</v>
      </c>
      <c r="D10" s="1047" t="s">
        <v>941</v>
      </c>
      <c r="E10" s="1047">
        <f>ROUND(C11/E7,4)</f>
        <v>0</v>
      </c>
      <c r="F10" s="1427" t="s">
        <v>942</v>
      </c>
      <c r="G10" s="1428"/>
      <c r="H10" s="1428"/>
      <c r="I10" s="1428"/>
      <c r="J10" s="1429"/>
      <c r="K10" s="1451"/>
      <c r="L10" s="1869" t="s">
        <v>2245</v>
      </c>
      <c r="M10" s="1870">
        <f>SUMPRODUCT((区片价!B290:B316=I2)*(区片价!C3:F3=E2)*(区片价!C290:F316))</f>
        <v>0</v>
      </c>
      <c r="N10" s="1871">
        <f>SUMPRODUCT((因素修正幅度!B290:B316=I2)*(因素修正幅度!C3:F3=E2)*(因素修正幅度!C290:F316))</f>
        <v>0</v>
      </c>
      <c r="O10" s="1451"/>
      <c r="P10" s="1396"/>
      <c r="Q10" s="2173"/>
      <c r="R10" s="2775">
        <v>9</v>
      </c>
      <c r="S10" s="2764"/>
      <c r="T10" s="2775">
        <f t="shared" ca="1" si="0"/>
        <v>0</v>
      </c>
      <c r="U10" s="2764"/>
      <c r="V10" s="2775">
        <f t="shared" ca="1" si="1"/>
        <v>0</v>
      </c>
      <c r="W10" s="3451"/>
      <c r="X10" s="2769">
        <v>7</v>
      </c>
      <c r="Y10" s="2771">
        <f>(-0.163*(Y9^2)-0.59*Y9+7617)*(10^(-4))</f>
        <v>0.76170000000000004</v>
      </c>
      <c r="Z10" s="2771">
        <f>(-0.163*(Z9^2)-0.59*Z9+7617)*(10^(-4))</f>
        <v>0.76170000000000004</v>
      </c>
      <c r="AA10" s="2771">
        <f>(-0.161*(AA9^2)-7.509*AA9+6533)*(10^(-4))</f>
        <v>0.65329999999999999</v>
      </c>
      <c r="AB10" s="2771">
        <f>(-0.161*(AB9^2)-7.509*AB9+6533)*(10^(-4))</f>
        <v>0.65329999999999999</v>
      </c>
      <c r="AC10" s="2771">
        <f>(-0.161*(AC9^2)-7.509*AC9+6533)*(10^(-4))</f>
        <v>0.65329999999999999</v>
      </c>
      <c r="AD10" s="2771">
        <f>(-0.161*(AD9^2)-7.509*AD9+6533)*(10^(-4))</f>
        <v>0.65329999999999999</v>
      </c>
      <c r="AE10" s="2771">
        <f>(-0.161*(AE9^2)-7.509*AE9+6533)*(10^(-4))</f>
        <v>0.65329999999999999</v>
      </c>
      <c r="AF10" s="2771">
        <f>(-0.214*(AF9^2)-21.991*AF9+4665)*(10^(-4))</f>
        <v>0.46650000000000003</v>
      </c>
      <c r="AG10" s="2771">
        <f>(-0.214*(AG9^2)-21.991*AG9+4665)*(10^(-4))</f>
        <v>0.46650000000000003</v>
      </c>
      <c r="AH10" s="2771">
        <f>(-0.214*(AH9^2)-21.991*AH9+4665)*(10^(-4))</f>
        <v>0.46650000000000003</v>
      </c>
      <c r="AI10" s="2771">
        <f>(-0.214*(AI9^2)-21.991*AI9+4665)*(10^(-4))</f>
        <v>0.46650000000000003</v>
      </c>
      <c r="AJ10" s="2771">
        <f>(-0.214*(AJ9^2)-21.991*AJ9+4665)*(10^(-4))</f>
        <v>0.46650000000000003</v>
      </c>
    </row>
    <row r="11" spans="1:39" ht="15.75" customHeight="1" thickBot="1">
      <c r="A11" s="3442"/>
      <c r="B11" s="1430" t="s">
        <v>943</v>
      </c>
      <c r="C11" s="1048">
        <f>C10/4</f>
        <v>0</v>
      </c>
      <c r="D11" s="1048" t="s">
        <v>944</v>
      </c>
      <c r="E11" s="1048">
        <f>ROUND(C11/E7,4)</f>
        <v>0</v>
      </c>
      <c r="F11" s="1431" t="s">
        <v>945</v>
      </c>
      <c r="G11" s="1432"/>
      <c r="H11" s="1432"/>
      <c r="I11" s="1432"/>
      <c r="J11" s="1433"/>
      <c r="K11" s="1451"/>
      <c r="L11" s="1869" t="s">
        <v>2246</v>
      </c>
      <c r="M11" s="1870">
        <f>SUMPRODUCT((区片价!B317:B337=I2)*(区片价!C3:F3=E2)*(区片价!C317:F337))</f>
        <v>0</v>
      </c>
      <c r="N11" s="1871">
        <f>SUMPRODUCT((因素修正幅度!B317:B337=I2)*(因素修正幅度!C3:F3=E2)*(因素修正幅度!C317:F337))</f>
        <v>0</v>
      </c>
      <c r="O11" s="1451"/>
      <c r="P11" s="1396"/>
      <c r="Q11" s="2173"/>
      <c r="R11" s="2775">
        <v>10</v>
      </c>
      <c r="S11" s="2764"/>
      <c r="T11" s="2775">
        <f t="shared" ca="1" si="0"/>
        <v>0</v>
      </c>
      <c r="U11" s="2764"/>
      <c r="V11" s="2775">
        <f t="shared" ca="1" si="1"/>
        <v>0</v>
      </c>
      <c r="W11" s="3451" t="s">
        <v>2776</v>
      </c>
      <c r="X11" s="1047" t="s">
        <v>2761</v>
      </c>
      <c r="Y11" s="1637">
        <f>$G$3</f>
        <v>1.9</v>
      </c>
      <c r="Z11" s="1637">
        <f t="shared" ref="Z11:AJ11" si="3">$G$3</f>
        <v>1.9</v>
      </c>
      <c r="AA11" s="1637">
        <f t="shared" si="3"/>
        <v>1.9</v>
      </c>
      <c r="AB11" s="1637">
        <f t="shared" si="3"/>
        <v>1.9</v>
      </c>
      <c r="AC11" s="1637">
        <f t="shared" si="3"/>
        <v>1.9</v>
      </c>
      <c r="AD11" s="1637">
        <f t="shared" si="3"/>
        <v>1.9</v>
      </c>
      <c r="AE11" s="1637">
        <f t="shared" si="3"/>
        <v>1.9</v>
      </c>
      <c r="AF11" s="1637">
        <f t="shared" si="3"/>
        <v>1.9</v>
      </c>
      <c r="AG11" s="1637">
        <f t="shared" si="3"/>
        <v>1.9</v>
      </c>
      <c r="AH11" s="1637">
        <f t="shared" si="3"/>
        <v>1.9</v>
      </c>
      <c r="AI11" s="1637">
        <f t="shared" si="3"/>
        <v>1.9</v>
      </c>
      <c r="AJ11" s="1637">
        <f t="shared" si="3"/>
        <v>1.9</v>
      </c>
    </row>
    <row r="12" spans="1:39" ht="24.75" customHeight="1" thickBot="1">
      <c r="A12" s="3441" t="s">
        <v>1871</v>
      </c>
      <c r="B12" s="1434" t="s">
        <v>946</v>
      </c>
      <c r="C12" s="1042">
        <f>ROUND(C15*D15*E15*F15*G15*H15*I15*J15,4)</f>
        <v>1</v>
      </c>
      <c r="D12" s="1435" t="s">
        <v>947</v>
      </c>
      <c r="E12" s="1436"/>
      <c r="F12" s="1436"/>
      <c r="G12" s="1437"/>
      <c r="H12" s="1437"/>
      <c r="I12" s="1437"/>
      <c r="J12" s="1438"/>
      <c r="K12" s="1451"/>
      <c r="L12" s="1872" t="s">
        <v>2247</v>
      </c>
      <c r="M12" s="1873">
        <f>SUMPRODUCT((区片价!B338:B344=I2)*(区片价!C3:F3=E2)*(区片价!C338:F344))</f>
        <v>0</v>
      </c>
      <c r="N12" s="1874">
        <f>SUMPRODUCT((因素修正幅度!B338:B344=I2)*(因素修正幅度!C3:F3=E2)*(因素修正幅度!C338:F344))</f>
        <v>0</v>
      </c>
      <c r="O12" s="1451"/>
      <c r="P12" s="1396"/>
      <c r="Q12" s="2173"/>
      <c r="R12" s="2775">
        <v>11</v>
      </c>
      <c r="S12" s="2764"/>
      <c r="T12" s="2775">
        <f t="shared" ca="1" si="0"/>
        <v>0</v>
      </c>
      <c r="U12" s="2764"/>
      <c r="V12" s="2775">
        <f t="shared" ca="1" si="1"/>
        <v>0</v>
      </c>
      <c r="W12" s="3451"/>
      <c r="X12" s="2772" t="s">
        <v>2777</v>
      </c>
      <c r="Y12" s="2770">
        <f t="shared" ref="Y12:AJ12" si="4">Y9</f>
        <v>0</v>
      </c>
      <c r="Z12" s="2770">
        <f t="shared" si="4"/>
        <v>0</v>
      </c>
      <c r="AA12" s="2770">
        <f t="shared" si="4"/>
        <v>0</v>
      </c>
      <c r="AB12" s="2770">
        <f t="shared" si="4"/>
        <v>0</v>
      </c>
      <c r="AC12" s="2770">
        <f t="shared" si="4"/>
        <v>0</v>
      </c>
      <c r="AD12" s="2770">
        <f t="shared" si="4"/>
        <v>0</v>
      </c>
      <c r="AE12" s="2770">
        <f t="shared" si="4"/>
        <v>0</v>
      </c>
      <c r="AF12" s="2770">
        <f t="shared" si="4"/>
        <v>0</v>
      </c>
      <c r="AG12" s="2770">
        <f t="shared" si="4"/>
        <v>0</v>
      </c>
      <c r="AH12" s="2770">
        <f t="shared" si="4"/>
        <v>0</v>
      </c>
      <c r="AI12" s="2770">
        <f t="shared" si="4"/>
        <v>0</v>
      </c>
      <c r="AJ12" s="2770">
        <f t="shared" si="4"/>
        <v>0</v>
      </c>
    </row>
    <row r="13" spans="1:39" ht="15">
      <c r="A13" s="3443"/>
      <c r="B13" s="1439" t="s">
        <v>1696</v>
      </c>
      <c r="C13" s="1440" t="s">
        <v>1697</v>
      </c>
      <c r="D13" s="1084" t="s">
        <v>1698</v>
      </c>
      <c r="E13" s="1084" t="s">
        <v>1699</v>
      </c>
      <c r="F13" s="1441" t="s">
        <v>948</v>
      </c>
      <c r="G13" s="1442" t="s">
        <v>1642</v>
      </c>
      <c r="H13" s="1443" t="s">
        <v>1642</v>
      </c>
      <c r="I13" s="1444" t="s">
        <v>1642</v>
      </c>
      <c r="J13" s="1445" t="s">
        <v>1642</v>
      </c>
      <c r="K13" s="3016"/>
      <c r="L13" s="3016"/>
      <c r="M13" s="3016"/>
      <c r="N13" s="3016"/>
      <c r="O13" s="3016"/>
      <c r="P13" s="1396"/>
      <c r="Q13" s="2173"/>
      <c r="R13" s="2775">
        <v>12</v>
      </c>
      <c r="S13" s="2764"/>
      <c r="T13" s="2775">
        <f t="shared" ca="1" si="0"/>
        <v>0</v>
      </c>
      <c r="U13" s="2764"/>
      <c r="V13" s="2775">
        <f t="shared" ca="1" si="1"/>
        <v>0</v>
      </c>
      <c r="W13" s="3451"/>
      <c r="X13" s="2772"/>
      <c r="Y13" s="2771">
        <f>(-0.163*(Y12^2)-0.59*Y12+7617)*(10^(-4))/Y11</f>
        <v>0.4008947368421053</v>
      </c>
      <c r="Z13" s="2771">
        <f t="shared" ref="Z13:AJ13" si="5">(-0.163*(Z12^2)-0.59*Z12+7617)*(10^(-4))/Z11</f>
        <v>0.4008947368421053</v>
      </c>
      <c r="AA13" s="2771">
        <f t="shared" si="5"/>
        <v>0.4008947368421053</v>
      </c>
      <c r="AB13" s="2771">
        <f t="shared" si="5"/>
        <v>0.4008947368421053</v>
      </c>
      <c r="AC13" s="2771">
        <f t="shared" si="5"/>
        <v>0.4008947368421053</v>
      </c>
      <c r="AD13" s="2771">
        <f t="shared" si="5"/>
        <v>0.4008947368421053</v>
      </c>
      <c r="AE13" s="2771">
        <f t="shared" si="5"/>
        <v>0.4008947368421053</v>
      </c>
      <c r="AF13" s="2771">
        <f t="shared" si="5"/>
        <v>0.4008947368421053</v>
      </c>
      <c r="AG13" s="2771">
        <f t="shared" si="5"/>
        <v>0.4008947368421053</v>
      </c>
      <c r="AH13" s="2771">
        <f t="shared" si="5"/>
        <v>0.4008947368421053</v>
      </c>
      <c r="AI13" s="2771">
        <f t="shared" si="5"/>
        <v>0.4008947368421053</v>
      </c>
      <c r="AJ13" s="2771">
        <f t="shared" si="5"/>
        <v>0.4008947368421053</v>
      </c>
    </row>
    <row r="14" spans="1:39" ht="12.75" customHeight="1">
      <c r="A14" s="3443"/>
      <c r="B14" s="1446"/>
      <c r="C14" s="1447"/>
      <c r="D14" s="1448"/>
      <c r="E14" s="1448"/>
      <c r="F14" s="1449"/>
      <c r="G14" s="1450" t="s">
        <v>949</v>
      </c>
      <c r="H14" s="1451"/>
      <c r="I14" s="1452"/>
      <c r="J14" s="1453"/>
      <c r="K14" s="3002"/>
      <c r="L14" s="3002"/>
      <c r="M14" s="3002"/>
      <c r="N14" s="3002"/>
      <c r="O14" s="3002"/>
      <c r="P14" s="1396"/>
      <c r="Q14" s="2173"/>
      <c r="R14" s="2775">
        <v>13</v>
      </c>
      <c r="S14" s="2764"/>
      <c r="T14" s="2775">
        <f t="shared" ca="1" si="0"/>
        <v>0</v>
      </c>
      <c r="U14" s="2764"/>
      <c r="V14" s="2775">
        <f t="shared" ca="1" si="1"/>
        <v>0</v>
      </c>
      <c r="W14" s="2173"/>
      <c r="X14" s="2173"/>
      <c r="Y14" s="2173"/>
      <c r="Z14" s="2173"/>
      <c r="AA14" s="2173"/>
      <c r="AB14" s="2173"/>
      <c r="AC14" s="2174"/>
    </row>
    <row r="15" spans="1:39" ht="13.5" customHeight="1" thickBot="1">
      <c r="A15" s="3444"/>
      <c r="B15" s="3021" t="s">
        <v>1700</v>
      </c>
      <c r="C15" s="1048">
        <f>IF(C14="有",1.1,1)</f>
        <v>1</v>
      </c>
      <c r="D15" s="1048">
        <f>IF(D14="有",1.1,1)</f>
        <v>1</v>
      </c>
      <c r="E15" s="1048">
        <f>IF(E14="有",1.1,1)</f>
        <v>1</v>
      </c>
      <c r="F15" s="1048">
        <f>IF(F14="500米范围内",1.2,IF(F14="500-1000米",1.1,1))</f>
        <v>1</v>
      </c>
      <c r="G15" s="3013">
        <v>1</v>
      </c>
      <c r="H15" s="3013">
        <v>1</v>
      </c>
      <c r="I15" s="3013">
        <v>1</v>
      </c>
      <c r="J15" s="3014">
        <v>1</v>
      </c>
      <c r="K15" s="3017"/>
      <c r="L15" s="3017"/>
      <c r="M15" s="3017"/>
      <c r="N15" s="3017"/>
      <c r="O15" s="3017"/>
      <c r="P15" s="1396"/>
      <c r="Q15" s="2173"/>
      <c r="R15" s="2775">
        <v>14</v>
      </c>
      <c r="S15" s="2764"/>
      <c r="T15" s="2775">
        <f t="shared" ca="1" si="0"/>
        <v>0</v>
      </c>
      <c r="U15" s="2764"/>
      <c r="V15" s="2775">
        <f t="shared" ca="1" si="1"/>
        <v>0</v>
      </c>
      <c r="W15" s="2173"/>
      <c r="X15" s="2173"/>
      <c r="Y15" s="2173"/>
      <c r="Z15" s="2173"/>
      <c r="AA15" s="2173"/>
      <c r="AB15" s="2173"/>
      <c r="AC15" s="2174"/>
    </row>
    <row r="16" spans="1:39" ht="24.6" customHeight="1">
      <c r="A16" s="3441" t="s">
        <v>1838</v>
      </c>
      <c r="B16" s="1422" t="s">
        <v>950</v>
      </c>
      <c r="C16" s="1051">
        <f>ROUND(IF(F17="与级别开发程度一致",0,(G17-E17)/C17),0)</f>
        <v>0</v>
      </c>
      <c r="D16" s="3459" t="s">
        <v>954</v>
      </c>
      <c r="E16" s="3460"/>
      <c r="F16" s="3459" t="s">
        <v>951</v>
      </c>
      <c r="G16" s="3460"/>
      <c r="H16" s="1454" t="s">
        <v>3009</v>
      </c>
      <c r="I16" s="1454" t="s">
        <v>3010</v>
      </c>
      <c r="J16" s="1454" t="s">
        <v>3011</v>
      </c>
      <c r="K16" s="1454" t="s">
        <v>3012</v>
      </c>
      <c r="L16" s="1454" t="s">
        <v>3013</v>
      </c>
      <c r="M16" s="1454" t="s">
        <v>3070</v>
      </c>
      <c r="N16" s="1454" t="s">
        <v>3071</v>
      </c>
      <c r="O16" s="3026" t="s">
        <v>3014</v>
      </c>
      <c r="P16" s="1396"/>
      <c r="Q16" s="2176"/>
      <c r="R16" s="2775">
        <v>15</v>
      </c>
      <c r="S16" s="2764"/>
      <c r="T16" s="2775">
        <f t="shared" ca="1" si="0"/>
        <v>0</v>
      </c>
      <c r="U16" s="2764"/>
      <c r="V16" s="2775">
        <f t="shared" ca="1" si="1"/>
        <v>0</v>
      </c>
      <c r="W16" s="2176"/>
      <c r="X16" s="2176"/>
      <c r="Y16" s="2176"/>
      <c r="Z16" s="2176"/>
      <c r="AA16" s="2176"/>
      <c r="AB16" s="2176"/>
      <c r="AC16" s="2177"/>
    </row>
    <row r="17" spans="1:40" ht="24.75" thickBot="1">
      <c r="A17" s="3445"/>
      <c r="B17" s="3027" t="s">
        <v>953</v>
      </c>
      <c r="C17" s="3028">
        <f>SUMPRODUCT((修正!A2:A5=E2)*(修正!B1:M1=G2)*(修正!B2:M5))</f>
        <v>2.5</v>
      </c>
      <c r="D17" s="3029" t="str">
        <f>IF(OR(G2="八级",G2="九级",G2="十级",G2="十一级",G2="十二级"),"五通一平","七通一平")</f>
        <v>七通一平</v>
      </c>
      <c r="E17" s="3019">
        <f>SUMPRODUCT((修正!B1:M1=G2)*(修正!B15:M15))</f>
        <v>300</v>
      </c>
      <c r="F17" s="3020" t="s">
        <v>3072</v>
      </c>
      <c r="G17" s="3019">
        <f>SUM(H17:O17)</f>
        <v>300</v>
      </c>
      <c r="H17" s="1050">
        <f>SUMPRODUCT((七通一平=H16)*(修正!B1:M1=G2)*(修正!B6:M14))</f>
        <v>65</v>
      </c>
      <c r="I17" s="1050">
        <f>SUMPRODUCT((七通一平=I16)*(修正!B1:M1=G2)*(修正!B6:M14))</f>
        <v>55</v>
      </c>
      <c r="J17" s="1050">
        <f>SUMPRODUCT((七通一平=J16)*(修正!B1:M1=G2)*(修正!B6:M14))</f>
        <v>15</v>
      </c>
      <c r="K17" s="1050">
        <f>SUMPRODUCT((七通一平=K16)*(修正!B1:M1=G2)*(修正!B6:M14))</f>
        <v>25</v>
      </c>
      <c r="L17" s="1050">
        <f>SUMPRODUCT((七通一平=L16)*(修正!B1:M1=G2)*(修正!B6:M14))</f>
        <v>35</v>
      </c>
      <c r="M17" s="1050">
        <f>SUMPRODUCT((七通一平=M16)*(修正!B1:M1=G2)*(修正!B6:M14))</f>
        <v>50</v>
      </c>
      <c r="N17" s="1050">
        <f>SUMPRODUCT((七通一平=N16)*(修正!B1:M1=G2)*(修正!B6:M14))</f>
        <v>40</v>
      </c>
      <c r="O17" s="3030">
        <f>SUMPRODUCT((七通一平=O16)*(修正!B1:M1=G2)*(修正!B6:M14))</f>
        <v>15</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618" t="s">
        <v>1826</v>
      </c>
      <c r="B18" s="3022" t="s">
        <v>955</v>
      </c>
      <c r="C18" s="3023">
        <f>SUMIF(修正!C18:C39,E3,修正!E18:E39)</f>
        <v>1</v>
      </c>
      <c r="D18" s="3024"/>
      <c r="E18" s="3025"/>
      <c r="F18" s="3007"/>
      <c r="G18" s="3001"/>
      <c r="H18" s="3001"/>
      <c r="I18" s="3001"/>
      <c r="J18" s="3015"/>
      <c r="K18" s="3001"/>
      <c r="L18" s="3001"/>
      <c r="M18" s="3001"/>
      <c r="N18" s="3001"/>
      <c r="O18" s="3001"/>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1827</v>
      </c>
      <c r="B19" s="1457" t="s">
        <v>956</v>
      </c>
      <c r="C19" s="1052">
        <f>地价!Z7</f>
        <v>1.3895999999999999</v>
      </c>
      <c r="D19" s="1461" t="s">
        <v>957</v>
      </c>
      <c r="E19" s="1053">
        <v>41640</v>
      </c>
      <c r="F19" s="1461" t="s">
        <v>958</v>
      </c>
      <c r="G19" s="1054">
        <f>'数据-取费表'!B2</f>
        <v>44078</v>
      </c>
      <c r="H19" s="1462" t="s">
        <v>2987</v>
      </c>
      <c r="I19" s="2624" t="str">
        <f>IF(H19="季度增幅（自定义）",SUMIF(N21:N24,E2,O21:O24),"")</f>
        <v/>
      </c>
      <c r="J19" s="1458"/>
      <c r="K19" s="3001"/>
      <c r="L19" s="2874" t="s">
        <v>2836</v>
      </c>
      <c r="M19" s="2875">
        <f>ROUND(SUMIF(地价!B2:F2,E2,地价!B31:F31),0)</f>
        <v>258</v>
      </c>
      <c r="N19" s="2626" t="s">
        <v>1676</v>
      </c>
      <c r="O19" s="2625">
        <f>ROUNDDOWN(DATEDIF(E19,G19,"M")/3,0)</f>
        <v>26</v>
      </c>
      <c r="P19" s="1581"/>
      <c r="Q19" s="2763"/>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618" t="s">
        <v>1828</v>
      </c>
      <c r="B20" s="2619" t="s">
        <v>971</v>
      </c>
      <c r="C20" s="2620">
        <f ca="1">ROUND(POWER(1+G20,J20-I20)*(POWER(1+G20,I20)-1)/(POWER(1+G20,J20)-1),4)</f>
        <v>1</v>
      </c>
      <c r="D20" s="2621" t="s">
        <v>972</v>
      </c>
      <c r="E20" s="2923">
        <f ca="1">存贷款利率!I4/100</f>
        <v>4.3499999999999997E-2</v>
      </c>
      <c r="F20" s="2621" t="s">
        <v>973</v>
      </c>
      <c r="G20" s="2622">
        <f ca="1">SUMIF(M26:P26,E2,M28:P28)</f>
        <v>5.3999999999999999E-2</v>
      </c>
      <c r="H20" s="2621" t="s">
        <v>974</v>
      </c>
      <c r="I20" s="2617">
        <f>SUMIF('数据-取费表'!C6:C15,E2,'数据-取费表'!F6:F15)/COUNTIF('数据-取费表'!C6:C15,E2)</f>
        <v>40</v>
      </c>
      <c r="J20" s="2623">
        <f>IF(E2="住宅",70,IF(E2="商业",40,50))</f>
        <v>40</v>
      </c>
      <c r="K20" s="3003"/>
      <c r="L20" s="2876" t="s">
        <v>2837</v>
      </c>
      <c r="M20" s="3010">
        <f>ROUND(SUMPRODUCT((地价!A4:A31=YEAR(G19)&amp;"-"&amp;ROUNDUP(MONTH(G19)/3,0))*(地价!B2:F2=E2)*(地价!B4:F31)),0)</f>
        <v>347</v>
      </c>
      <c r="N20" s="2629" t="s">
        <v>2641</v>
      </c>
      <c r="O20" s="2627" t="s">
        <v>2640</v>
      </c>
      <c r="P20" s="2628" t="s">
        <v>2646</v>
      </c>
      <c r="Q20" s="2763"/>
      <c r="R20" s="2179"/>
      <c r="S20" s="2179"/>
      <c r="T20" s="2179"/>
      <c r="U20" s="2179"/>
      <c r="V20" s="2179"/>
      <c r="W20" s="2179"/>
      <c r="X20" s="2179"/>
      <c r="Y20" s="1459"/>
      <c r="Z20" s="1459"/>
      <c r="AA20" s="1459"/>
      <c r="AB20" s="1459"/>
      <c r="AC20" s="1459"/>
      <c r="AD20" s="1459"/>
    </row>
    <row r="21" spans="1:40" s="1416" customFormat="1" ht="14.25">
      <c r="A21" s="1626" t="s">
        <v>1837</v>
      </c>
      <c r="B21" s="1467" t="s">
        <v>3015</v>
      </c>
      <c r="C21" s="1153">
        <f>IF(B21="容积率修正",IF(G3&lt;=10,D22,J22),C23)</f>
        <v>1.1089</v>
      </c>
      <c r="D21" s="1468"/>
      <c r="E21" s="1468"/>
      <c r="F21" s="1468"/>
      <c r="G21" s="1468"/>
      <c r="H21" s="1468"/>
      <c r="I21" s="1468"/>
      <c r="J21" s="1469"/>
      <c r="K21" s="3001"/>
      <c r="L21" s="1468"/>
      <c r="M21" s="1468"/>
      <c r="N21" s="1465" t="s">
        <v>975</v>
      </c>
      <c r="O21" s="1528"/>
      <c r="P21" s="2616">
        <f>SUMPRODUCT((地价!A3:A31=YEAR(G19)&amp;"-"&amp;ROUNDUP(MONTH(G19)/3,0))*(地价!AD2:AH2=N21)*(地价!AD3:AH31))</f>
        <v>1.2E-2</v>
      </c>
      <c r="Q21" s="2763"/>
      <c r="R21" s="2179"/>
      <c r="S21" s="2179"/>
      <c r="T21" s="2179"/>
      <c r="U21" s="2179"/>
      <c r="V21" s="2179"/>
      <c r="W21" s="2179"/>
      <c r="X21" s="2179"/>
      <c r="Y21" s="1398"/>
      <c r="Z21" s="1398"/>
      <c r="AA21" s="1398"/>
      <c r="AB21" s="1398"/>
      <c r="AC21" s="1459"/>
      <c r="AD21" s="1459"/>
    </row>
    <row r="22" spans="1:40" s="1416" customFormat="1" ht="14.25">
      <c r="A22" s="1627" t="s">
        <v>1870</v>
      </c>
      <c r="B22" s="1470" t="s">
        <v>976</v>
      </c>
      <c r="C22" s="1055" t="s">
        <v>1702</v>
      </c>
      <c r="D22" s="1055">
        <f>IF(E22=G22,F22,IF(G3&lt;=10,ROUND(F22+(H22-F22)*(G3-E22)/(G22-E22),4),"——"))</f>
        <v>1.1089</v>
      </c>
      <c r="E22" s="1038">
        <f>ROUNDDOWN(G3,1)</f>
        <v>1.9</v>
      </c>
      <c r="F22" s="105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1.1089</v>
      </c>
      <c r="G22" s="1038">
        <f>ROUNDUP(G3,1)</f>
        <v>1.9</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1.1089</v>
      </c>
      <c r="I22" s="1055" t="s">
        <v>977</v>
      </c>
      <c r="J22" s="1055" t="str">
        <f>IF(G3&gt;10,D113,"——")</f>
        <v>——</v>
      </c>
      <c r="K22" s="3004"/>
      <c r="L22" s="1468"/>
      <c r="M22" s="1468"/>
      <c r="N22" s="1465" t="s">
        <v>978</v>
      </c>
      <c r="O22" s="1528"/>
      <c r="P22" s="2616">
        <f>SUMPRODUCT((地价!A3:A31=YEAR(G19)&amp;"-"&amp;ROUNDUP(MONTH(G19)/3,0))*(地价!AD2:AH2=N22)*(地价!AD3:AH31))</f>
        <v>1.2E-2</v>
      </c>
      <c r="Q22" s="2763"/>
      <c r="R22" s="2179"/>
      <c r="S22" s="2179"/>
      <c r="T22" s="2179"/>
      <c r="U22" s="2179"/>
      <c r="V22" s="2179"/>
      <c r="W22" s="2179"/>
      <c r="X22" s="2179"/>
      <c r="Y22" s="1459"/>
      <c r="Z22" s="1459"/>
      <c r="AA22" s="1459"/>
      <c r="AB22" s="1459"/>
      <c r="AC22" s="1459"/>
      <c r="AD22" s="1459"/>
    </row>
    <row r="23" spans="1:40" ht="15.75" thickBot="1">
      <c r="A23" s="1627" t="s">
        <v>1871</v>
      </c>
      <c r="B23" s="1470" t="s">
        <v>979</v>
      </c>
      <c r="C23" s="1056">
        <f>ROUND(IF(G3&gt;1,IF(I3&lt;7,SUMPRODUCT((B93:B98=I3)*(C92:N92=G2)*(C93:N98)),SUMIF(C92:N92,G2,C100:N100)),IF(I3&lt;7,SUMPRODUCT((B102:B107=I3)*(C92:N92=G2)*(C102:N107)),SUMIF(C92:N92,G2,C109:N109))),4)</f>
        <v>1.8629</v>
      </c>
      <c r="D23" s="1516"/>
      <c r="E23" s="1516"/>
      <c r="F23" s="1517"/>
      <c r="G23" s="1518"/>
      <c r="H23" s="1519"/>
      <c r="I23" s="1520"/>
      <c r="J23" s="1520"/>
      <c r="K23" s="3005"/>
      <c r="L23" s="1396"/>
      <c r="M23" s="1396"/>
      <c r="N23" s="1465" t="s">
        <v>923</v>
      </c>
      <c r="O23" s="1528"/>
      <c r="P23" s="2616">
        <f>SUMPRODUCT((地价!A3:A31=YEAR(G19)&amp;"-"&amp;ROUNDUP(MONTH(G19)/3,0))*(地价!AD2:AH2=N23)*(地价!AD3:AH31))</f>
        <v>1.9699999999999999E-2</v>
      </c>
      <c r="Q23" s="2763"/>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7">
        <f>SUMIF(A44:A87,E2,B44:B87)</f>
        <v>1.0265</v>
      </c>
      <c r="D24" s="1521"/>
      <c r="E24" s="1522"/>
      <c r="F24" s="1522"/>
      <c r="G24" s="1522"/>
      <c r="H24" s="1522"/>
      <c r="I24" s="1522"/>
      <c r="J24" s="1522"/>
      <c r="K24" s="3005"/>
      <c r="L24" s="1468"/>
      <c r="M24" s="1468"/>
      <c r="N24" s="1465" t="s">
        <v>981</v>
      </c>
      <c r="O24" s="3009"/>
      <c r="P24" s="2616">
        <f>SUMPRODUCT((地价!A3:A31=YEAR(G19)&amp;"-"&amp;ROUNDUP(MONTH(G19)/3,0))*(地价!AD2:AH2=N24)*(地价!AD3:AH31))</f>
        <v>1.2699999999999999E-2</v>
      </c>
      <c r="Q24" s="2763"/>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011" t="s">
        <v>2644</v>
      </c>
      <c r="O25" s="3012"/>
      <c r="P25" s="2410">
        <f>SUMPRODUCT((地价!A3:A31=YEAR(G19)&amp;"-"&amp;ROUNDUP(MONTH(G19)/3,0))*(地价!AD2:AH2=N25)*(地价!AD3:AH31))</f>
        <v>1.7899999999999999E-2</v>
      </c>
      <c r="Q25" s="2763"/>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986</v>
      </c>
      <c r="C26" s="1058">
        <f ca="1">E29+SUM(E33:E39)</f>
        <v>262062</v>
      </c>
      <c r="D26" s="1476"/>
      <c r="E26" s="1451"/>
      <c r="F26" s="1477"/>
      <c r="G26" s="1451"/>
      <c r="H26" s="1451"/>
      <c r="I26" s="1451"/>
      <c r="J26" s="1478"/>
      <c r="K26" s="1451"/>
      <c r="L26" s="1582" t="s">
        <v>898</v>
      </c>
      <c r="M26" s="1423" t="s">
        <v>983</v>
      </c>
      <c r="N26" s="1423" t="s">
        <v>984</v>
      </c>
      <c r="O26" s="1423" t="s">
        <v>902</v>
      </c>
      <c r="P26" s="1463" t="s">
        <v>985</v>
      </c>
      <c r="Q26" s="2763"/>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59">
        <f ca="1">E30+SUM(I33:I39)</f>
        <v>65527</v>
      </c>
      <c r="D27" s="1480"/>
      <c r="E27" s="1481"/>
      <c r="F27" s="1482"/>
      <c r="G27" s="1481"/>
      <c r="H27" s="1481"/>
      <c r="I27" s="1481"/>
      <c r="J27" s="1483"/>
      <c r="K27" s="1451"/>
      <c r="L27" s="1455" t="s">
        <v>987</v>
      </c>
      <c r="M27" s="1046">
        <v>0.25</v>
      </c>
      <c r="N27" s="1046">
        <v>0.2</v>
      </c>
      <c r="O27" s="1046">
        <v>0.15</v>
      </c>
      <c r="P27" s="1525">
        <v>0.1</v>
      </c>
      <c r="Q27" s="2179"/>
      <c r="R27" s="2763"/>
      <c r="S27" s="2763"/>
      <c r="T27" s="2763"/>
      <c r="U27" s="2763"/>
      <c r="V27" s="2763"/>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763"/>
      <c r="S28" s="2763"/>
      <c r="T28" s="2763"/>
      <c r="U28" s="2763"/>
      <c r="V28" s="2763"/>
      <c r="W28" s="2179"/>
      <c r="X28" s="2179"/>
      <c r="Y28" s="2179"/>
      <c r="Z28" s="2179"/>
      <c r="AA28" s="2179"/>
      <c r="AB28" s="2179"/>
      <c r="AC28" s="2179"/>
      <c r="AD28" s="1459"/>
      <c r="AE28" s="1459"/>
      <c r="AF28" s="1459"/>
      <c r="AG28" s="1459"/>
    </row>
    <row r="29" spans="1:40" ht="32.25" customHeight="1">
      <c r="A29" s="1488"/>
      <c r="B29" s="1489" t="s">
        <v>993</v>
      </c>
      <c r="C29" s="1058">
        <f ca="1">ROUND(C5*C18*C19*C20*C21*C24,0)</f>
        <v>11262</v>
      </c>
      <c r="D29" s="1490">
        <f>'数据-汇总表'!F20</f>
        <v>232696</v>
      </c>
      <c r="E29" s="1833">
        <f ca="1">ROUND(C29*D29/10000,0)</f>
        <v>262062</v>
      </c>
      <c r="F29" s="1491" t="s">
        <v>1701</v>
      </c>
      <c r="G29" s="1492"/>
      <c r="H29" s="1492"/>
      <c r="I29" s="1492"/>
      <c r="J29" s="1493"/>
      <c r="K29" s="3006"/>
      <c r="L29" s="3006"/>
      <c r="M29" s="3006"/>
      <c r="N29" s="3006"/>
      <c r="O29" s="3006"/>
      <c r="P29" s="1396"/>
      <c r="Q29" s="2179"/>
      <c r="R29" s="2179"/>
      <c r="S29" s="2179"/>
      <c r="T29" s="2179"/>
      <c r="U29" s="2179"/>
      <c r="V29" s="2179"/>
      <c r="W29" s="2763"/>
      <c r="X29" s="2763"/>
      <c r="Y29" s="2763"/>
      <c r="Z29" s="2763"/>
      <c r="AA29" s="2763"/>
      <c r="AB29" s="2179"/>
      <c r="AC29" s="2179"/>
      <c r="AD29" s="2179"/>
      <c r="AE29" s="2179"/>
      <c r="AF29" s="2179"/>
      <c r="AG29" s="2179"/>
      <c r="AH29" s="2179"/>
      <c r="AJ29" s="1398"/>
      <c r="AK29" s="1398"/>
      <c r="AL29" s="1398"/>
      <c r="AM29" s="1397"/>
      <c r="AN29" s="1397"/>
    </row>
    <row r="30" spans="1:40" ht="24.75" thickBot="1">
      <c r="A30" s="1494"/>
      <c r="B30" s="1495" t="s">
        <v>994</v>
      </c>
      <c r="C30" s="1050">
        <f ca="1">ROUND(IF(E2="工业",C29*M39,C29*M38),0)</f>
        <v>2816</v>
      </c>
      <c r="D30" s="1496">
        <f>D29</f>
        <v>232696</v>
      </c>
      <c r="E30" s="1833">
        <f ca="1">ROUND(C30*D30/10000,0)</f>
        <v>65527</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007"/>
      <c r="L32" s="3007"/>
      <c r="M32" s="3007"/>
      <c r="N32" s="3007"/>
      <c r="O32" s="3007"/>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48" t="s">
        <v>2957</v>
      </c>
      <c r="B33" s="1510" t="s">
        <v>999</v>
      </c>
      <c r="C33" s="1058">
        <f ca="1">ROUND(D5*C19*C20*C24*F33,0)</f>
        <v>7109</v>
      </c>
      <c r="D33" s="1523"/>
      <c r="E33" s="1047">
        <f ca="1">ROUND(C33*D33/10000,0)</f>
        <v>0</v>
      </c>
      <c r="F33" s="1047">
        <f>SUMIF(修正!A45:A56,G2,修正!B45:B56)</f>
        <v>0.7</v>
      </c>
      <c r="G33" s="1047">
        <f t="shared" ref="G33" ca="1" si="6">ROUND(IF(E2="工业",C33*$M$39,C33*$M$38),0)</f>
        <v>1777</v>
      </c>
      <c r="H33" s="1047">
        <f>D33</f>
        <v>0</v>
      </c>
      <c r="I33" s="1047">
        <f ca="1">ROUND(G33*H33/10000,0)</f>
        <v>0</v>
      </c>
      <c r="J33" s="1511"/>
      <c r="K33" s="3008"/>
      <c r="L33" s="3008"/>
      <c r="M33" s="3008"/>
      <c r="N33" s="3008"/>
      <c r="O33" s="3008"/>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49"/>
      <c r="B34" s="1440" t="s">
        <v>1000</v>
      </c>
      <c r="C34" s="1058">
        <f ca="1">ROUND(D5*C19*C20*C24*F34,0)</f>
        <v>4062</v>
      </c>
      <c r="D34" s="1523"/>
      <c r="E34" s="1047">
        <f t="shared" ref="E34:E39" ca="1" si="7">ROUND(C34*D34/10000,0)</f>
        <v>0</v>
      </c>
      <c r="F34" s="1047">
        <f>SUMIF(修正!A45:A56,G2,修正!C45:C56)</f>
        <v>0.4</v>
      </c>
      <c r="G34" s="1047">
        <f ca="1">ROUND(IF(E2="工业",C34*$M$39,C34*$M$38),0)</f>
        <v>1016</v>
      </c>
      <c r="H34" s="1047">
        <f t="shared" ref="H34:H39" si="8">D34</f>
        <v>0</v>
      </c>
      <c r="I34" s="1047">
        <f t="shared" ref="I34:I39" ca="1" si="9">ROUND(G34*H34/10000,0)</f>
        <v>0</v>
      </c>
      <c r="J34" s="1511"/>
      <c r="K34" s="3008"/>
      <c r="L34" s="3008"/>
      <c r="M34" s="3008"/>
      <c r="N34" s="3008"/>
      <c r="O34" s="3008"/>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49"/>
      <c r="B35" s="1440" t="s">
        <v>1001</v>
      </c>
      <c r="C35" s="1058">
        <f ca="1">ROUND(D5*C19*C20*C24*F35,0)</f>
        <v>2844</v>
      </c>
      <c r="D35" s="1523"/>
      <c r="E35" s="1047">
        <f t="shared" ca="1" si="7"/>
        <v>0</v>
      </c>
      <c r="F35" s="1047">
        <f>SUMIF(修正!A45:A56,G2,修正!D45:D56)</f>
        <v>0.28000000000000003</v>
      </c>
      <c r="G35" s="1047">
        <f ca="1">ROUND(IF(E2="工业",C35*$M$39,C35*$M$38),0)</f>
        <v>711</v>
      </c>
      <c r="H35" s="1047">
        <f t="shared" si="8"/>
        <v>0</v>
      </c>
      <c r="I35" s="1047">
        <f t="shared" ca="1" si="9"/>
        <v>0</v>
      </c>
      <c r="J35" s="1511"/>
      <c r="K35" s="3008"/>
      <c r="L35" s="3008"/>
      <c r="M35" s="3008"/>
      <c r="N35" s="3008"/>
      <c r="O35" s="3008"/>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50"/>
      <c r="B36" s="1440" t="s">
        <v>1002</v>
      </c>
      <c r="C36" s="1058">
        <f ca="1">ROUND(D5*C19*C20*C24*F36,0)</f>
        <v>2539</v>
      </c>
      <c r="D36" s="1523"/>
      <c r="E36" s="1047">
        <f t="shared" ca="1" si="7"/>
        <v>0</v>
      </c>
      <c r="F36" s="1047">
        <f>SUMIF(修正!A45:A56,G2,修正!E45:E56)</f>
        <v>0.25</v>
      </c>
      <c r="G36" s="1047">
        <f ca="1">ROUND(IF(E2="工业",C36*$M$39,C36*$M$38),0)</f>
        <v>635</v>
      </c>
      <c r="H36" s="1047">
        <f t="shared" si="8"/>
        <v>0</v>
      </c>
      <c r="I36" s="1047">
        <f t="shared" ca="1" si="9"/>
        <v>0</v>
      </c>
      <c r="J36" s="1511"/>
      <c r="K36" s="3008"/>
      <c r="L36" s="3008"/>
      <c r="M36" s="3008"/>
      <c r="N36" s="3008"/>
      <c r="O36" s="3008"/>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1003</v>
      </c>
      <c r="C37" s="1047">
        <f ca="1">ROUND(D5*C19*C20*C24*F37,0)</f>
        <v>2539</v>
      </c>
      <c r="D37" s="1523"/>
      <c r="E37" s="1047">
        <f t="shared" ca="1" si="7"/>
        <v>0</v>
      </c>
      <c r="F37" s="1058">
        <f>SUMIF(修正!A45:A56,G2,修正!F45:F56)</f>
        <v>0.25</v>
      </c>
      <c r="G37" s="1047">
        <f ca="1">ROUND(IF(E2="工业",C37*$M$39,C37*$M$38),0)</f>
        <v>635</v>
      </c>
      <c r="H37" s="1047">
        <f t="shared" si="8"/>
        <v>0</v>
      </c>
      <c r="I37" s="1047">
        <f t="shared" ca="1" si="9"/>
        <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1004</v>
      </c>
      <c r="C38" s="1047">
        <f ca="1">ROUND(D5*C19*C41*C24*F38,0)</f>
        <v>0</v>
      </c>
      <c r="D38" s="1523"/>
      <c r="E38" s="1047">
        <f t="shared" ca="1" si="7"/>
        <v>0</v>
      </c>
      <c r="F38" s="1058">
        <f>SUMIF(修正!A45:A56,G2,修正!G45:G56)</f>
        <v>0.25</v>
      </c>
      <c r="G38" s="1047">
        <f ca="1">ROUND(IF(E2="工业",C38*$M$39,C38*$M$38),0)</f>
        <v>0</v>
      </c>
      <c r="H38" s="1047">
        <f t="shared" si="8"/>
        <v>0</v>
      </c>
      <c r="I38" s="1047">
        <f t="shared" ca="1" si="9"/>
        <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1005</v>
      </c>
      <c r="C39" s="1050">
        <f ca="1">ROUND(D5*C19*C41*C24*F39,0)</f>
        <v>0</v>
      </c>
      <c r="D39" s="1524"/>
      <c r="E39" s="1050">
        <f t="shared" ca="1" si="7"/>
        <v>0</v>
      </c>
      <c r="F39" s="1060">
        <f>SUMIF(修正!A45:A56,G2,修正!H45:H56)</f>
        <v>0.2</v>
      </c>
      <c r="G39" s="1050">
        <f ca="1">ROUND(IF(E2="工业",C39*$M$39,C39*$M$38),0)</f>
        <v>0</v>
      </c>
      <c r="H39" s="1050">
        <f t="shared" si="8"/>
        <v>0</v>
      </c>
      <c r="I39" s="1050">
        <f t="shared" ca="1" si="9"/>
        <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2999" t="s">
        <v>2981</v>
      </c>
      <c r="C41" s="838">
        <f ca="1">ROUND(POWER(1+E41,H41-G41)*(POWER(1+E41,G41)-1)/(POWER(1+E41,H41)-1),4)</f>
        <v>0</v>
      </c>
      <c r="D41" s="377" t="s">
        <v>2979</v>
      </c>
      <c r="E41" s="2998">
        <f ca="1">G20</f>
        <v>5.3999999999999999E-2</v>
      </c>
      <c r="F41" s="377" t="s">
        <v>2980</v>
      </c>
      <c r="G41" s="395"/>
      <c r="H41" s="377">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975</v>
      </c>
      <c r="B45" s="2388">
        <f>1+E47</f>
        <v>1.0265</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2" t="s">
        <v>1008</v>
      </c>
      <c r="B46" s="2371" t="s">
        <v>1009</v>
      </c>
      <c r="C46" s="2393" t="s">
        <v>1010</v>
      </c>
      <c r="D46" s="2394" t="s">
        <v>1011</v>
      </c>
      <c r="E46" s="2395" t="s">
        <v>1013</v>
      </c>
      <c r="F46" s="2396" t="s">
        <v>2248</v>
      </c>
      <c r="G46" s="2394" t="s">
        <v>1014</v>
      </c>
      <c r="H46" s="2377" t="s">
        <v>2415</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2" t="s">
        <v>1020</v>
      </c>
      <c r="B47" s="2374" t="str">
        <f>估价对象房地状况!C16</f>
        <v>估价对象位于XX商圈，周边商业氛围成熟，人流量大，商业繁华度好</v>
      </c>
      <c r="C47" s="1049" t="s">
        <v>3016</v>
      </c>
      <c r="D47" s="2380">
        <f t="shared" ref="D47:D55" si="10">SUMIF($J$46:$N$46,C47,J47:N47)</f>
        <v>0</v>
      </c>
      <c r="E47" s="2399">
        <f>ROUND(SUM(D47:D55),4)</f>
        <v>2.6499999999999999E-2</v>
      </c>
      <c r="F47" s="2400">
        <f>IF(E2="商业",SUMIF(L1:L12,G2,N1:N12),"——")</f>
        <v>0.13</v>
      </c>
      <c r="G47" s="2378">
        <f>H47</f>
        <v>2.1399999999999999E-2</v>
      </c>
      <c r="H47" s="2424">
        <f t="shared" ref="H47:H55" si="11">IFERROR(ROUNDDOWN(($F$47*I47/2),4),"——")</f>
        <v>2.1399999999999999E-2</v>
      </c>
      <c r="I47" s="2398">
        <v>0.33</v>
      </c>
      <c r="J47" s="2401">
        <f t="shared" ref="J47:J55" si="12">K47+$G47</f>
        <v>4.2799999999999998E-2</v>
      </c>
      <c r="K47" s="2401">
        <f t="shared" ref="K47:K55" si="13">$L47+$G47</f>
        <v>2.1399999999999999E-2</v>
      </c>
      <c r="L47" s="2401">
        <v>0</v>
      </c>
      <c r="M47" s="2401">
        <f t="shared" ref="M47:N55" si="14">L47-$G47</f>
        <v>-2.1399999999999999E-2</v>
      </c>
      <c r="N47" s="2401">
        <f t="shared" si="14"/>
        <v>-4.2799999999999998E-2</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c r="A48" s="1062" t="s">
        <v>1021</v>
      </c>
      <c r="B48" s="2371" t="str">
        <f>估价对象房地状况!C18</f>
        <v>估价对象周边道路状况、公共交通通达情况、停车便捷程度，综合评价交通便捷度较好</v>
      </c>
      <c r="C48" s="1049" t="s">
        <v>3016</v>
      </c>
      <c r="D48" s="2380">
        <f t="shared" si="10"/>
        <v>0</v>
      </c>
      <c r="E48" s="2402"/>
      <c r="F48" s="2400"/>
      <c r="G48" s="2378">
        <f t="shared" ref="G48:G55" si="15">H48</f>
        <v>1.6199999999999999E-2</v>
      </c>
      <c r="H48" s="2424">
        <f t="shared" si="11"/>
        <v>1.6199999999999999E-2</v>
      </c>
      <c r="I48" s="2398">
        <v>0.25</v>
      </c>
      <c r="J48" s="2401">
        <f t="shared" si="12"/>
        <v>3.2399999999999998E-2</v>
      </c>
      <c r="K48" s="2401">
        <f t="shared" si="13"/>
        <v>1.6199999999999999E-2</v>
      </c>
      <c r="L48" s="2401">
        <v>0</v>
      </c>
      <c r="M48" s="2401">
        <f t="shared" si="14"/>
        <v>-1.6199999999999999E-2</v>
      </c>
      <c r="N48" s="2401">
        <f t="shared" si="14"/>
        <v>-3.2399999999999998E-2</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2" t="s">
        <v>1022</v>
      </c>
      <c r="B49" s="2371">
        <f>估价对象房地状况!C19</f>
        <v>0</v>
      </c>
      <c r="C49" s="1049" t="s">
        <v>3017</v>
      </c>
      <c r="D49" s="2380">
        <f t="shared" si="10"/>
        <v>3.2000000000000002E-3</v>
      </c>
      <c r="E49" s="2402"/>
      <c r="F49" s="2400"/>
      <c r="G49" s="2378">
        <f t="shared" si="15"/>
        <v>3.2000000000000002E-3</v>
      </c>
      <c r="H49" s="2424">
        <f t="shared" si="11"/>
        <v>3.2000000000000002E-3</v>
      </c>
      <c r="I49" s="2398">
        <v>0.05</v>
      </c>
      <c r="J49" s="2401">
        <f t="shared" si="12"/>
        <v>6.4000000000000003E-3</v>
      </c>
      <c r="K49" s="2401">
        <f t="shared" si="13"/>
        <v>3.2000000000000002E-3</v>
      </c>
      <c r="L49" s="2401">
        <v>0</v>
      </c>
      <c r="M49" s="2401">
        <f t="shared" si="14"/>
        <v>-3.2000000000000002E-3</v>
      </c>
      <c r="N49" s="2401">
        <f t="shared" si="14"/>
        <v>-6.4000000000000003E-3</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2" t="s">
        <v>1023</v>
      </c>
      <c r="B50" s="2925" t="s">
        <v>2934</v>
      </c>
      <c r="C50" s="1049" t="s">
        <v>3017</v>
      </c>
      <c r="D50" s="2380">
        <f t="shared" si="10"/>
        <v>3.2000000000000002E-3</v>
      </c>
      <c r="E50" s="2402"/>
      <c r="F50" s="2400"/>
      <c r="G50" s="2378">
        <f t="shared" si="15"/>
        <v>3.2000000000000002E-3</v>
      </c>
      <c r="H50" s="2424">
        <f t="shared" si="11"/>
        <v>3.2000000000000002E-3</v>
      </c>
      <c r="I50" s="2398">
        <v>0.05</v>
      </c>
      <c r="J50" s="2401">
        <f t="shared" si="12"/>
        <v>6.4000000000000003E-3</v>
      </c>
      <c r="K50" s="2401">
        <f t="shared" si="13"/>
        <v>3.2000000000000002E-3</v>
      </c>
      <c r="L50" s="2401">
        <v>0</v>
      </c>
      <c r="M50" s="2401">
        <f t="shared" si="14"/>
        <v>-3.2000000000000002E-3</v>
      </c>
      <c r="N50" s="2401">
        <f t="shared" si="14"/>
        <v>-6.4000000000000003E-3</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2" t="s">
        <v>1024</v>
      </c>
      <c r="B51" s="2371">
        <f>估价对象房地状况!C24</f>
        <v>0</v>
      </c>
      <c r="C51" s="1049" t="s">
        <v>3017</v>
      </c>
      <c r="D51" s="2380">
        <f t="shared" si="10"/>
        <v>5.1999999999999998E-3</v>
      </c>
      <c r="E51" s="2402"/>
      <c r="F51" s="2400"/>
      <c r="G51" s="2378">
        <f t="shared" si="15"/>
        <v>5.1999999999999998E-3</v>
      </c>
      <c r="H51" s="2424">
        <f t="shared" si="11"/>
        <v>5.1999999999999998E-3</v>
      </c>
      <c r="I51" s="2398">
        <v>0.08</v>
      </c>
      <c r="J51" s="2401">
        <f t="shared" si="12"/>
        <v>1.04E-2</v>
      </c>
      <c r="K51" s="2401">
        <f t="shared" si="13"/>
        <v>5.1999999999999998E-3</v>
      </c>
      <c r="L51" s="2401">
        <v>0</v>
      </c>
      <c r="M51" s="2401">
        <f t="shared" si="14"/>
        <v>-5.1999999999999998E-3</v>
      </c>
      <c r="N51" s="2401">
        <f t="shared" si="14"/>
        <v>-1.04E-2</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2" t="s">
        <v>1025</v>
      </c>
      <c r="B52" s="2924" t="s">
        <v>2933</v>
      </c>
      <c r="C52" s="1049" t="s">
        <v>3017</v>
      </c>
      <c r="D52" s="2380">
        <f t="shared" si="10"/>
        <v>1.9E-3</v>
      </c>
      <c r="E52" s="2402"/>
      <c r="F52" s="2400"/>
      <c r="G52" s="2378">
        <f t="shared" si="15"/>
        <v>1.9E-3</v>
      </c>
      <c r="H52" s="2424">
        <f t="shared" si="11"/>
        <v>1.9E-3</v>
      </c>
      <c r="I52" s="2398">
        <v>0.03</v>
      </c>
      <c r="J52" s="2401">
        <f t="shared" si="12"/>
        <v>3.8E-3</v>
      </c>
      <c r="K52" s="2401">
        <f t="shared" si="13"/>
        <v>1.9E-3</v>
      </c>
      <c r="L52" s="2401">
        <v>0</v>
      </c>
      <c r="M52" s="2401">
        <f t="shared" si="14"/>
        <v>-1.9E-3</v>
      </c>
      <c r="N52" s="2401">
        <f t="shared" si="14"/>
        <v>-3.8E-3</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1026</v>
      </c>
      <c r="B53" s="2372" t="str">
        <f>估价对象房地状况!C21</f>
        <v>估价对象所在区域公共配套设施齐备情况</v>
      </c>
      <c r="C53" s="1049" t="s">
        <v>3016</v>
      </c>
      <c r="D53" s="2380">
        <f t="shared" si="10"/>
        <v>0</v>
      </c>
      <c r="E53" s="2402"/>
      <c r="F53" s="2400"/>
      <c r="G53" s="2378">
        <f t="shared" si="15"/>
        <v>3.2000000000000002E-3</v>
      </c>
      <c r="H53" s="2424">
        <f t="shared" si="11"/>
        <v>3.2000000000000002E-3</v>
      </c>
      <c r="I53" s="2398">
        <v>0.05</v>
      </c>
      <c r="J53" s="2401">
        <f t="shared" si="12"/>
        <v>6.4000000000000003E-3</v>
      </c>
      <c r="K53" s="2401">
        <f t="shared" si="13"/>
        <v>3.2000000000000002E-3</v>
      </c>
      <c r="L53" s="2401">
        <v>0</v>
      </c>
      <c r="M53" s="2401">
        <f t="shared" si="14"/>
        <v>-3.2000000000000002E-3</v>
      </c>
      <c r="N53" s="2401">
        <f t="shared" si="14"/>
        <v>-6.4000000000000003E-3</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t="str">
        <f>估价对象房地状况!C22</f>
        <v>估价对象所在区域基础设施水平</v>
      </c>
      <c r="C54" s="1049" t="s">
        <v>3074</v>
      </c>
      <c r="D54" s="2380">
        <f t="shared" si="10"/>
        <v>1.2999999999999999E-2</v>
      </c>
      <c r="E54" s="2402"/>
      <c r="F54" s="2400"/>
      <c r="G54" s="2378">
        <f t="shared" si="15"/>
        <v>6.4999999999999997E-3</v>
      </c>
      <c r="H54" s="2424">
        <f t="shared" si="11"/>
        <v>6.4999999999999997E-3</v>
      </c>
      <c r="I54" s="2398">
        <v>0.1</v>
      </c>
      <c r="J54" s="2401">
        <f t="shared" si="12"/>
        <v>1.2999999999999999E-2</v>
      </c>
      <c r="K54" s="2401">
        <f t="shared" si="13"/>
        <v>6.4999999999999997E-3</v>
      </c>
      <c r="L54" s="2401">
        <v>0</v>
      </c>
      <c r="M54" s="2401">
        <f t="shared" si="14"/>
        <v>-6.4999999999999997E-3</v>
      </c>
      <c r="N54" s="2401">
        <f t="shared" si="14"/>
        <v>-1.2999999999999999E-2</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1028</v>
      </c>
      <c r="B55" s="2375" t="str">
        <f>估价对象房地状况!C20</f>
        <v>区域自然环境：；人文环境；综合评价环境状况一般</v>
      </c>
      <c r="C55" s="1049" t="s">
        <v>3016</v>
      </c>
      <c r="D55" s="2380">
        <f t="shared" si="10"/>
        <v>0</v>
      </c>
      <c r="E55" s="2406"/>
      <c r="F55" s="2400"/>
      <c r="G55" s="2378">
        <f t="shared" si="15"/>
        <v>3.8999999999999998E-3</v>
      </c>
      <c r="H55" s="2424">
        <f t="shared" si="11"/>
        <v>3.8999999999999998E-3</v>
      </c>
      <c r="I55" s="2405">
        <v>0.06</v>
      </c>
      <c r="J55" s="2401">
        <f t="shared" si="12"/>
        <v>7.7999999999999996E-3</v>
      </c>
      <c r="K55" s="2401">
        <f t="shared" si="13"/>
        <v>3.8999999999999998E-3</v>
      </c>
      <c r="L55" s="2401">
        <v>0</v>
      </c>
      <c r="M55" s="2401">
        <f t="shared" si="14"/>
        <v>-3.8999999999999998E-3</v>
      </c>
      <c r="N55" s="2401">
        <f t="shared" si="14"/>
        <v>-7.7999999999999996E-3</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hidden="1">
      <c r="A56" s="2387" t="s">
        <v>984</v>
      </c>
      <c r="B56" s="2388" t="e">
        <f>1+E58</f>
        <v>#VALUE!</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hidden="1">
      <c r="A57" s="1062" t="s">
        <v>1008</v>
      </c>
      <c r="B57" s="2371"/>
      <c r="C57" s="2393" t="s">
        <v>1010</v>
      </c>
      <c r="D57" s="2394" t="s">
        <v>1011</v>
      </c>
      <c r="E57" s="2395" t="s">
        <v>1013</v>
      </c>
      <c r="F57" s="2396" t="s">
        <v>2248</v>
      </c>
      <c r="G57" s="2394" t="s">
        <v>1014</v>
      </c>
      <c r="H57" s="2377" t="s">
        <v>2415</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hidden="1">
      <c r="A58" s="1062" t="s">
        <v>1030</v>
      </c>
      <c r="B58" s="2374" t="str">
        <f>估价对象房地状况!C17</f>
        <v>估价对象位于XX商圈，周边办公楼项目较多，入驻率高，办公集聚程度较好</v>
      </c>
      <c r="C58" s="1049" t="s">
        <v>3016</v>
      </c>
      <c r="D58" s="2380">
        <f t="shared" ref="D58:D66" si="16">SUMIF($J$57:$N$57,C58,J58:N58)</f>
        <v>0</v>
      </c>
      <c r="E58" s="2399" t="e">
        <f>ROUND(SUM(D58:D66),4)</f>
        <v>#VALUE!</v>
      </c>
      <c r="F58" s="2400" t="str">
        <f>IF(E2="办公",SUMIF(L1:L12,G2,N1:N12),"——")</f>
        <v>——</v>
      </c>
      <c r="G58" s="2378" t="str">
        <f>H58</f>
        <v>——</v>
      </c>
      <c r="H58" s="2424" t="str">
        <f>IFERROR(ROUNDDOWN($F$58*I58/2,4),"——")</f>
        <v>——</v>
      </c>
      <c r="I58" s="2398">
        <v>0.24</v>
      </c>
      <c r="J58" s="2401" t="e">
        <f t="shared" ref="J58:J66" si="17">K58+$G58</f>
        <v>#VALUE!</v>
      </c>
      <c r="K58" s="2401" t="e">
        <f t="shared" ref="K58:K66" si="18">$L58+$G58</f>
        <v>#VALUE!</v>
      </c>
      <c r="L58" s="2401">
        <v>0</v>
      </c>
      <c r="M58" s="2401" t="e">
        <f t="shared" ref="M58:N66" si="19">L58-$G58</f>
        <v>#VALUE!</v>
      </c>
      <c r="N58" s="2401" t="e">
        <f t="shared" si="19"/>
        <v>#VALUE!</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hidden="1">
      <c r="A59" s="1062" t="s">
        <v>1021</v>
      </c>
      <c r="B59" s="2371" t="str">
        <f>估价对象房地状况!C18</f>
        <v>估价对象周边道路状况、公共交通通达情况、停车便捷程度，综合评价交通便捷度较好</v>
      </c>
      <c r="C59" s="1049" t="s">
        <v>3016</v>
      </c>
      <c r="D59" s="2380">
        <f t="shared" si="16"/>
        <v>0</v>
      </c>
      <c r="E59" s="2402"/>
      <c r="F59" s="2400"/>
      <c r="G59" s="2378" t="str">
        <f t="shared" ref="G59:G66" si="20">H59</f>
        <v>——</v>
      </c>
      <c r="H59" s="2379" t="str">
        <f t="shared" ref="H59:H66" si="21">IFERROR($F$58*I59/2,"——")</f>
        <v>——</v>
      </c>
      <c r="I59" s="2398">
        <v>0.3</v>
      </c>
      <c r="J59" s="2401" t="e">
        <f t="shared" si="17"/>
        <v>#VALUE!</v>
      </c>
      <c r="K59" s="2401" t="e">
        <f t="shared" si="18"/>
        <v>#VALUE!</v>
      </c>
      <c r="L59" s="2401">
        <v>0</v>
      </c>
      <c r="M59" s="2401" t="e">
        <f t="shared" si="19"/>
        <v>#VALUE!</v>
      </c>
      <c r="N59" s="2401" t="e">
        <f t="shared" si="19"/>
        <v>#VALUE!</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hidden="1">
      <c r="A60" s="1062" t="s">
        <v>1022</v>
      </c>
      <c r="B60" s="2371">
        <f>估价对象房地状况!C19</f>
        <v>0</v>
      </c>
      <c r="C60" s="1049" t="s">
        <v>3017</v>
      </c>
      <c r="D60" s="2380" t="e">
        <f t="shared" si="16"/>
        <v>#VALUE!</v>
      </c>
      <c r="E60" s="2402"/>
      <c r="F60" s="2400"/>
      <c r="G60" s="2378" t="str">
        <f t="shared" si="20"/>
        <v>——</v>
      </c>
      <c r="H60" s="2379" t="str">
        <f t="shared" si="21"/>
        <v>——</v>
      </c>
      <c r="I60" s="2398">
        <v>0.08</v>
      </c>
      <c r="J60" s="2401" t="e">
        <f t="shared" si="17"/>
        <v>#VALUE!</v>
      </c>
      <c r="K60" s="2401" t="e">
        <f t="shared" si="18"/>
        <v>#VALUE!</v>
      </c>
      <c r="L60" s="2401">
        <v>0</v>
      </c>
      <c r="M60" s="2401" t="e">
        <f t="shared" si="19"/>
        <v>#VALUE!</v>
      </c>
      <c r="N60" s="2401" t="e">
        <f t="shared" si="19"/>
        <v>#VALUE!</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hidden="1">
      <c r="A61" s="1062" t="s">
        <v>1023</v>
      </c>
      <c r="B61" s="2925" t="s">
        <v>2934</v>
      </c>
      <c r="C61" s="1049" t="s">
        <v>3017</v>
      </c>
      <c r="D61" s="2380" t="e">
        <f t="shared" si="16"/>
        <v>#VALUE!</v>
      </c>
      <c r="E61" s="2402"/>
      <c r="F61" s="2400"/>
      <c r="G61" s="2378" t="str">
        <f t="shared" si="20"/>
        <v>——</v>
      </c>
      <c r="H61" s="2379" t="str">
        <f t="shared" si="21"/>
        <v>——</v>
      </c>
      <c r="I61" s="2398">
        <v>0.04</v>
      </c>
      <c r="J61" s="2401" t="e">
        <f t="shared" si="17"/>
        <v>#VALUE!</v>
      </c>
      <c r="K61" s="2401" t="e">
        <f t="shared" si="18"/>
        <v>#VALUE!</v>
      </c>
      <c r="L61" s="2401">
        <v>0</v>
      </c>
      <c r="M61" s="2401" t="e">
        <f t="shared" si="19"/>
        <v>#VALUE!</v>
      </c>
      <c r="N61" s="2401" t="e">
        <f t="shared" si="19"/>
        <v>#VALUE!</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hidden="1">
      <c r="A62" s="1062" t="s">
        <v>1024</v>
      </c>
      <c r="B62" s="2371">
        <f>估价对象房地状况!C24</f>
        <v>0</v>
      </c>
      <c r="C62" s="1049" t="s">
        <v>3017</v>
      </c>
      <c r="D62" s="2380" t="e">
        <f t="shared" si="16"/>
        <v>#VALUE!</v>
      </c>
      <c r="E62" s="2402"/>
      <c r="F62" s="2400"/>
      <c r="G62" s="2378" t="str">
        <f t="shared" si="20"/>
        <v>——</v>
      </c>
      <c r="H62" s="2379" t="str">
        <f t="shared" si="21"/>
        <v>——</v>
      </c>
      <c r="I62" s="2398">
        <v>0.05</v>
      </c>
      <c r="J62" s="2401" t="e">
        <f t="shared" si="17"/>
        <v>#VALUE!</v>
      </c>
      <c r="K62" s="2401" t="e">
        <f t="shared" si="18"/>
        <v>#VALUE!</v>
      </c>
      <c r="L62" s="2401">
        <v>0</v>
      </c>
      <c r="M62" s="2401" t="e">
        <f t="shared" si="19"/>
        <v>#VALUE!</v>
      </c>
      <c r="N62" s="2401" t="e">
        <f t="shared" si="19"/>
        <v>#VALUE!</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hidden="1">
      <c r="A63" s="1062" t="s">
        <v>1025</v>
      </c>
      <c r="B63" s="2924" t="s">
        <v>2933</v>
      </c>
      <c r="C63" s="1049" t="s">
        <v>3017</v>
      </c>
      <c r="D63" s="2380" t="e">
        <f t="shared" si="16"/>
        <v>#VALUE!</v>
      </c>
      <c r="E63" s="2402"/>
      <c r="F63" s="2400"/>
      <c r="G63" s="2378" t="str">
        <f t="shared" si="20"/>
        <v>——</v>
      </c>
      <c r="H63" s="2379" t="str">
        <f t="shared" si="21"/>
        <v>——</v>
      </c>
      <c r="I63" s="2398">
        <v>0.05</v>
      </c>
      <c r="J63" s="2401" t="e">
        <f t="shared" si="17"/>
        <v>#VALUE!</v>
      </c>
      <c r="K63" s="2401" t="e">
        <f t="shared" si="18"/>
        <v>#VALUE!</v>
      </c>
      <c r="L63" s="2401">
        <v>0</v>
      </c>
      <c r="M63" s="2401" t="e">
        <f t="shared" si="19"/>
        <v>#VALUE!</v>
      </c>
      <c r="N63" s="2401" t="e">
        <f t="shared" si="19"/>
        <v>#VALUE!</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hidden="1">
      <c r="A64" s="1062" t="s">
        <v>1026</v>
      </c>
      <c r="B64" s="2372" t="str">
        <f>估价对象房地状况!C21</f>
        <v>估价对象所在区域公共配套设施齐备情况</v>
      </c>
      <c r="C64" s="1049" t="s">
        <v>3016</v>
      </c>
      <c r="D64" s="2380">
        <f t="shared" si="16"/>
        <v>0</v>
      </c>
      <c r="E64" s="2402"/>
      <c r="F64" s="2400"/>
      <c r="G64" s="2378" t="str">
        <f t="shared" si="20"/>
        <v>——</v>
      </c>
      <c r="H64" s="2379" t="str">
        <f t="shared" si="21"/>
        <v>——</v>
      </c>
      <c r="I64" s="2398">
        <v>0.06</v>
      </c>
      <c r="J64" s="2401" t="e">
        <f t="shared" si="17"/>
        <v>#VALUE!</v>
      </c>
      <c r="K64" s="2401" t="e">
        <f t="shared" si="18"/>
        <v>#VALUE!</v>
      </c>
      <c r="L64" s="2401">
        <v>0</v>
      </c>
      <c r="M64" s="2401" t="e">
        <f t="shared" si="19"/>
        <v>#VALUE!</v>
      </c>
      <c r="N64" s="2401" t="e">
        <f t="shared" si="19"/>
        <v>#VALUE!</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hidden="1">
      <c r="A65" s="1062" t="s">
        <v>1027</v>
      </c>
      <c r="B65" s="2372" t="str">
        <f>估价对象房地状况!C22</f>
        <v>估价对象所在区域基础设施水平</v>
      </c>
      <c r="C65" s="1049" t="s">
        <v>3016</v>
      </c>
      <c r="D65" s="2380">
        <f t="shared" si="16"/>
        <v>0</v>
      </c>
      <c r="E65" s="2402"/>
      <c r="F65" s="2400"/>
      <c r="G65" s="2378" t="str">
        <f t="shared" si="20"/>
        <v>——</v>
      </c>
      <c r="H65" s="2379" t="str">
        <f t="shared" si="21"/>
        <v>——</v>
      </c>
      <c r="I65" s="2398">
        <v>0.12</v>
      </c>
      <c r="J65" s="2401" t="e">
        <f t="shared" si="17"/>
        <v>#VALUE!</v>
      </c>
      <c r="K65" s="2401" t="e">
        <f t="shared" si="18"/>
        <v>#VALUE!</v>
      </c>
      <c r="L65" s="2401">
        <v>0</v>
      </c>
      <c r="M65" s="2401" t="e">
        <f t="shared" si="19"/>
        <v>#VALUE!</v>
      </c>
      <c r="N65" s="2401" t="e">
        <f t="shared" si="19"/>
        <v>#VALUE!</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hidden="1" thickBot="1">
      <c r="A66" s="2404" t="s">
        <v>1028</v>
      </c>
      <c r="B66" s="2376" t="str">
        <f>估价对象房地状况!C20</f>
        <v>区域自然环境：；人文环境；综合评价环境状况一般</v>
      </c>
      <c r="C66" s="1049" t="s">
        <v>3017</v>
      </c>
      <c r="D66" s="2380" t="e">
        <f t="shared" si="16"/>
        <v>#VALUE!</v>
      </c>
      <c r="E66" s="2406"/>
      <c r="F66" s="2400"/>
      <c r="G66" s="2378" t="str">
        <f t="shared" si="20"/>
        <v>——</v>
      </c>
      <c r="H66" s="2379" t="str">
        <f t="shared" si="21"/>
        <v>——</v>
      </c>
      <c r="I66" s="2405">
        <v>0.06</v>
      </c>
      <c r="J66" s="2401" t="e">
        <f t="shared" si="17"/>
        <v>#VALUE!</v>
      </c>
      <c r="K66" s="2401" t="e">
        <f t="shared" si="18"/>
        <v>#VALUE!</v>
      </c>
      <c r="L66" s="2401">
        <v>0</v>
      </c>
      <c r="M66" s="2401" t="e">
        <f t="shared" si="19"/>
        <v>#VALUE!</v>
      </c>
      <c r="N66" s="2401" t="e">
        <f t="shared" si="19"/>
        <v>#VALUE!</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hidden="1">
      <c r="A67" s="2387" t="s">
        <v>1031</v>
      </c>
      <c r="B67" s="2388" t="e">
        <f>1+E69</f>
        <v>#VALUE!</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hidden="1">
      <c r="A68" s="1062" t="s">
        <v>1008</v>
      </c>
      <c r="B68" s="2371"/>
      <c r="C68" s="2393" t="s">
        <v>1010</v>
      </c>
      <c r="D68" s="2394" t="s">
        <v>1011</v>
      </c>
      <c r="E68" s="2395" t="s">
        <v>1013</v>
      </c>
      <c r="F68" s="2396" t="s">
        <v>2248</v>
      </c>
      <c r="G68" s="2394" t="s">
        <v>1014</v>
      </c>
      <c r="H68" s="2377" t="s">
        <v>2415</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hidden="1">
      <c r="A69" s="1062" t="s">
        <v>1032</v>
      </c>
      <c r="B69" s="2374" t="str">
        <f>估价对象房地状况!C15</f>
        <v>估价对象周边居住用地比例、居住小区规模和社区发展完善程度，综合评价居住社区成熟度一般</v>
      </c>
      <c r="C69" s="1154" t="s">
        <v>3073</v>
      </c>
      <c r="D69" s="2380" t="e">
        <f t="shared" ref="D69:D77" si="22">SUMIF($J$68:$N$68,C69,J69:N69)</f>
        <v>#VALUE!</v>
      </c>
      <c r="E69" s="2399" t="e">
        <f>ROUND(SUM(D69:D77),4)</f>
        <v>#VALUE!</v>
      </c>
      <c r="F69" s="2400" t="str">
        <f>IF(E2="住宅",SUMIF(L1:L12,G2,N1:N12),"——")</f>
        <v>——</v>
      </c>
      <c r="G69" s="2381" t="str">
        <f>H69</f>
        <v>——</v>
      </c>
      <c r="H69" s="2425" t="str">
        <f t="shared" ref="H69:H77" si="23">IFERROR(ROUNDDOWN($F$69*I69/2,4),"——")</f>
        <v>——</v>
      </c>
      <c r="I69" s="2398">
        <v>0.14000000000000001</v>
      </c>
      <c r="J69" s="2401" t="e">
        <f t="shared" ref="J69:J77" si="24">K69+$G69</f>
        <v>#VALUE!</v>
      </c>
      <c r="K69" s="2401" t="e">
        <f t="shared" ref="K69:K77" si="25">$L69+$G69</f>
        <v>#VALUE!</v>
      </c>
      <c r="L69" s="2401">
        <v>0</v>
      </c>
      <c r="M69" s="2401" t="e">
        <f t="shared" ref="M69:N77" si="26">L69-$G69</f>
        <v>#VALUE!</v>
      </c>
      <c r="N69" s="2401" t="e">
        <f t="shared" si="26"/>
        <v>#VALUE!</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hidden="1">
      <c r="A70" s="1062" t="s">
        <v>1021</v>
      </c>
      <c r="B70" s="2371" t="str">
        <f>估价对象房地状况!C18</f>
        <v>估价对象周边道路状况、公共交通通达情况、停车便捷程度，综合评价交通便捷度较好</v>
      </c>
      <c r="C70" s="1154" t="s">
        <v>3016</v>
      </c>
      <c r="D70" s="2380">
        <f t="shared" si="22"/>
        <v>0</v>
      </c>
      <c r="E70" s="2408"/>
      <c r="F70" s="2409"/>
      <c r="G70" s="2381" t="str">
        <f t="shared" ref="G70:G76" si="27">H70</f>
        <v>——</v>
      </c>
      <c r="H70" s="2425" t="str">
        <f t="shared" si="23"/>
        <v>——</v>
      </c>
      <c r="I70" s="2398">
        <v>0.3</v>
      </c>
      <c r="J70" s="2401" t="e">
        <f t="shared" si="24"/>
        <v>#VALUE!</v>
      </c>
      <c r="K70" s="2401" t="e">
        <f t="shared" si="25"/>
        <v>#VALUE!</v>
      </c>
      <c r="L70" s="2401">
        <v>0</v>
      </c>
      <c r="M70" s="2401" t="e">
        <f t="shared" si="26"/>
        <v>#VALUE!</v>
      </c>
      <c r="N70" s="2401" t="e">
        <f t="shared" si="26"/>
        <v>#VALUE!</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hidden="1">
      <c r="A71" s="1062" t="s">
        <v>1022</v>
      </c>
      <c r="B71" s="2371">
        <f>估价对象房地状况!C19</f>
        <v>0</v>
      </c>
      <c r="C71" s="1154" t="s">
        <v>3017</v>
      </c>
      <c r="D71" s="2380" t="e">
        <f t="shared" si="22"/>
        <v>#VALUE!</v>
      </c>
      <c r="E71" s="2408"/>
      <c r="F71" s="2409"/>
      <c r="G71" s="2381" t="str">
        <f t="shared" si="27"/>
        <v>——</v>
      </c>
      <c r="H71" s="2425" t="str">
        <f t="shared" si="23"/>
        <v>——</v>
      </c>
      <c r="I71" s="2398">
        <v>0.08</v>
      </c>
      <c r="J71" s="2401" t="e">
        <f t="shared" si="24"/>
        <v>#VALUE!</v>
      </c>
      <c r="K71" s="2401" t="e">
        <f t="shared" si="25"/>
        <v>#VALUE!</v>
      </c>
      <c r="L71" s="2401">
        <v>0</v>
      </c>
      <c r="M71" s="2401" t="e">
        <f t="shared" si="26"/>
        <v>#VALUE!</v>
      </c>
      <c r="N71" s="2401" t="e">
        <f t="shared" si="26"/>
        <v>#VALUE!</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hidden="1">
      <c r="A72" s="1062" t="s">
        <v>1034</v>
      </c>
      <c r="B72" s="2371">
        <f>估价对象房地状况!C24</f>
        <v>0</v>
      </c>
      <c r="C72" s="1154" t="s">
        <v>3017</v>
      </c>
      <c r="D72" s="2380" t="e">
        <f t="shared" si="22"/>
        <v>#VALUE!</v>
      </c>
      <c r="E72" s="2408"/>
      <c r="F72" s="2409"/>
      <c r="G72" s="2381" t="str">
        <f t="shared" si="27"/>
        <v>——</v>
      </c>
      <c r="H72" s="2425" t="str">
        <f t="shared" si="23"/>
        <v>——</v>
      </c>
      <c r="I72" s="2398">
        <v>0.04</v>
      </c>
      <c r="J72" s="2401" t="e">
        <f t="shared" si="24"/>
        <v>#VALUE!</v>
      </c>
      <c r="K72" s="2401" t="e">
        <f t="shared" si="25"/>
        <v>#VALUE!</v>
      </c>
      <c r="L72" s="2401">
        <v>0</v>
      </c>
      <c r="M72" s="2401" t="e">
        <f t="shared" si="26"/>
        <v>#VALUE!</v>
      </c>
      <c r="N72" s="2401" t="e">
        <f t="shared" si="26"/>
        <v>#VALUE!</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hidden="1">
      <c r="A73" s="1062" t="s">
        <v>1026</v>
      </c>
      <c r="B73" s="2372" t="str">
        <f>估价对象房地状况!C21</f>
        <v>估价对象所在区域公共配套设施齐备情况</v>
      </c>
      <c r="C73" s="1154" t="s">
        <v>3073</v>
      </c>
      <c r="D73" s="2380" t="e">
        <f t="shared" si="22"/>
        <v>#VALUE!</v>
      </c>
      <c r="E73" s="2408"/>
      <c r="F73" s="2409"/>
      <c r="G73" s="2381" t="str">
        <f t="shared" si="27"/>
        <v>——</v>
      </c>
      <c r="H73" s="2425" t="str">
        <f t="shared" si="23"/>
        <v>——</v>
      </c>
      <c r="I73" s="2398">
        <v>0.08</v>
      </c>
      <c r="J73" s="2401" t="e">
        <f t="shared" si="24"/>
        <v>#VALUE!</v>
      </c>
      <c r="K73" s="2401" t="e">
        <f t="shared" si="25"/>
        <v>#VALUE!</v>
      </c>
      <c r="L73" s="2401">
        <v>0</v>
      </c>
      <c r="M73" s="2401" t="e">
        <f t="shared" si="26"/>
        <v>#VALUE!</v>
      </c>
      <c r="N73" s="2401" t="e">
        <f t="shared" si="26"/>
        <v>#VALUE!</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hidden="1">
      <c r="A74" s="1062" t="s">
        <v>1027</v>
      </c>
      <c r="B74" s="2372" t="str">
        <f>估价对象房地状况!C22</f>
        <v>估价对象所在区域基础设施水平</v>
      </c>
      <c r="C74" s="1154" t="s">
        <v>3074</v>
      </c>
      <c r="D74" s="2380" t="e">
        <f t="shared" si="22"/>
        <v>#VALUE!</v>
      </c>
      <c r="E74" s="2408"/>
      <c r="F74" s="2409"/>
      <c r="G74" s="2381" t="str">
        <f t="shared" si="27"/>
        <v>——</v>
      </c>
      <c r="H74" s="2425" t="str">
        <f t="shared" si="23"/>
        <v>——</v>
      </c>
      <c r="I74" s="2398">
        <v>0.12</v>
      </c>
      <c r="J74" s="2401" t="e">
        <f t="shared" si="24"/>
        <v>#VALUE!</v>
      </c>
      <c r="K74" s="2401" t="e">
        <f t="shared" si="25"/>
        <v>#VALUE!</v>
      </c>
      <c r="L74" s="2401">
        <v>0</v>
      </c>
      <c r="M74" s="2401" t="e">
        <f t="shared" si="26"/>
        <v>#VALUE!</v>
      </c>
      <c r="N74" s="2401" t="e">
        <f t="shared" si="26"/>
        <v>#VALUE!</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hidden="1">
      <c r="A75" s="1062" t="s">
        <v>1025</v>
      </c>
      <c r="B75" s="2924" t="s">
        <v>2933</v>
      </c>
      <c r="C75" s="1154" t="s">
        <v>3017</v>
      </c>
      <c r="D75" s="2380" t="e">
        <f t="shared" si="22"/>
        <v>#VALUE!</v>
      </c>
      <c r="E75" s="2408"/>
      <c r="F75" s="2409"/>
      <c r="G75" s="2381" t="str">
        <f t="shared" si="27"/>
        <v>——</v>
      </c>
      <c r="H75" s="2425" t="str">
        <f t="shared" si="23"/>
        <v>——</v>
      </c>
      <c r="I75" s="2398">
        <v>0.05</v>
      </c>
      <c r="J75" s="2401" t="e">
        <f t="shared" si="24"/>
        <v>#VALUE!</v>
      </c>
      <c r="K75" s="2401" t="e">
        <f t="shared" si="25"/>
        <v>#VALUE!</v>
      </c>
      <c r="L75" s="2401">
        <v>0</v>
      </c>
      <c r="M75" s="2401" t="e">
        <f t="shared" si="26"/>
        <v>#VALUE!</v>
      </c>
      <c r="N75" s="2401" t="e">
        <f t="shared" si="26"/>
        <v>#VALUE!</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hidden="1">
      <c r="A76" s="1062" t="s">
        <v>1028</v>
      </c>
      <c r="B76" s="2374" t="str">
        <f>估价对象房地状况!C20</f>
        <v>区域自然环境：；人文环境；综合评价环境状况一般</v>
      </c>
      <c r="C76" s="1154" t="s">
        <v>3016</v>
      </c>
      <c r="D76" s="2380">
        <f t="shared" si="22"/>
        <v>0</v>
      </c>
      <c r="E76" s="2408"/>
      <c r="F76" s="2409"/>
      <c r="G76" s="2381" t="str">
        <f t="shared" si="27"/>
        <v>——</v>
      </c>
      <c r="H76" s="2425" t="str">
        <f t="shared" si="23"/>
        <v>——</v>
      </c>
      <c r="I76" s="2398">
        <v>0.15</v>
      </c>
      <c r="J76" s="2401" t="e">
        <f t="shared" si="24"/>
        <v>#VALUE!</v>
      </c>
      <c r="K76" s="2401" t="e">
        <f t="shared" si="25"/>
        <v>#VALUE!</v>
      </c>
      <c r="L76" s="2401">
        <v>0</v>
      </c>
      <c r="M76" s="2401" t="e">
        <f t="shared" si="26"/>
        <v>#VALUE!</v>
      </c>
      <c r="N76" s="2401" t="e">
        <f t="shared" si="26"/>
        <v>#VALUE!</v>
      </c>
      <c r="P76" s="2183"/>
      <c r="Q76" s="2183"/>
      <c r="R76" s="2184"/>
      <c r="S76" s="2184"/>
      <c r="T76" s="2184"/>
      <c r="U76" s="2184"/>
      <c r="V76" s="2184"/>
      <c r="W76" s="2183"/>
      <c r="X76" s="2183"/>
      <c r="Y76" s="2183"/>
      <c r="Z76" s="2183"/>
      <c r="AA76" s="2183"/>
      <c r="AB76" s="2183"/>
      <c r="AC76" s="2183"/>
      <c r="AD76" s="2184"/>
      <c r="AJ76" s="1398"/>
      <c r="AN76" s="1399"/>
    </row>
    <row r="77" spans="1:40" ht="24.75" hidden="1" thickBot="1">
      <c r="A77" s="2404" t="s">
        <v>1035</v>
      </c>
      <c r="B77" s="1834"/>
      <c r="C77" s="1154" t="s">
        <v>3073</v>
      </c>
      <c r="D77" s="2380" t="e">
        <f t="shared" si="22"/>
        <v>#VALUE!</v>
      </c>
      <c r="E77" s="2410"/>
      <c r="F77" s="2409"/>
      <c r="G77" s="2381" t="str">
        <f>H77</f>
        <v>——</v>
      </c>
      <c r="H77" s="2425" t="str">
        <f t="shared" si="23"/>
        <v>——</v>
      </c>
      <c r="I77" s="2405">
        <v>0.04</v>
      </c>
      <c r="J77" s="2401" t="e">
        <f t="shared" si="24"/>
        <v>#VALUE!</v>
      </c>
      <c r="K77" s="2401" t="e">
        <f t="shared" si="25"/>
        <v>#VALUE!</v>
      </c>
      <c r="L77" s="2401">
        <v>0</v>
      </c>
      <c r="M77" s="2401" t="e">
        <f t="shared" si="26"/>
        <v>#VALUE!</v>
      </c>
      <c r="N77" s="2401" t="e">
        <f t="shared" si="26"/>
        <v>#VALUE!</v>
      </c>
      <c r="AC77" s="1400"/>
      <c r="AD77" s="1399"/>
      <c r="AJ77" s="1398"/>
      <c r="AN77" s="1399"/>
    </row>
    <row r="78" spans="1:40" ht="15" hidden="1">
      <c r="A78" s="2387" t="s">
        <v>985</v>
      </c>
      <c r="B78" s="2388">
        <f>1+E80</f>
        <v>1</v>
      </c>
      <c r="C78" s="2407"/>
      <c r="D78" s="2390"/>
      <c r="E78" s="2391"/>
      <c r="F78" s="2392"/>
      <c r="G78" s="2386"/>
      <c r="H78" s="2386"/>
      <c r="I78" s="2386"/>
      <c r="J78" s="1061"/>
      <c r="K78" s="1061"/>
      <c r="L78" s="1061"/>
      <c r="M78" s="1061"/>
      <c r="N78" s="1061"/>
      <c r="AC78" s="1400"/>
      <c r="AD78" s="1399"/>
      <c r="AJ78" s="1398"/>
      <c r="AN78" s="1399"/>
    </row>
    <row r="79" spans="1:40" ht="24" hidden="1">
      <c r="A79" s="1062" t="s">
        <v>1008</v>
      </c>
      <c r="B79" s="2371"/>
      <c r="C79" s="2393" t="s">
        <v>1010</v>
      </c>
      <c r="D79" s="2394" t="s">
        <v>1011</v>
      </c>
      <c r="E79" s="2395" t="s">
        <v>1013</v>
      </c>
      <c r="F79" s="2396" t="s">
        <v>2248</v>
      </c>
      <c r="G79" s="2394" t="s">
        <v>1014</v>
      </c>
      <c r="H79" s="2377" t="s">
        <v>2415</v>
      </c>
      <c r="I79" s="2394" t="s">
        <v>1012</v>
      </c>
      <c r="J79" s="2397" t="s">
        <v>1015</v>
      </c>
      <c r="K79" s="2397" t="s">
        <v>1016</v>
      </c>
      <c r="L79" s="2397" t="s">
        <v>1017</v>
      </c>
      <c r="M79" s="2397" t="s">
        <v>1018</v>
      </c>
      <c r="N79" s="2397" t="s">
        <v>1019</v>
      </c>
      <c r="AC79" s="1400"/>
      <c r="AD79" s="1399"/>
      <c r="AJ79" s="1398"/>
      <c r="AN79" s="1399"/>
    </row>
    <row r="80" spans="1:40" ht="36" hidden="1">
      <c r="A80" s="1062" t="s">
        <v>1037</v>
      </c>
      <c r="B80" s="2371" t="str">
        <f>估价对象房地状况!G15</f>
        <v>估价对象位于XX开发区，园区建设成熟度XX，产业集聚程度XX</v>
      </c>
      <c r="C80" s="1049"/>
      <c r="D80" s="2380">
        <f t="shared" ref="D80:D87" si="28">SUMIF($J$79:$N$79,C80,J80:N80)</f>
        <v>0</v>
      </c>
      <c r="E80" s="2399">
        <f>ROUND(SUM(D80:D87),4)</f>
        <v>0</v>
      </c>
      <c r="F80" s="2400" t="str">
        <f>IF(E2="工业",SUMIF(L1:L12,G2,N1:N12),"——")</f>
        <v>——</v>
      </c>
      <c r="G80" s="2378"/>
      <c r="H80" s="2424" t="str">
        <f t="shared" ref="H80:H87" si="29">IFERROR(ROUNDDOWN($F$80*I80/2,4),"——")</f>
        <v>——</v>
      </c>
      <c r="I80" s="2398">
        <v>0.26</v>
      </c>
      <c r="J80" s="2401">
        <f t="shared" ref="J80:J87" si="30">K80+$G80</f>
        <v>0</v>
      </c>
      <c r="K80" s="2401">
        <f t="shared" ref="K80:K87" si="31">$L80+$G80</f>
        <v>0</v>
      </c>
      <c r="L80" s="2401">
        <v>0</v>
      </c>
      <c r="M80" s="2401">
        <f t="shared" ref="M80:N87" si="32">L80-$G80</f>
        <v>0</v>
      </c>
      <c r="N80" s="2401">
        <f t="shared" si="32"/>
        <v>0</v>
      </c>
      <c r="AC80" s="1400"/>
      <c r="AD80" s="1399"/>
      <c r="AJ80" s="1398"/>
      <c r="AN80" s="1399"/>
    </row>
    <row r="81" spans="1:40" ht="48" hidden="1">
      <c r="A81" s="1062" t="s">
        <v>1021</v>
      </c>
      <c r="B81" s="2371" t="str">
        <f>估价对象房地状况!G16</f>
        <v>估价对象周边道路状况、公共交通通达情况、停车便捷程度，综合评价交通便捷度较好</v>
      </c>
      <c r="C81" s="1049"/>
      <c r="D81" s="2380">
        <f t="shared" si="28"/>
        <v>0</v>
      </c>
      <c r="E81" s="2408"/>
      <c r="F81" s="2409"/>
      <c r="G81" s="2378"/>
      <c r="H81" s="2424" t="str">
        <f t="shared" si="29"/>
        <v>——</v>
      </c>
      <c r="I81" s="2398">
        <v>0.33</v>
      </c>
      <c r="J81" s="2401">
        <f t="shared" si="30"/>
        <v>0</v>
      </c>
      <c r="K81" s="2401">
        <f t="shared" si="31"/>
        <v>0</v>
      </c>
      <c r="L81" s="2401">
        <v>0</v>
      </c>
      <c r="M81" s="2401">
        <f t="shared" si="32"/>
        <v>0</v>
      </c>
      <c r="N81" s="2401">
        <f t="shared" si="32"/>
        <v>0</v>
      </c>
      <c r="AC81" s="1400"/>
      <c r="AD81" s="1399"/>
      <c r="AJ81" s="1398"/>
      <c r="AN81" s="1399"/>
    </row>
    <row r="82" spans="1:40" ht="24" hidden="1">
      <c r="A82" s="1062" t="s">
        <v>1022</v>
      </c>
      <c r="B82" s="2371">
        <f>估价对象房地状况!G17</f>
        <v>0</v>
      </c>
      <c r="C82" s="1049"/>
      <c r="D82" s="2380">
        <f t="shared" si="28"/>
        <v>0</v>
      </c>
      <c r="E82" s="2408"/>
      <c r="F82" s="2409"/>
      <c r="G82" s="2378"/>
      <c r="H82" s="2424" t="str">
        <f t="shared" si="29"/>
        <v>——</v>
      </c>
      <c r="I82" s="2398">
        <v>0.05</v>
      </c>
      <c r="J82" s="2401">
        <f t="shared" si="30"/>
        <v>0</v>
      </c>
      <c r="K82" s="2401">
        <f t="shared" si="31"/>
        <v>0</v>
      </c>
      <c r="L82" s="2401">
        <v>0</v>
      </c>
      <c r="M82" s="2401">
        <f t="shared" si="32"/>
        <v>0</v>
      </c>
      <c r="N82" s="2401">
        <f t="shared" si="32"/>
        <v>0</v>
      </c>
      <c r="AC82" s="1400"/>
      <c r="AD82" s="1399"/>
      <c r="AJ82" s="1398"/>
      <c r="AN82" s="1399"/>
    </row>
    <row r="83" spans="1:40" ht="14.25" hidden="1">
      <c r="A83" s="1062" t="s">
        <v>1034</v>
      </c>
      <c r="B83" s="2371">
        <f>估价对象房地状况!G22</f>
        <v>0</v>
      </c>
      <c r="C83" s="1049"/>
      <c r="D83" s="2380">
        <f t="shared" si="28"/>
        <v>0</v>
      </c>
      <c r="E83" s="2408"/>
      <c r="F83" s="2409"/>
      <c r="G83" s="2378"/>
      <c r="H83" s="2424" t="str">
        <f t="shared" si="29"/>
        <v>——</v>
      </c>
      <c r="I83" s="2398">
        <v>0.04</v>
      </c>
      <c r="J83" s="2401">
        <f t="shared" si="30"/>
        <v>0</v>
      </c>
      <c r="K83" s="2401">
        <f t="shared" si="31"/>
        <v>0</v>
      </c>
      <c r="L83" s="2401">
        <v>0</v>
      </c>
      <c r="M83" s="2401">
        <f t="shared" si="32"/>
        <v>0</v>
      </c>
      <c r="N83" s="2401">
        <f t="shared" si="32"/>
        <v>0</v>
      </c>
      <c r="AC83" s="1400"/>
      <c r="AD83" s="1399"/>
      <c r="AJ83" s="1398"/>
      <c r="AN83" s="1399"/>
    </row>
    <row r="84" spans="1:40" ht="24" hidden="1">
      <c r="A84" s="1062" t="s">
        <v>1026</v>
      </c>
      <c r="B84" s="2372" t="str">
        <f>估价对象房地状况!G19</f>
        <v>估价对象所在区域公共配套设施齐备情况</v>
      </c>
      <c r="C84" s="1049"/>
      <c r="D84" s="2380">
        <f t="shared" si="28"/>
        <v>0</v>
      </c>
      <c r="E84" s="2408"/>
      <c r="F84" s="2409"/>
      <c r="G84" s="2378"/>
      <c r="H84" s="2424" t="str">
        <f t="shared" si="29"/>
        <v>——</v>
      </c>
      <c r="I84" s="2398">
        <v>0.06</v>
      </c>
      <c r="J84" s="2401">
        <f t="shared" si="30"/>
        <v>0</v>
      </c>
      <c r="K84" s="2401">
        <f t="shared" si="31"/>
        <v>0</v>
      </c>
      <c r="L84" s="2401">
        <v>0</v>
      </c>
      <c r="M84" s="2401">
        <f t="shared" si="32"/>
        <v>0</v>
      </c>
      <c r="N84" s="2401">
        <f t="shared" si="32"/>
        <v>0</v>
      </c>
      <c r="AC84" s="1400"/>
      <c r="AD84" s="1399"/>
      <c r="AJ84" s="1398"/>
      <c r="AN84" s="1399"/>
    </row>
    <row r="85" spans="1:40" ht="24" hidden="1">
      <c r="A85" s="1062" t="s">
        <v>1027</v>
      </c>
      <c r="B85" s="2372" t="str">
        <f>估价对象房地状况!G20</f>
        <v>估价对象所在区域基础设施水平</v>
      </c>
      <c r="C85" s="1049"/>
      <c r="D85" s="2380">
        <f t="shared" si="28"/>
        <v>0</v>
      </c>
      <c r="E85" s="2408"/>
      <c r="F85" s="2409"/>
      <c r="G85" s="2378"/>
      <c r="H85" s="2424" t="str">
        <f t="shared" si="29"/>
        <v>——</v>
      </c>
      <c r="I85" s="2398">
        <v>0.15</v>
      </c>
      <c r="J85" s="2401">
        <f t="shared" si="30"/>
        <v>0</v>
      </c>
      <c r="K85" s="2401">
        <f t="shared" si="31"/>
        <v>0</v>
      </c>
      <c r="L85" s="2401">
        <v>0</v>
      </c>
      <c r="M85" s="2401">
        <f t="shared" si="32"/>
        <v>0</v>
      </c>
      <c r="N85" s="2401">
        <f t="shared" si="32"/>
        <v>0</v>
      </c>
      <c r="AC85" s="1400"/>
      <c r="AD85" s="1399"/>
      <c r="AJ85" s="1398"/>
      <c r="AN85" s="1399"/>
    </row>
    <row r="86" spans="1:40" ht="24" hidden="1">
      <c r="A86" s="1062" t="s">
        <v>1025</v>
      </c>
      <c r="B86" s="2924" t="s">
        <v>2933</v>
      </c>
      <c r="C86" s="1049"/>
      <c r="D86" s="2380">
        <f t="shared" si="28"/>
        <v>0</v>
      </c>
      <c r="E86" s="2408"/>
      <c r="F86" s="2409"/>
      <c r="G86" s="2378"/>
      <c r="H86" s="2424" t="str">
        <f t="shared" si="29"/>
        <v>——</v>
      </c>
      <c r="I86" s="2398">
        <v>0.05</v>
      </c>
      <c r="J86" s="2401">
        <f t="shared" si="30"/>
        <v>0</v>
      </c>
      <c r="K86" s="2401">
        <f t="shared" si="31"/>
        <v>0</v>
      </c>
      <c r="L86" s="2401">
        <v>0</v>
      </c>
      <c r="M86" s="2401">
        <f t="shared" si="32"/>
        <v>0</v>
      </c>
      <c r="N86" s="2401">
        <f t="shared" si="32"/>
        <v>0</v>
      </c>
      <c r="AC86" s="1400"/>
      <c r="AD86" s="1399"/>
      <c r="AJ86" s="1398"/>
      <c r="AN86" s="1399"/>
    </row>
    <row r="87" spans="1:40" ht="36.75" hidden="1" thickBot="1">
      <c r="A87" s="2404" t="s">
        <v>1038</v>
      </c>
      <c r="B87" s="2373" t="str">
        <f>估价对象房地状况!G18</f>
        <v>该园区内是否有污染型企业，绿化情况，卫生条件，整体环境状况判断</v>
      </c>
      <c r="C87" s="1049"/>
      <c r="D87" s="2380">
        <f t="shared" si="28"/>
        <v>0</v>
      </c>
      <c r="E87" s="2410"/>
      <c r="F87" s="2409"/>
      <c r="G87" s="2378"/>
      <c r="H87" s="2424" t="str">
        <f t="shared" si="29"/>
        <v>——</v>
      </c>
      <c r="I87" s="2405">
        <v>0.06</v>
      </c>
      <c r="J87" s="2401">
        <f t="shared" si="30"/>
        <v>0</v>
      </c>
      <c r="K87" s="2401">
        <f t="shared" si="31"/>
        <v>0</v>
      </c>
      <c r="L87" s="2401">
        <v>0</v>
      </c>
      <c r="M87" s="2401">
        <f t="shared" si="32"/>
        <v>0</v>
      </c>
      <c r="N87" s="2401">
        <f t="shared" si="32"/>
        <v>0</v>
      </c>
      <c r="AC87" s="1400"/>
      <c r="AD87" s="1399"/>
      <c r="AJ87" s="1398"/>
      <c r="AN87" s="1399"/>
    </row>
    <row r="90" spans="1:40">
      <c r="A90" s="3446" t="s">
        <v>1633</v>
      </c>
      <c r="B90" s="3446"/>
      <c r="C90" s="3446"/>
      <c r="D90" s="3446"/>
      <c r="E90" s="3446"/>
      <c r="F90" s="3446"/>
      <c r="G90" s="3446"/>
      <c r="H90" s="3446"/>
      <c r="I90" s="3446"/>
      <c r="J90" s="3446"/>
      <c r="K90" s="3215"/>
      <c r="L90" s="3215"/>
      <c r="M90" s="3215"/>
      <c r="N90" s="3215"/>
    </row>
    <row r="91" spans="1:40">
      <c r="A91" s="3447" t="s">
        <v>1443</v>
      </c>
      <c r="B91" s="3447" t="s">
        <v>1634</v>
      </c>
      <c r="C91" s="1135" t="s">
        <v>1635</v>
      </c>
      <c r="D91" s="1136"/>
      <c r="E91" s="1136"/>
      <c r="F91" s="1136"/>
      <c r="G91" s="1136"/>
      <c r="H91" s="1136"/>
      <c r="I91" s="1136"/>
      <c r="J91" s="1137"/>
      <c r="K91" s="1129"/>
      <c r="L91" s="1129"/>
      <c r="M91" s="1129"/>
      <c r="N91" s="1129"/>
    </row>
    <row r="92" spans="1:40">
      <c r="A92" s="3447"/>
      <c r="B92" s="3447"/>
      <c r="C92" s="3216" t="s">
        <v>884</v>
      </c>
      <c r="D92" s="3216" t="s">
        <v>885</v>
      </c>
      <c r="E92" s="3216" t="s">
        <v>886</v>
      </c>
      <c r="F92" s="3216" t="s">
        <v>910</v>
      </c>
      <c r="G92" s="3216" t="s">
        <v>888</v>
      </c>
      <c r="H92" s="3216" t="s">
        <v>889</v>
      </c>
      <c r="I92" s="3216" t="s">
        <v>890</v>
      </c>
      <c r="J92" s="3216" t="s">
        <v>891</v>
      </c>
      <c r="K92" s="3216" t="s">
        <v>892</v>
      </c>
      <c r="L92" s="3216" t="s">
        <v>893</v>
      </c>
      <c r="M92" s="3216" t="s">
        <v>894</v>
      </c>
      <c r="N92" s="3216" t="s">
        <v>918</v>
      </c>
    </row>
    <row r="93" spans="1:40">
      <c r="A93" s="3454" t="s">
        <v>2759</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55"/>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55"/>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55"/>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55"/>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55"/>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55"/>
      <c r="B99" s="1138" t="s">
        <v>1636</v>
      </c>
      <c r="C99" s="1140">
        <f>$I$3</f>
        <v>1</v>
      </c>
      <c r="D99" s="1140">
        <f t="shared" ref="D99:N99" si="33">$I$3</f>
        <v>1</v>
      </c>
      <c r="E99" s="1140">
        <f t="shared" si="33"/>
        <v>1</v>
      </c>
      <c r="F99" s="1140">
        <f t="shared" si="33"/>
        <v>1</v>
      </c>
      <c r="G99" s="1140">
        <f t="shared" si="33"/>
        <v>1</v>
      </c>
      <c r="H99" s="1140">
        <f t="shared" si="33"/>
        <v>1</v>
      </c>
      <c r="I99" s="1140">
        <f t="shared" si="33"/>
        <v>1</v>
      </c>
      <c r="J99" s="1140">
        <f t="shared" si="33"/>
        <v>1</v>
      </c>
      <c r="K99" s="1140">
        <f t="shared" si="33"/>
        <v>1</v>
      </c>
      <c r="L99" s="1140">
        <f t="shared" si="33"/>
        <v>1</v>
      </c>
      <c r="M99" s="1140">
        <f t="shared" si="33"/>
        <v>1</v>
      </c>
      <c r="N99" s="1140">
        <f t="shared" si="33"/>
        <v>1</v>
      </c>
    </row>
    <row r="100" spans="1:14">
      <c r="A100" s="3456"/>
      <c r="B100" s="1138">
        <v>7</v>
      </c>
      <c r="C100" s="1141">
        <f>(-0.163*(C99^2)-0.59*C99+7617)*(10^(-4))</f>
        <v>0.76162470000000004</v>
      </c>
      <c r="D100" s="1141">
        <f>(-0.163*(D99^2)-0.59*D99+7617)*(10^(-4))</f>
        <v>0.76162470000000004</v>
      </c>
      <c r="E100" s="1141">
        <f>(-0.161*(E99^2)-7.509*E99+6533)*(10^(-4))</f>
        <v>0.65253300000000003</v>
      </c>
      <c r="F100" s="1141">
        <f>(-0.161*(F99^2)-7.509*F99+6533)*(10^(-4))</f>
        <v>0.65253300000000003</v>
      </c>
      <c r="G100" s="1141">
        <f>(-0.161*(G99^2)-7.509*G99+6533)*(10^(-4))</f>
        <v>0.65253300000000003</v>
      </c>
      <c r="H100" s="1141">
        <f>(-0.161*(H99^2)-7.509*H99+6533)*(10^(-4))</f>
        <v>0.65253300000000003</v>
      </c>
      <c r="I100" s="1141">
        <f>(-0.161*(I99^2)-7.509*I99+6533)*(10^(-4))</f>
        <v>0.65253300000000003</v>
      </c>
      <c r="J100" s="1141">
        <f>(-0.214*(J99^2)-21.991*J99+4665)*(10^(-4))</f>
        <v>0.46427950000000001</v>
      </c>
      <c r="K100" s="1141">
        <f>(-0.214*(K99^2)-21.991*K99+4665)*(10^(-4))</f>
        <v>0.46427950000000001</v>
      </c>
      <c r="L100" s="1141">
        <f>(-0.214*(L99^2)-21.991*L99+4665)*(10^(-4))</f>
        <v>0.46427950000000001</v>
      </c>
      <c r="M100" s="1141">
        <f>(-0.214*(M99^2)-21.991*M99+4665)*(10^(-4))</f>
        <v>0.46427950000000001</v>
      </c>
      <c r="N100" s="1141">
        <f>(-0.214*(N99^2)-21.991*N99+4665)*(10^(-4))</f>
        <v>0.46427950000000001</v>
      </c>
    </row>
    <row r="101" spans="1:14">
      <c r="A101" s="3454" t="s">
        <v>1637</v>
      </c>
      <c r="B101" s="1142" t="s">
        <v>906</v>
      </c>
      <c r="C101" s="1143">
        <f>$G$3</f>
        <v>1.9</v>
      </c>
      <c r="D101" s="1143">
        <f t="shared" ref="D101:N101" si="34">$G$3</f>
        <v>1.9</v>
      </c>
      <c r="E101" s="1143">
        <f t="shared" si="34"/>
        <v>1.9</v>
      </c>
      <c r="F101" s="1143">
        <f t="shared" si="34"/>
        <v>1.9</v>
      </c>
      <c r="G101" s="1143">
        <f t="shared" si="34"/>
        <v>1.9</v>
      </c>
      <c r="H101" s="1143">
        <f t="shared" si="34"/>
        <v>1.9</v>
      </c>
      <c r="I101" s="1143">
        <f t="shared" si="34"/>
        <v>1.9</v>
      </c>
      <c r="J101" s="1143">
        <f t="shared" si="34"/>
        <v>1.9</v>
      </c>
      <c r="K101" s="1143">
        <f t="shared" si="34"/>
        <v>1.9</v>
      </c>
      <c r="L101" s="1143">
        <f t="shared" si="34"/>
        <v>1.9</v>
      </c>
      <c r="M101" s="1143">
        <f t="shared" si="34"/>
        <v>1.9</v>
      </c>
      <c r="N101" s="1143">
        <f t="shared" si="34"/>
        <v>1.9</v>
      </c>
    </row>
    <row r="102" spans="1:14">
      <c r="A102" s="3455"/>
      <c r="B102" s="1138">
        <v>1</v>
      </c>
      <c r="C102" s="1139">
        <f>1.9362/C101</f>
        <v>1.0190526315789474</v>
      </c>
      <c r="D102" s="1139">
        <f>1.9362/D101</f>
        <v>1.0190526315789474</v>
      </c>
      <c r="E102" s="1139">
        <f>1.8629/E101</f>
        <v>0.98047368421052639</v>
      </c>
      <c r="F102" s="1139">
        <f>1.8629/F101</f>
        <v>0.98047368421052639</v>
      </c>
      <c r="G102" s="1139">
        <f>1.8629/G101</f>
        <v>0.98047368421052639</v>
      </c>
      <c r="H102" s="1139">
        <f>1.8629/H101</f>
        <v>0.98047368421052639</v>
      </c>
      <c r="I102" s="1139">
        <f>1.8629/I101</f>
        <v>0.98047368421052639</v>
      </c>
      <c r="J102" s="1139">
        <f>1.942/J101</f>
        <v>1.0221052631578948</v>
      </c>
      <c r="K102" s="1139">
        <f>1.942/K101</f>
        <v>1.0221052631578948</v>
      </c>
      <c r="L102" s="1139">
        <f>1.942/L101</f>
        <v>1.0221052631578948</v>
      </c>
      <c r="M102" s="1139">
        <f>1.942/M101</f>
        <v>1.0221052631578948</v>
      </c>
      <c r="N102" s="1139">
        <f>1.942/N101</f>
        <v>1.0221052631578948</v>
      </c>
    </row>
    <row r="103" spans="1:14">
      <c r="A103" s="3455"/>
      <c r="B103" s="1138">
        <v>2</v>
      </c>
      <c r="C103" s="1139">
        <f>1.4198/C101</f>
        <v>0.74726315789473685</v>
      </c>
      <c r="D103" s="1139">
        <f>1.4198/D101</f>
        <v>0.74726315789473685</v>
      </c>
      <c r="E103" s="1139">
        <f>1.3372/E101</f>
        <v>0.70378947368421052</v>
      </c>
      <c r="F103" s="1139">
        <f>1.3372/F101</f>
        <v>0.70378947368421052</v>
      </c>
      <c r="G103" s="1139">
        <f>1.3372/G101</f>
        <v>0.70378947368421052</v>
      </c>
      <c r="H103" s="1139">
        <f>1.3372/H101</f>
        <v>0.70378947368421052</v>
      </c>
      <c r="I103" s="1139">
        <f>1.3372/I101</f>
        <v>0.70378947368421052</v>
      </c>
      <c r="J103" s="1139">
        <f>1.2799/J101</f>
        <v>0.67363157894736847</v>
      </c>
      <c r="K103" s="1139">
        <f>1.2799/K101</f>
        <v>0.67363157894736847</v>
      </c>
      <c r="L103" s="1139">
        <f>1.2799/L101</f>
        <v>0.67363157894736847</v>
      </c>
      <c r="M103" s="1139">
        <f>1.2799/M101</f>
        <v>0.67363157894736847</v>
      </c>
      <c r="N103" s="1139">
        <f>1.2799/N101</f>
        <v>0.67363157894736847</v>
      </c>
    </row>
    <row r="104" spans="1:14">
      <c r="A104" s="3455"/>
      <c r="B104" s="1138">
        <v>3</v>
      </c>
      <c r="C104" s="1139">
        <f>1.1594/C101</f>
        <v>0.61021052631578954</v>
      </c>
      <c r="D104" s="1139">
        <f>1.1594/D101</f>
        <v>0.61021052631578954</v>
      </c>
      <c r="E104" s="1139">
        <f>1.0788/E101</f>
        <v>0.56778947368421051</v>
      </c>
      <c r="F104" s="1139">
        <f>1.0788/F101</f>
        <v>0.56778947368421051</v>
      </c>
      <c r="G104" s="1139">
        <f>1.0788/G101</f>
        <v>0.56778947368421051</v>
      </c>
      <c r="H104" s="1139">
        <f>1.0788/H101</f>
        <v>0.56778947368421051</v>
      </c>
      <c r="I104" s="1139">
        <f>1.0788/I101</f>
        <v>0.56778947368421051</v>
      </c>
      <c r="J104" s="1139">
        <f>1.0072/J101</f>
        <v>0.53010526315789486</v>
      </c>
      <c r="K104" s="1139">
        <f>1.0072/K101</f>
        <v>0.53010526315789486</v>
      </c>
      <c r="L104" s="1139">
        <f>1.0072/L101</f>
        <v>0.53010526315789486</v>
      </c>
      <c r="M104" s="1139">
        <f>1.0072/M101</f>
        <v>0.53010526315789486</v>
      </c>
      <c r="N104" s="1139">
        <f>1.0072/N101</f>
        <v>0.53010526315789486</v>
      </c>
    </row>
    <row r="105" spans="1:14">
      <c r="A105" s="3455"/>
      <c r="B105" s="1138">
        <v>4</v>
      </c>
      <c r="C105" s="1139">
        <f>0.9622/C101</f>
        <v>0.50642105263157899</v>
      </c>
      <c r="D105" s="1139">
        <f>0.9622/D101</f>
        <v>0.50642105263157899</v>
      </c>
      <c r="E105" s="1139">
        <f>0.8656/E101</f>
        <v>0.45557894736842108</v>
      </c>
      <c r="F105" s="1139">
        <f>0.8656/F101</f>
        <v>0.45557894736842108</v>
      </c>
      <c r="G105" s="1139">
        <f>0.8656/G101</f>
        <v>0.45557894736842108</v>
      </c>
      <c r="H105" s="1139">
        <f>0.8656/H101</f>
        <v>0.45557894736842108</v>
      </c>
      <c r="I105" s="1139">
        <f>0.8656/I101</f>
        <v>0.45557894736842108</v>
      </c>
      <c r="J105" s="1139">
        <f>0.7525/J101</f>
        <v>0.39605263157894738</v>
      </c>
      <c r="K105" s="1139">
        <f>0.7525/K101</f>
        <v>0.39605263157894738</v>
      </c>
      <c r="L105" s="1139">
        <f>0.7525/L101</f>
        <v>0.39605263157894738</v>
      </c>
      <c r="M105" s="1139">
        <f>0.7525/M101</f>
        <v>0.39605263157894738</v>
      </c>
      <c r="N105" s="1139">
        <f>0.7525/N101</f>
        <v>0.39605263157894738</v>
      </c>
    </row>
    <row r="106" spans="1:14">
      <c r="A106" s="3455"/>
      <c r="B106" s="1138">
        <v>5</v>
      </c>
      <c r="C106" s="1139">
        <f>0.8417/C101</f>
        <v>0.443</v>
      </c>
      <c r="D106" s="1139">
        <f>0.8417/D101</f>
        <v>0.443</v>
      </c>
      <c r="E106" s="1139">
        <f>0.7371/E101</f>
        <v>0.38794736842105265</v>
      </c>
      <c r="F106" s="1139">
        <f>0.7371/F101</f>
        <v>0.38794736842105265</v>
      </c>
      <c r="G106" s="1139">
        <f>0.7371/G101</f>
        <v>0.38794736842105265</v>
      </c>
      <c r="H106" s="1139">
        <f>0.7371/H101</f>
        <v>0.38794736842105265</v>
      </c>
      <c r="I106" s="1139">
        <f>0.7371/I101</f>
        <v>0.38794736842105265</v>
      </c>
      <c r="J106" s="1139">
        <f>0.5659/J101</f>
        <v>0.29784210526315791</v>
      </c>
      <c r="K106" s="1139">
        <f>0.5659/K101</f>
        <v>0.29784210526315791</v>
      </c>
      <c r="L106" s="1139">
        <f>0.5659/L101</f>
        <v>0.29784210526315791</v>
      </c>
      <c r="M106" s="1139">
        <f>0.5659/M101</f>
        <v>0.29784210526315791</v>
      </c>
      <c r="N106" s="1139">
        <f>0.5659/N101</f>
        <v>0.29784210526315791</v>
      </c>
    </row>
    <row r="107" spans="1:14">
      <c r="A107" s="3455"/>
      <c r="B107" s="1138">
        <v>6</v>
      </c>
      <c r="C107" s="1139">
        <f>0.7608/C101</f>
        <v>0.40042105263157896</v>
      </c>
      <c r="D107" s="1139">
        <f>0.7608/D101</f>
        <v>0.40042105263157896</v>
      </c>
      <c r="E107" s="1139">
        <f>0.6482/E101</f>
        <v>0.3411578947368421</v>
      </c>
      <c r="F107" s="1139">
        <f>0.6482/F101</f>
        <v>0.3411578947368421</v>
      </c>
      <c r="G107" s="1139">
        <f>0.6482/G101</f>
        <v>0.3411578947368421</v>
      </c>
      <c r="H107" s="1139">
        <f>0.6482/H101</f>
        <v>0.3411578947368421</v>
      </c>
      <c r="I107" s="1139">
        <f>0.6482/I101</f>
        <v>0.3411578947368421</v>
      </c>
      <c r="J107" s="1139">
        <f>0.4525/J101</f>
        <v>0.23815789473684212</v>
      </c>
      <c r="K107" s="1139">
        <f>0.4525/K101</f>
        <v>0.23815789473684212</v>
      </c>
      <c r="L107" s="1139">
        <f>0.4525/L101</f>
        <v>0.23815789473684212</v>
      </c>
      <c r="M107" s="1139">
        <f>0.4525/M101</f>
        <v>0.23815789473684212</v>
      </c>
      <c r="N107" s="1139">
        <f>0.4525/N101</f>
        <v>0.23815789473684212</v>
      </c>
    </row>
    <row r="108" spans="1:14">
      <c r="A108" s="3455"/>
      <c r="B108" s="3457" t="s">
        <v>1638</v>
      </c>
      <c r="C108" s="1140">
        <f>C99</f>
        <v>1</v>
      </c>
      <c r="D108" s="1140">
        <f t="shared" ref="D108:N108" si="35">D99</f>
        <v>1</v>
      </c>
      <c r="E108" s="1140">
        <f t="shared" si="35"/>
        <v>1</v>
      </c>
      <c r="F108" s="1140">
        <f t="shared" si="35"/>
        <v>1</v>
      </c>
      <c r="G108" s="1140">
        <f t="shared" si="35"/>
        <v>1</v>
      </c>
      <c r="H108" s="1140">
        <f t="shared" si="35"/>
        <v>1</v>
      </c>
      <c r="I108" s="1140">
        <f t="shared" si="35"/>
        <v>1</v>
      </c>
      <c r="J108" s="1140">
        <f t="shared" si="35"/>
        <v>1</v>
      </c>
      <c r="K108" s="1140">
        <f t="shared" si="35"/>
        <v>1</v>
      </c>
      <c r="L108" s="1140">
        <f t="shared" si="35"/>
        <v>1</v>
      </c>
      <c r="M108" s="1140">
        <f t="shared" si="35"/>
        <v>1</v>
      </c>
      <c r="N108" s="1140">
        <f t="shared" si="35"/>
        <v>1</v>
      </c>
    </row>
    <row r="109" spans="1:14">
      <c r="A109" s="3456"/>
      <c r="B109" s="3458"/>
      <c r="C109" s="1141">
        <f>(-0.163*(C108^2)-0.59*C108+7617)*(10^(-4))/C101</f>
        <v>0.40085510526315793</v>
      </c>
      <c r="D109" s="1141">
        <f>(-0.163*(D108^2)-0.59*D108+7617)*(10^(-4))/D101</f>
        <v>0.40085510526315793</v>
      </c>
      <c r="E109" s="1141">
        <f>(-0.161*(E108^2)-7.509*E108+6533)*(10^(-4))/E101</f>
        <v>0.34343842105263162</v>
      </c>
      <c r="F109" s="1141">
        <f>(-0.161*(F108^2)-7.509*F108+6533)*(10^(-4))/F101</f>
        <v>0.34343842105263162</v>
      </c>
      <c r="G109" s="1141">
        <f>(-0.161*(G108^2)-7.509*G108+6533)*(10^(-4))/G101</f>
        <v>0.34343842105263162</v>
      </c>
      <c r="H109" s="1141">
        <f>(-0.161*(H108^2)-7.509*H108+6533)*(10^(-4))/H101</f>
        <v>0.34343842105263162</v>
      </c>
      <c r="I109" s="1141">
        <f>(-0.161*(I108^2)-7.509*I108+6533)*(10^(-4))/I101</f>
        <v>0.34343842105263162</v>
      </c>
      <c r="J109" s="1141">
        <f>(-0.214*(J108^2)-21.991*J108+4665)*(10^(-4))/J101</f>
        <v>0.24435763157894738</v>
      </c>
      <c r="K109" s="1141">
        <f>(-0.214*(K108^2)-21.991*K108+4665)*(10^(-4))/K101</f>
        <v>0.24435763157894738</v>
      </c>
      <c r="L109" s="1141">
        <f>(-0.214*(L108^2)-21.991*L108+4665)*(10^(-4))/L101</f>
        <v>0.24435763157894738</v>
      </c>
      <c r="M109" s="1141">
        <f>(-0.214*(M108^2)-21.991*M108+4665)*(10^(-4))/M101</f>
        <v>0.24435763157894738</v>
      </c>
      <c r="N109" s="1141">
        <f>(-0.214*(N108^2)-21.991*N108+4665)*(10^(-4))/N101</f>
        <v>0.24435763157894738</v>
      </c>
    </row>
    <row r="110" spans="1:14">
      <c r="A110" s="3440" t="s">
        <v>1639</v>
      </c>
      <c r="B110" s="3440"/>
      <c r="C110" s="3440"/>
      <c r="D110" s="3440"/>
      <c r="E110" s="3440"/>
      <c r="F110" s="3440"/>
      <c r="G110" s="3440"/>
      <c r="H110" s="3440"/>
      <c r="I110" s="3440"/>
      <c r="J110" s="3440"/>
      <c r="K110" s="3214"/>
      <c r="L110" s="3214"/>
      <c r="M110" s="3214"/>
      <c r="N110" s="3214"/>
    </row>
    <row r="112" spans="1:14" ht="12.75" thickBot="1"/>
    <row r="113" spans="1:13" ht="25.5" thickBot="1">
      <c r="A113" s="1015" t="s">
        <v>896</v>
      </c>
      <c r="B113" s="2414">
        <f>G3</f>
        <v>1.9</v>
      </c>
      <c r="C113" s="1016" t="s">
        <v>897</v>
      </c>
      <c r="D113" s="1017">
        <f>SUMPRODUCT((A115:A118=F113)*(B114:M114=H113)*B115:M118)</f>
        <v>0.81240000000000001</v>
      </c>
      <c r="E113" s="1018" t="s">
        <v>898</v>
      </c>
      <c r="F113" s="1019" t="str">
        <f>E2</f>
        <v>商业</v>
      </c>
      <c r="G113" s="1018" t="s">
        <v>899</v>
      </c>
      <c r="H113" s="1019" t="str">
        <f>G2</f>
        <v>七级</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0.91559999999999997</v>
      </c>
      <c r="C115" s="1029">
        <f>B115</f>
        <v>0.91559999999999997</v>
      </c>
      <c r="D115" s="1029">
        <f>ROUND(0.8331-0.0109*B113,4)</f>
        <v>0.81240000000000001</v>
      </c>
      <c r="E115" s="1029">
        <f>D115</f>
        <v>0.81240000000000001</v>
      </c>
      <c r="F115" s="1029">
        <f>E115</f>
        <v>0.81240000000000001</v>
      </c>
      <c r="G115" s="1029">
        <f>F115</f>
        <v>0.81240000000000001</v>
      </c>
      <c r="H115" s="1029">
        <f>G115</f>
        <v>0.81240000000000001</v>
      </c>
      <c r="I115" s="1029">
        <f>ROUND(0.689-0.0155*B113,4)</f>
        <v>0.65959999999999996</v>
      </c>
      <c r="J115" s="1029">
        <f t="shared" ref="J115:M118" si="36">I115</f>
        <v>0.65959999999999996</v>
      </c>
      <c r="K115" s="1029">
        <f t="shared" si="36"/>
        <v>0.65959999999999996</v>
      </c>
      <c r="L115" s="1029">
        <f t="shared" si="36"/>
        <v>0.65959999999999996</v>
      </c>
      <c r="M115" s="1030">
        <f t="shared" si="36"/>
        <v>0.65959999999999996</v>
      </c>
    </row>
    <row r="116" spans="1:13" ht="12.75">
      <c r="A116" s="1028" t="s">
        <v>901</v>
      </c>
      <c r="B116" s="1029">
        <f>ROUND(0.949-0.012*B113,4)</f>
        <v>0.92620000000000002</v>
      </c>
      <c r="C116" s="1029">
        <f>B116</f>
        <v>0.92620000000000002</v>
      </c>
      <c r="D116" s="1029">
        <f>ROUND(0.8567-0.013*B113,4)</f>
        <v>0.83199999999999996</v>
      </c>
      <c r="E116" s="1029">
        <f t="shared" ref="E116:H117" si="37">D116</f>
        <v>0.83199999999999996</v>
      </c>
      <c r="F116" s="1029">
        <f t="shared" si="37"/>
        <v>0.83199999999999996</v>
      </c>
      <c r="G116" s="1029">
        <f t="shared" si="37"/>
        <v>0.83199999999999996</v>
      </c>
      <c r="H116" s="1029">
        <f t="shared" si="37"/>
        <v>0.83199999999999996</v>
      </c>
      <c r="I116" s="1029">
        <f>ROUND(0.7694-0.014*B113,4)</f>
        <v>0.74280000000000002</v>
      </c>
      <c r="J116" s="1029">
        <f t="shared" si="36"/>
        <v>0.74280000000000002</v>
      </c>
      <c r="K116" s="1029">
        <f t="shared" si="36"/>
        <v>0.74280000000000002</v>
      </c>
      <c r="L116" s="1029">
        <f t="shared" si="36"/>
        <v>0.74280000000000002</v>
      </c>
      <c r="M116" s="1030">
        <f t="shared" si="36"/>
        <v>0.74280000000000002</v>
      </c>
    </row>
    <row r="117" spans="1:13" ht="12.75">
      <c r="A117" s="1031" t="s">
        <v>902</v>
      </c>
      <c r="B117" s="1029">
        <f>ROUND(0.8808-0.006*B113,4)</f>
        <v>0.86939999999999995</v>
      </c>
      <c r="C117" s="1029">
        <f>B117</f>
        <v>0.86939999999999995</v>
      </c>
      <c r="D117" s="1029">
        <f>ROUND(0.8748-0.008*B113,4)</f>
        <v>0.85960000000000003</v>
      </c>
      <c r="E117" s="1029">
        <f t="shared" si="37"/>
        <v>0.85960000000000003</v>
      </c>
      <c r="F117" s="1029">
        <f t="shared" si="37"/>
        <v>0.85960000000000003</v>
      </c>
      <c r="G117" s="1029">
        <f t="shared" si="37"/>
        <v>0.85960000000000003</v>
      </c>
      <c r="H117" s="1029">
        <f t="shared" si="37"/>
        <v>0.85960000000000003</v>
      </c>
      <c r="I117" s="1029">
        <f>ROUND(0.7412-0.0095*B113,4)</f>
        <v>0.72319999999999995</v>
      </c>
      <c r="J117" s="1029">
        <f t="shared" si="36"/>
        <v>0.72319999999999995</v>
      </c>
      <c r="K117" s="1029">
        <f t="shared" si="36"/>
        <v>0.72319999999999995</v>
      </c>
      <c r="L117" s="1029">
        <f t="shared" si="36"/>
        <v>0.72319999999999995</v>
      </c>
      <c r="M117" s="1030">
        <f t="shared" si="36"/>
        <v>0.72319999999999995</v>
      </c>
    </row>
    <row r="118" spans="1:13" ht="13.5" thickBot="1">
      <c r="A118" s="1032" t="s">
        <v>903</v>
      </c>
      <c r="B118" s="1033">
        <f>ROUND(0.7275-0.01*B113,4)</f>
        <v>0.70850000000000002</v>
      </c>
      <c r="C118" s="1033">
        <f>B118</f>
        <v>0.70850000000000002</v>
      </c>
      <c r="D118" s="1033">
        <f>ROUND(0.7043-0.012*B113,4)</f>
        <v>0.68149999999999999</v>
      </c>
      <c r="E118" s="1033">
        <f>D118</f>
        <v>0.68149999999999999</v>
      </c>
      <c r="F118" s="1033">
        <f>E118</f>
        <v>0.68149999999999999</v>
      </c>
      <c r="G118" s="1033">
        <f>ROUND(0.6299-0.0122*B113,4)</f>
        <v>0.60670000000000002</v>
      </c>
      <c r="H118" s="1033">
        <f>G118</f>
        <v>0.60670000000000002</v>
      </c>
      <c r="I118" s="1033">
        <f>ROUND(0.5667-0.0136*B113,4)</f>
        <v>0.54090000000000005</v>
      </c>
      <c r="J118" s="1033">
        <f t="shared" si="36"/>
        <v>0.54090000000000005</v>
      </c>
      <c r="K118" s="1033">
        <f t="shared" si="36"/>
        <v>0.54090000000000005</v>
      </c>
      <c r="L118" s="1033">
        <f t="shared" si="36"/>
        <v>0.54090000000000005</v>
      </c>
      <c r="M118" s="1034">
        <f t="shared" si="36"/>
        <v>0.54090000000000005</v>
      </c>
    </row>
  </sheetData>
  <sheetProtection password="C66D" sheet="1" objects="1" scenarios="1" formatCells="0" formatColumns="0" formatRows="0"/>
  <dataConsolidate/>
  <mergeCells count="16">
    <mergeCell ref="A110:J110"/>
    <mergeCell ref="A33:A36"/>
    <mergeCell ref="A90:J90"/>
    <mergeCell ref="A91:A92"/>
    <mergeCell ref="B91:B92"/>
    <mergeCell ref="A93:A100"/>
    <mergeCell ref="A101:A109"/>
    <mergeCell ref="B108:B109"/>
    <mergeCell ref="A16:A17"/>
    <mergeCell ref="D16:E16"/>
    <mergeCell ref="F16:G16"/>
    <mergeCell ref="A7:A11"/>
    <mergeCell ref="W8:X8"/>
    <mergeCell ref="W9:W10"/>
    <mergeCell ref="W11:W13"/>
    <mergeCell ref="A12:A15"/>
  </mergeCells>
  <phoneticPr fontId="228" type="noConversion"/>
  <conditionalFormatting sqref="F47">
    <cfRule type="cellIs" dxfId="101" priority="5" stopIfTrue="1" operator="notEqual">
      <formula>"——"</formula>
    </cfRule>
  </conditionalFormatting>
  <conditionalFormatting sqref="F58">
    <cfRule type="cellIs" dxfId="100" priority="4" stopIfTrue="1" operator="notEqual">
      <formula>"——"</formula>
    </cfRule>
  </conditionalFormatting>
  <conditionalFormatting sqref="F69">
    <cfRule type="cellIs" dxfId="99" priority="3" stopIfTrue="1" operator="notEqual">
      <formula>"——"</formula>
    </cfRule>
  </conditionalFormatting>
  <conditionalFormatting sqref="F80">
    <cfRule type="cellIs" dxfId="98" priority="2" stopIfTrue="1" operator="notEqual">
      <formula>"——"</formula>
    </cfRule>
  </conditionalFormatting>
  <conditionalFormatting sqref="H58:H66 H47:H55 H69:H77 H80:H87">
    <cfRule type="cellIs" dxfId="97"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7" workbookViewId="0">
      <selection activeCell="C18" sqref="C18:C20"/>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647" t="s">
        <v>3061</v>
      </c>
      <c r="C1" s="2088"/>
      <c r="D1" s="2088"/>
      <c r="E1" s="2088"/>
      <c r="F1" s="2088"/>
      <c r="G1" s="2088"/>
      <c r="H1" s="2088"/>
      <c r="I1" s="2088"/>
      <c r="J1" s="2088"/>
      <c r="K1" s="421">
        <f>MATCH(B1,'数据-取费表'!A6:A16,0)+5</f>
        <v>7</v>
      </c>
    </row>
    <row r="2" spans="1:31" s="2025" customFormat="1" ht="18" customHeight="1">
      <c r="A2" s="2085" t="s">
        <v>467</v>
      </c>
      <c r="B2" s="2089">
        <f ca="1">C36</f>
        <v>263750</v>
      </c>
      <c r="C2" s="2088"/>
      <c r="D2" s="2088"/>
      <c r="E2" s="2088"/>
      <c r="F2" s="2088"/>
      <c r="G2" s="2088"/>
      <c r="H2" s="2088"/>
      <c r="I2" s="2088"/>
      <c r="J2" s="2088"/>
      <c r="K2" s="2088"/>
    </row>
    <row r="3" spans="1:31" s="2025" customFormat="1" ht="18" customHeight="1">
      <c r="A3" s="2090" t="s">
        <v>1684</v>
      </c>
      <c r="B3" s="2091">
        <f ca="1">ROUND(B2*10000/IF(B1="",'数据-汇总表'!E3,INDIRECT("'数据-取费表'!K"&amp;$K$1)),0)</f>
        <v>11335</v>
      </c>
      <c r="C3" s="2088"/>
      <c r="D3" s="2088"/>
      <c r="E3" s="2088"/>
      <c r="F3" s="2088"/>
      <c r="G3" s="2088"/>
      <c r="H3" s="2088"/>
      <c r="I3" s="2088"/>
      <c r="J3" s="2088"/>
      <c r="K3" s="2088"/>
    </row>
    <row r="4" spans="1:31" s="2025" customFormat="1" ht="18" customHeight="1">
      <c r="A4" s="425" t="s">
        <v>468</v>
      </c>
      <c r="B4" s="426">
        <f ca="1">ROUND(B2*10000/IF(B1="",'数据-汇总表'!D3,INDIRECT("'数据-取费表'!R"&amp;$K$1)),0)</f>
        <v>33311</v>
      </c>
      <c r="C4" s="427"/>
      <c r="D4" s="421"/>
      <c r="E4" s="421"/>
      <c r="F4" s="421"/>
      <c r="G4" s="421"/>
      <c r="H4" s="421"/>
      <c r="I4" s="421"/>
      <c r="J4" s="421"/>
      <c r="K4" s="421"/>
    </row>
    <row r="5" spans="1:31" s="2025" customFormat="1" ht="18" customHeight="1" thickBot="1">
      <c r="A5" s="428"/>
      <c r="B5" s="429">
        <f ca="1">ROUND(B2/(IF(B1="",'数据-汇总表'!D3,INDIRECT("'数据-取费表'!R"&amp;$K$1))/666.67),0)</f>
        <v>2221</v>
      </c>
      <c r="C5" s="430" t="s">
        <v>469</v>
      </c>
      <c r="D5" s="421"/>
      <c r="E5" s="421"/>
      <c r="F5" s="421"/>
      <c r="G5" s="421"/>
      <c r="H5" s="421"/>
      <c r="I5" s="421"/>
      <c r="J5" s="421"/>
      <c r="K5" s="421"/>
    </row>
    <row r="6" spans="1:31" s="2095" customFormat="1" ht="16.5" customHeight="1">
      <c r="A6" s="2666" t="s">
        <v>1842</v>
      </c>
      <c r="B6" s="2667"/>
      <c r="C6" s="2668">
        <f>SUM(C10:K10)</f>
        <v>511931</v>
      </c>
      <c r="D6" s="2667"/>
      <c r="E6" s="2667"/>
      <c r="F6" s="2667"/>
      <c r="G6" s="2667"/>
      <c r="H6" s="2667"/>
      <c r="I6" s="2667"/>
      <c r="J6" s="2667"/>
      <c r="K6" s="2669"/>
    </row>
    <row r="7" spans="1:31" s="2097" customFormat="1" ht="15">
      <c r="A7" s="2670" t="s">
        <v>470</v>
      </c>
      <c r="B7" s="2671" t="s">
        <v>471</v>
      </c>
      <c r="C7" s="435" t="s">
        <v>3061</v>
      </c>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1845</v>
      </c>
      <c r="B8" s="260" t="s">
        <v>472</v>
      </c>
      <c r="C8" s="2672">
        <v>22000</v>
      </c>
      <c r="D8" s="2672"/>
      <c r="E8" s="2672"/>
      <c r="F8" s="2672"/>
      <c r="G8" s="2672"/>
      <c r="H8" s="2672"/>
      <c r="I8" s="2672"/>
      <c r="J8" s="2672"/>
      <c r="K8" s="2673"/>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1846</v>
      </c>
      <c r="B9" s="260" t="s">
        <v>473</v>
      </c>
      <c r="C9" s="440">
        <f>SUMIF('数据-汇总表'!$C19:$C33,'剩余法-商业'!C7,'数据-汇总表'!$E19:$E33)</f>
        <v>232696</v>
      </c>
      <c r="D9" s="440">
        <f>SUMIF('数据-汇总表'!$C19:$C33,'剩余法-商业'!D7,'数据-汇总表'!$E19:$E33)</f>
        <v>0</v>
      </c>
      <c r="E9" s="440">
        <f>SUMIF('数据-汇总表'!$C19:$C33,'剩余法-商业'!E7,'数据-汇总表'!$E19:$E33)</f>
        <v>0</v>
      </c>
      <c r="F9" s="440">
        <f>SUMIF('数据-汇总表'!$C19:$C33,'剩余法-商业'!F7,'数据-汇总表'!$E19:$E33)</f>
        <v>0</v>
      </c>
      <c r="G9" s="440">
        <f>SUMIF('数据-汇总表'!$C19:$C33,'剩余法-商业'!G7,'数据-汇总表'!$E19:$E33)</f>
        <v>0</v>
      </c>
      <c r="H9" s="440">
        <f>SUMIF('数据-汇总表'!$C19:$C33,'剩余法-商业'!H7,'数据-汇总表'!$E19:$E33)</f>
        <v>0</v>
      </c>
      <c r="I9" s="440">
        <f>SUMIF('数据-汇总表'!$C19:$C33,'剩余法-商业'!I7,'数据-汇总表'!$E19:$E33)</f>
        <v>0</v>
      </c>
      <c r="J9" s="440">
        <f>SUMIF('数据-汇总表'!$C19:$C33,'剩余法-商业'!J7,'数据-汇总表'!$E19:$E33)</f>
        <v>0</v>
      </c>
      <c r="K9" s="441">
        <f>SUMIF('数据-汇总表'!$C19:$C33,'剩余法-商业'!K7,'数据-汇总表'!$E19:$E33)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674" t="s">
        <v>1847</v>
      </c>
      <c r="B10" s="2660" t="s">
        <v>474</v>
      </c>
      <c r="C10" s="2863">
        <f>ROUND(C8*C9/10000,0)</f>
        <v>511931</v>
      </c>
      <c r="D10" s="2863"/>
      <c r="E10" s="2863"/>
      <c r="F10" s="2675"/>
      <c r="G10" s="2675"/>
      <c r="H10" s="2675"/>
      <c r="I10" s="2675"/>
      <c r="J10" s="2675"/>
      <c r="K10" s="2676"/>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677" t="s">
        <v>1843</v>
      </c>
      <c r="B11" s="2667"/>
      <c r="C11" s="2667"/>
      <c r="D11" s="2667"/>
      <c r="E11" s="2667"/>
      <c r="F11" s="2667"/>
      <c r="G11" s="2667"/>
      <c r="H11" s="2667"/>
      <c r="I11" s="2667"/>
      <c r="J11" s="2667"/>
      <c r="K11" s="2669"/>
    </row>
    <row r="12" spans="1:31" s="2069" customFormat="1" ht="13.5" customHeight="1">
      <c r="A12" s="2678" t="s">
        <v>470</v>
      </c>
      <c r="B12" s="2650" t="s">
        <v>471</v>
      </c>
      <c r="C12" s="2679" t="s">
        <v>475</v>
      </c>
      <c r="D12" s="3217" t="s">
        <v>476</v>
      </c>
      <c r="E12" s="3217" t="s">
        <v>477</v>
      </c>
      <c r="F12" s="3217" t="s">
        <v>478</v>
      </c>
      <c r="G12" s="2650"/>
      <c r="H12" s="2651"/>
      <c r="I12" s="2651"/>
      <c r="J12" s="2651"/>
      <c r="K12" s="2652"/>
    </row>
    <row r="13" spans="1:31" s="2100" customFormat="1" ht="13.5" customHeight="1">
      <c r="A13" s="2680" t="s">
        <v>1848</v>
      </c>
      <c r="B13" s="2681" t="s">
        <v>479</v>
      </c>
      <c r="C13" s="449">
        <f>'数据-取费表'!M7</f>
        <v>97732</v>
      </c>
      <c r="D13" s="2682"/>
      <c r="E13" s="2683"/>
      <c r="F13" s="2684"/>
      <c r="G13" s="2650"/>
      <c r="H13" s="2651"/>
      <c r="I13" s="2651"/>
      <c r="J13" s="2651"/>
      <c r="K13" s="2652"/>
    </row>
    <row r="14" spans="1:31" s="2100" customFormat="1" ht="13.5" customHeight="1">
      <c r="A14" s="2680" t="s">
        <v>1849</v>
      </c>
      <c r="B14" s="2681" t="s">
        <v>480</v>
      </c>
      <c r="C14" s="53">
        <f>ROUND(C13*F14,0)</f>
        <v>2932</v>
      </c>
      <c r="D14" s="2682"/>
      <c r="E14" s="2683"/>
      <c r="F14" s="2685">
        <f>'数据-取费表'!B33</f>
        <v>0.03</v>
      </c>
      <c r="G14" s="2650" t="s">
        <v>481</v>
      </c>
      <c r="H14" s="2651"/>
      <c r="I14" s="2651"/>
      <c r="J14" s="2651"/>
      <c r="K14" s="2652"/>
    </row>
    <row r="15" spans="1:31" s="2100" customFormat="1" ht="13.5" customHeight="1">
      <c r="A15" s="2680" t="s">
        <v>1850</v>
      </c>
      <c r="B15" s="2681" t="s">
        <v>482</v>
      </c>
      <c r="C15" s="53">
        <f ca="1">ROUND(IF(B1="",SUMIF('数据-取费表'!C:C,"住宅",'数据-取费表'!P:P)*F15,IF(INDIRECT("'数据-取费表'!c"&amp;$K$1)="住宅",INDIRECT("'数据-取费表'!P"&amp;$K$1)*F15,0)),0)</f>
        <v>0</v>
      </c>
      <c r="D15" s="2682"/>
      <c r="E15" s="2683"/>
      <c r="F15" s="2685">
        <f>'数据-取费表'!B34</f>
        <v>0.15</v>
      </c>
      <c r="G15" s="2650" t="s">
        <v>483</v>
      </c>
      <c r="H15" s="2651"/>
      <c r="I15" s="2651"/>
      <c r="J15" s="2651"/>
      <c r="K15" s="2652"/>
    </row>
    <row r="16" spans="1:31" s="2101" customFormat="1" ht="13.5" customHeight="1">
      <c r="A16" s="2680" t="s">
        <v>1851</v>
      </c>
      <c r="B16" s="2681" t="s">
        <v>484</v>
      </c>
      <c r="C16" s="53">
        <f ca="1">ROUND(D16*E16/10000,0)</f>
        <v>6981</v>
      </c>
      <c r="D16" s="2682">
        <f ca="1">IF(B1="",'数据-汇总表'!E3,INDIRECT("'数据-取费表'!K"&amp;$K$1)+INDIRECT("'数据-取费表'!S"&amp;$K$1))</f>
        <v>232696</v>
      </c>
      <c r="E16" s="53">
        <f>'数据-取费表'!B35</f>
        <v>300</v>
      </c>
      <c r="F16" s="2685"/>
      <c r="G16" s="2650"/>
      <c r="H16" s="2651"/>
      <c r="I16" s="2651"/>
      <c r="J16" s="2651"/>
      <c r="K16" s="2652"/>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680" t="s">
        <v>1852</v>
      </c>
      <c r="B17" s="2681" t="s">
        <v>485</v>
      </c>
      <c r="C17" s="2686">
        <f>ROUND(C13*F17,0)</f>
        <v>1466</v>
      </c>
      <c r="D17" s="474"/>
      <c r="E17" s="2686"/>
      <c r="F17" s="2687">
        <f>'数据-取费表'!B36</f>
        <v>1.4999999999999999E-2</v>
      </c>
      <c r="G17" s="260" t="s">
        <v>486</v>
      </c>
      <c r="H17" s="2653"/>
      <c r="I17" s="2653"/>
      <c r="J17" s="2653"/>
      <c r="K17" s="278"/>
    </row>
    <row r="18" spans="1:14" s="2100" customFormat="1" ht="13.5" customHeight="1">
      <c r="A18" s="2688" t="s">
        <v>1853</v>
      </c>
      <c r="B18" s="2689" t="s">
        <v>487</v>
      </c>
      <c r="C18" s="2690">
        <f ca="1">SUM(C13:C17)</f>
        <v>109111</v>
      </c>
      <c r="D18" s="2691"/>
      <c r="E18" s="467"/>
      <c r="F18" s="467"/>
      <c r="G18" s="2654" t="s">
        <v>2427</v>
      </c>
      <c r="H18" s="2655"/>
      <c r="I18" s="2655"/>
      <c r="J18" s="2655"/>
      <c r="K18" s="2656"/>
    </row>
    <row r="19" spans="1:14" s="2100" customFormat="1" ht="13.5" customHeight="1">
      <c r="A19" s="2688" t="s">
        <v>1854</v>
      </c>
      <c r="B19" s="2689" t="s">
        <v>488</v>
      </c>
      <c r="C19" s="3217">
        <f ca="1">ROUND(D19*E19/10000,0)</f>
        <v>4654</v>
      </c>
      <c r="D19" s="2692">
        <f ca="1">D16</f>
        <v>232696</v>
      </c>
      <c r="E19" s="3217">
        <f>'数据-取费表'!B32</f>
        <v>200</v>
      </c>
      <c r="F19" s="467"/>
      <c r="G19" s="2650" t="s">
        <v>489</v>
      </c>
      <c r="H19" s="2651"/>
      <c r="I19" s="2655"/>
      <c r="J19" s="2655"/>
      <c r="K19" s="2656"/>
    </row>
    <row r="20" spans="1:14" s="2100" customFormat="1" ht="13.5" customHeight="1">
      <c r="A20" s="2688" t="s">
        <v>1855</v>
      </c>
      <c r="B20" s="2689" t="s">
        <v>490</v>
      </c>
      <c r="C20" s="3217">
        <f ca="1">C21+C22-IF(B1="",'数据-取费表'!B29,IF(G20="已全部缴纳",C21+C22,H20))</f>
        <v>4654</v>
      </c>
      <c r="D20" s="2692"/>
      <c r="E20" s="3217"/>
      <c r="F20" s="2693"/>
      <c r="G20" s="2916" t="s">
        <v>3040</v>
      </c>
      <c r="H20" s="2648"/>
      <c r="I20" s="2649" t="s">
        <v>2647</v>
      </c>
      <c r="J20" s="2655"/>
      <c r="K20" s="2656"/>
    </row>
    <row r="21" spans="1:14" s="2100" customFormat="1" ht="13.5" customHeight="1">
      <c r="A21" s="2680" t="s">
        <v>1856</v>
      </c>
      <c r="B21" s="2681" t="s">
        <v>491</v>
      </c>
      <c r="C21" s="53">
        <f ca="1">ROUND(D21*E21/10000,0)</f>
        <v>0</v>
      </c>
      <c r="D21" s="2682">
        <f ca="1">IF(B1="",'数据-汇总表'!E5,IF(INDIRECT("'数据-取费表'!c"&amp;$K$1)="住宅",INDIRECT("'数据-取费表'!k"&amp;$K$1),0))</f>
        <v>0</v>
      </c>
      <c r="E21" s="53">
        <f>'数据-取费表'!B27</f>
        <v>170</v>
      </c>
      <c r="F21" s="2685"/>
      <c r="G21" s="26"/>
      <c r="H21" s="51"/>
      <c r="I21" s="51"/>
      <c r="J21" s="51"/>
      <c r="K21" s="2657"/>
    </row>
    <row r="22" spans="1:14" s="2100" customFormat="1" ht="13.5" customHeight="1">
      <c r="A22" s="2680" t="s">
        <v>1857</v>
      </c>
      <c r="B22" s="2681" t="s">
        <v>492</v>
      </c>
      <c r="C22" s="53">
        <f ca="1">ROUND(D22*E22/10000,0)</f>
        <v>4654</v>
      </c>
      <c r="D22" s="2682">
        <f ca="1">IF(B1="",'数据-汇总表'!E6,IF(INDIRECT("'数据-取费表'!c"&amp;$K$1)="住宅",INDIRECT("'数据-取费表'!s"&amp;$K$1),INDIRECT("'数据-取费表'!k"&amp;$K$1)+INDIRECT("'数据-取费表'!s"&amp;$K$1)))</f>
        <v>232696</v>
      </c>
      <c r="E22" s="53">
        <f>'数据-取费表'!B28</f>
        <v>200</v>
      </c>
      <c r="F22" s="2685"/>
      <c r="G22" s="26"/>
      <c r="H22" s="51"/>
      <c r="I22" s="51"/>
      <c r="J22" s="51"/>
      <c r="K22" s="2657"/>
    </row>
    <row r="23" spans="1:14" s="2100" customFormat="1" ht="13.5" customHeight="1">
      <c r="A23" s="2688" t="s">
        <v>1858</v>
      </c>
      <c r="B23" s="2869" t="s">
        <v>2829</v>
      </c>
      <c r="C23" s="2690">
        <f ca="1">ROUND((C18+C19+C20)*F23,0)</f>
        <v>2368</v>
      </c>
      <c r="D23" s="467"/>
      <c r="E23" s="467"/>
      <c r="F23" s="2694">
        <f>'数据-取费表'!B37</f>
        <v>0.02</v>
      </c>
      <c r="G23" s="2650" t="s">
        <v>2428</v>
      </c>
      <c r="H23" s="2651"/>
      <c r="I23" s="2651"/>
      <c r="J23" s="2651"/>
      <c r="K23" s="2652"/>
      <c r="L23" s="2102"/>
      <c r="M23" s="2102"/>
      <c r="N23" s="2102"/>
    </row>
    <row r="24" spans="1:14" s="2100" customFormat="1" ht="13.5" customHeight="1">
      <c r="A24" s="2688" t="s">
        <v>1859</v>
      </c>
      <c r="B24" s="2869" t="s">
        <v>2832</v>
      </c>
      <c r="C24" s="2690">
        <f>ROUND(C6*F24,0)</f>
        <v>10239</v>
      </c>
      <c r="D24" s="474"/>
      <c r="E24" s="472"/>
      <c r="F24" s="2694">
        <f>'数据-取费表'!B38</f>
        <v>0.02</v>
      </c>
      <c r="G24" s="2659" t="s">
        <v>499</v>
      </c>
      <c r="H24" s="2653"/>
      <c r="I24" s="2653"/>
      <c r="J24" s="2653"/>
      <c r="K24" s="278"/>
      <c r="L24" s="2102"/>
      <c r="M24" s="2102"/>
      <c r="N24" s="2102"/>
    </row>
    <row r="25" spans="1:14" s="2103" customFormat="1" ht="13.5" customHeight="1">
      <c r="A25" s="2688" t="s">
        <v>1860</v>
      </c>
      <c r="B25" s="2869" t="s">
        <v>2830</v>
      </c>
      <c r="C25" s="3033">
        <f>F25</f>
        <v>3.0499999999999999E-2</v>
      </c>
      <c r="D25" s="461" t="s">
        <v>2824</v>
      </c>
      <c r="E25" s="468"/>
      <c r="F25" s="2694">
        <f>'数据-取费表'!B48+'数据-取费表'!B49</f>
        <v>3.0499999999999999E-2</v>
      </c>
      <c r="G25" s="2658" t="s">
        <v>2988</v>
      </c>
      <c r="H25" s="2651"/>
      <c r="I25" s="2651"/>
      <c r="J25" s="2651"/>
      <c r="K25" s="2652"/>
    </row>
    <row r="26" spans="1:14" s="2102" customFormat="1" ht="13.5" customHeight="1">
      <c r="A26" s="2688" t="s">
        <v>1861</v>
      </c>
      <c r="B26" s="2870" t="s">
        <v>2831</v>
      </c>
      <c r="C26" s="2695">
        <f ca="1">C28</f>
        <v>7825</v>
      </c>
      <c r="D26" s="466">
        <f ca="1">C27</f>
        <v>0.1268</v>
      </c>
      <c r="E26" s="468" t="s">
        <v>495</v>
      </c>
      <c r="F26" s="470">
        <f ca="1">'数据-取费表'!B40</f>
        <v>4.7500000000000001E-2</v>
      </c>
      <c r="G26" s="2535" t="str">
        <f>IF('数据-取费表'!B22&lt;=1,"单利计息。","复利计息。")&amp;"后续开发成本、管理费用及销售费用产生的利息。"</f>
        <v>复利计息。后续开发成本、管理费用及销售费用产生的利息。</v>
      </c>
      <c r="H26" s="2655"/>
      <c r="I26" s="2655"/>
      <c r="J26" s="2655"/>
      <c r="K26" s="2656"/>
    </row>
    <row r="27" spans="1:14" s="2104" customFormat="1" ht="13.5" customHeight="1">
      <c r="A27" s="802" t="s">
        <v>1856</v>
      </c>
      <c r="B27" s="2696" t="s">
        <v>496</v>
      </c>
      <c r="C27" s="2697">
        <f ca="1">ROUND(IF('数据-取费表'!B22&lt;=1,(1+C25)*F26*'数据-取费表'!B24,(1+C25)*(POWER((1+F26),'数据-取费表'!B24)-1)),4)</f>
        <v>0.1268</v>
      </c>
      <c r="D27" s="471"/>
      <c r="E27" s="472"/>
      <c r="F27" s="473"/>
      <c r="G27" s="2535" t="str">
        <f>IF('数据-取费表'!B22&lt;=1,"（1+取得税费率/(1+5%)）×年利率×建设期","（1+取得税费率）/(1+5%)×((1+年利率)^建设期-1)")</f>
        <v>（1+取得税费率）/(1+5%)×((1+年利率)^建设期-1)</v>
      </c>
      <c r="H27" s="2653"/>
      <c r="I27" s="2653"/>
      <c r="J27" s="2653"/>
      <c r="K27" s="278"/>
    </row>
    <row r="28" spans="1:14" s="2104" customFormat="1" ht="13.5" customHeight="1">
      <c r="A28" s="802" t="s">
        <v>1857</v>
      </c>
      <c r="B28" s="2696" t="s">
        <v>2833</v>
      </c>
      <c r="C28" s="2698">
        <f ca="1">ROUND(IF('数据-取费表'!B22&lt;=1,(C18+C19+C20+C23+C24)*F26*'数据-取费表'!B24/2,(C18+C19+C20+C23+C24)*(POWER((1+F26),'数据-取费表'!B24/2)-1)),0)</f>
        <v>7825</v>
      </c>
      <c r="D28" s="471"/>
      <c r="E28" s="472"/>
      <c r="F28" s="473"/>
      <c r="G28" s="2535" t="str">
        <f>IF('数据-取费表'!B22&lt;=1,"（1）-（4）项×年利率×建设期÷2","（1）-（4）项×((1+年利率)^(建设期÷2)-1)")</f>
        <v>（1）-（4）项×((1+年利率)^(建设期÷2)-1)</v>
      </c>
      <c r="H28" s="2653"/>
      <c r="I28" s="2653"/>
      <c r="J28" s="2653"/>
      <c r="K28" s="278"/>
    </row>
    <row r="29" spans="1:14" s="2104" customFormat="1" ht="13.5" customHeight="1">
      <c r="A29" s="2699" t="s">
        <v>1862</v>
      </c>
      <c r="B29" s="2689" t="s">
        <v>497</v>
      </c>
      <c r="C29" s="2690">
        <f>ROUND(C6*F29/(1+'数据-取费表'!C42),0)</f>
        <v>27547</v>
      </c>
      <c r="D29" s="467"/>
      <c r="E29" s="467"/>
      <c r="F29" s="3265">
        <v>5.6500000000000002E-2</v>
      </c>
      <c r="G29" s="2659" t="s">
        <v>498</v>
      </c>
      <c r="H29" s="2651"/>
      <c r="I29" s="2651"/>
      <c r="J29" s="2651"/>
      <c r="K29" s="2652"/>
    </row>
    <row r="30" spans="1:14" s="2105" customFormat="1" ht="13.5" customHeight="1">
      <c r="A30" s="1619" t="s">
        <v>1863</v>
      </c>
      <c r="B30" s="2700" t="s">
        <v>500</v>
      </c>
      <c r="C30" s="2695">
        <f ca="1">C31</f>
        <v>166398</v>
      </c>
      <c r="D30" s="476">
        <f ca="1">C32</f>
        <v>0.1573</v>
      </c>
      <c r="E30" s="468" t="s">
        <v>495</v>
      </c>
      <c r="F30" s="470"/>
      <c r="G30" s="2658" t="s">
        <v>2968</v>
      </c>
      <c r="H30" s="2651"/>
      <c r="I30" s="2651"/>
      <c r="J30" s="2651"/>
      <c r="K30" s="2652"/>
    </row>
    <row r="31" spans="1:14" s="2104" customFormat="1" ht="13.5" customHeight="1">
      <c r="A31" s="802" t="s">
        <v>1856</v>
      </c>
      <c r="B31" s="2696"/>
      <c r="C31" s="449">
        <f ca="1">C18+C19+C20+C23+C24+C26+C29</f>
        <v>166398</v>
      </c>
      <c r="D31" s="471"/>
      <c r="E31" s="472"/>
      <c r="F31" s="473"/>
      <c r="G31" s="260"/>
      <c r="H31" s="2653"/>
      <c r="I31" s="2653"/>
      <c r="J31" s="2653"/>
      <c r="K31" s="278"/>
    </row>
    <row r="32" spans="1:14" s="2104" customFormat="1" ht="13.5" customHeight="1">
      <c r="A32" s="802" t="s">
        <v>1857</v>
      </c>
      <c r="B32" s="2696"/>
      <c r="C32" s="53">
        <f ca="1">ROUND(C25+D26,4)</f>
        <v>0.1573</v>
      </c>
      <c r="D32" s="471"/>
      <c r="E32" s="472"/>
      <c r="F32" s="473"/>
      <c r="G32" s="260"/>
      <c r="H32" s="2653"/>
      <c r="I32" s="2653"/>
      <c r="J32" s="2653"/>
      <c r="K32" s="278"/>
    </row>
    <row r="33" spans="1:11" s="2106" customFormat="1" ht="13.5" customHeight="1">
      <c r="A33" s="2868" t="s">
        <v>2828</v>
      </c>
      <c r="B33" s="2866" t="s">
        <v>2826</v>
      </c>
      <c r="C33" s="477">
        <f ca="1">C35</f>
        <v>13103</v>
      </c>
      <c r="D33" s="466">
        <f ca="1">C34</f>
        <v>0.1031</v>
      </c>
      <c r="E33" s="468" t="s">
        <v>495</v>
      </c>
      <c r="F33" s="478">
        <f ca="1">IF(B1="",'数据-取费表'!Q16,INDIRECT("'数据-取费表'!q"&amp;$K$1))</f>
        <v>0.1</v>
      </c>
      <c r="G33" s="2654"/>
      <c r="H33" s="2655"/>
      <c r="I33" s="2655"/>
      <c r="J33" s="2655"/>
      <c r="K33" s="2656"/>
    </row>
    <row r="34" spans="1:11" s="2107" customFormat="1" ht="13.5" customHeight="1">
      <c r="A34" s="374" t="s">
        <v>1856</v>
      </c>
      <c r="B34" s="2701" t="s">
        <v>501</v>
      </c>
      <c r="C34" s="471">
        <f ca="1">ROUND((1+C25)*F33,4)</f>
        <v>0.1031</v>
      </c>
      <c r="D34" s="471"/>
      <c r="E34" s="472"/>
      <c r="F34" s="479"/>
      <c r="G34" s="260" t="s">
        <v>2287</v>
      </c>
      <c r="H34" s="2653"/>
      <c r="I34" s="2653"/>
      <c r="J34" s="2653"/>
      <c r="K34" s="278"/>
    </row>
    <row r="35" spans="1:11" s="2107" customFormat="1" ht="13.5" customHeight="1" thickBot="1">
      <c r="A35" s="1620" t="s">
        <v>1857</v>
      </c>
      <c r="B35" s="2867" t="s">
        <v>2834</v>
      </c>
      <c r="C35" s="1612">
        <f ca="1">ROUND((C18+C19+C20+C23+C24)*F33,0)</f>
        <v>13103</v>
      </c>
      <c r="D35" s="1613"/>
      <c r="E35" s="2702"/>
      <c r="F35" s="1614"/>
      <c r="G35" s="2660"/>
      <c r="H35" s="2661"/>
      <c r="I35" s="2661"/>
      <c r="J35" s="2661"/>
      <c r="K35" s="2662"/>
    </row>
    <row r="36" spans="1:11" s="2069" customFormat="1" ht="13.5" customHeight="1" thickBot="1">
      <c r="A36" s="283" t="s">
        <v>1844</v>
      </c>
      <c r="B36" s="2664"/>
      <c r="C36" s="2703">
        <f ca="1">ROUND((C6-C30-C33)/(1+D30+D33),0)</f>
        <v>263750</v>
      </c>
      <c r="D36" s="2664"/>
      <c r="E36" s="2664"/>
      <c r="F36" s="2664"/>
      <c r="G36" s="2663" t="s">
        <v>2835</v>
      </c>
      <c r="H36" s="2664"/>
      <c r="I36" s="2664"/>
      <c r="J36" s="2664"/>
      <c r="K36" s="2665"/>
    </row>
    <row r="37" spans="1:11">
      <c r="C37" s="2109">
        <f ca="1">ROUND(C36*10000/D16,0)</f>
        <v>11335</v>
      </c>
    </row>
    <row r="38" spans="1:11" ht="12.75" customHeight="1"/>
  </sheetData>
  <sheetProtection password="C66D" sheet="1" objects="1" scenarios="1" formatCells="0" formatColumns="0" formatRows="0"/>
  <phoneticPr fontId="228"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A36" sqref="A36"/>
    </sheetView>
  </sheetViews>
  <sheetFormatPr defaultRowHeight="13.5"/>
  <sheetData/>
  <phoneticPr fontId="228"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opLeftCell="A11" zoomScale="80" zoomScaleNormal="80" workbookViewId="0">
      <selection activeCell="J20" sqref="J20"/>
    </sheetView>
  </sheetViews>
  <sheetFormatPr defaultColWidth="12" defaultRowHeight="12"/>
  <cols>
    <col min="1" max="1" width="9.75" style="1399" customWidth="1"/>
    <col min="2" max="2" width="20.875" style="1514" customWidth="1"/>
    <col min="3" max="4" width="12" style="1400"/>
    <col min="5" max="5" width="14.625" style="1400" customWidth="1"/>
    <col min="6" max="6" width="16.125" style="1400" customWidth="1"/>
    <col min="7"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991</v>
      </c>
      <c r="D1" s="1507">
        <f>SUM(D29:D30,D33:D39)</f>
        <v>328185.98</v>
      </c>
      <c r="E1" s="1401" t="s">
        <v>2424</v>
      </c>
      <c r="F1" s="2415">
        <f>'数据-汇总表'!D3</f>
        <v>798900</v>
      </c>
      <c r="G1" s="1396"/>
      <c r="H1" s="1396"/>
      <c r="I1" s="1396"/>
      <c r="J1" s="1396"/>
      <c r="K1" s="1396"/>
      <c r="L1" s="1866" t="s">
        <v>2236</v>
      </c>
      <c r="M1" s="1867">
        <f>SUMPRODUCT((区片价!B5:B9=I2)*(区片价!C3:F3=E2)*(区片价!C5:F9))</f>
        <v>0</v>
      </c>
      <c r="N1" s="1868">
        <f>SUMPRODUCT((因素修正幅度!B5:B9=I2)*(因素修正幅度!C3:F3=E2)*(因素修正幅度!C5:F9))</f>
        <v>0</v>
      </c>
      <c r="O1" s="1396"/>
      <c r="P1" s="1396"/>
      <c r="Q1" s="2173"/>
      <c r="R1" s="2774" t="s">
        <v>2757</v>
      </c>
      <c r="S1" s="2774" t="s">
        <v>2758</v>
      </c>
      <c r="T1" s="2774" t="s">
        <v>2779</v>
      </c>
      <c r="U1" s="2774" t="s">
        <v>2780</v>
      </c>
      <c r="V1" s="2774" t="s">
        <v>992</v>
      </c>
      <c r="W1" s="2173"/>
      <c r="X1" s="2173"/>
      <c r="Y1" s="2173"/>
      <c r="Z1" s="2173"/>
      <c r="AA1" s="2173"/>
      <c r="AB1" s="2173"/>
      <c r="AC1" s="2174"/>
    </row>
    <row r="2" spans="1:39" ht="15.75">
      <c r="A2" s="1401" t="s">
        <v>920</v>
      </c>
      <c r="B2" s="1037">
        <f ca="1">C26</f>
        <v>181503</v>
      </c>
      <c r="C2" s="1402" t="s">
        <v>921</v>
      </c>
      <c r="D2" s="1403" t="s">
        <v>898</v>
      </c>
      <c r="E2" s="1404" t="s">
        <v>1677</v>
      </c>
      <c r="F2" s="1403" t="s">
        <v>924</v>
      </c>
      <c r="G2" s="1636" t="str">
        <f>IF(E2="商业",项目基本情况!B43,IF(E2="办公",项目基本情况!C43,IF(E2="住宅",项目基本情况!D43,项目基本情况!E43)))</f>
        <v>七级</v>
      </c>
      <c r="H2" s="1403" t="s">
        <v>926</v>
      </c>
      <c r="I2" s="1637" t="str">
        <f>IF(E2="商业",项目基本情况!B44,IF(E2="办公",项目基本情况!C44,IF(E2="住宅",项目基本情况!D44,项目基本情况!E44)))</f>
        <v>Ⅶ-通1</v>
      </c>
      <c r="J2" s="1405"/>
      <c r="K2" s="1405"/>
      <c r="L2" s="1869" t="s">
        <v>2237</v>
      </c>
      <c r="M2" s="1870">
        <f>SUMPRODUCT((区片价!B10:B28=I2)*(区片价!C3:F3=E2)*(区片价!C10:F28))</f>
        <v>0</v>
      </c>
      <c r="N2" s="1871">
        <f>SUMPRODUCT((因素修正幅度!B10:B28=I2)*(因素修正幅度!C3:F3=E2)*(因素修正幅度!C10:F28))</f>
        <v>0</v>
      </c>
      <c r="O2" s="1405"/>
      <c r="P2" s="1396"/>
      <c r="Q2" s="2173"/>
      <c r="R2" s="2775">
        <v>1</v>
      </c>
      <c r="S2" s="2775">
        <f>ROUND(IF(G3&gt;1,IF(R2&lt;7,SUMPRODUCT((B93:B98=R2)*(C92:N92=G2)*(C93:N98)),SUMIF(C92:N92,G2,C100:N100)),IF(R2&lt;7,SUMPRODUCT((B102:B107=R2)*(C92:N92=G2)*(C102:N107)),SUMIF(C92:N92,G2,C109:N109))),4)</f>
        <v>1.8629</v>
      </c>
      <c r="T2" s="2775">
        <f ca="1">ROUND($C$5*$C$18*$C$19*$C$20*S2*$C$24,0)</f>
        <v>18903</v>
      </c>
      <c r="U2" s="2764"/>
      <c r="V2" s="2775">
        <f ca="1">ROUND(T2*U2/10000,0)</f>
        <v>0</v>
      </c>
      <c r="W2" s="2173"/>
      <c r="X2" s="2173"/>
      <c r="Y2" s="2173"/>
      <c r="Z2" s="2173"/>
      <c r="AA2" s="2173"/>
      <c r="AB2" s="2173"/>
      <c r="AC2" s="2174"/>
    </row>
    <row r="3" spans="1:39" ht="15.75">
      <c r="A3" s="1406" t="s">
        <v>1687</v>
      </c>
      <c r="B3" s="1037">
        <f ca="1">ROUND(B2*10000/D1,0)</f>
        <v>5530</v>
      </c>
      <c r="C3" s="1402" t="s">
        <v>927</v>
      </c>
      <c r="D3" s="1403" t="s">
        <v>928</v>
      </c>
      <c r="E3" s="1407" t="s">
        <v>3083</v>
      </c>
      <c r="F3" s="1408" t="s">
        <v>3081</v>
      </c>
      <c r="G3" s="1038">
        <f>IF(F3="宗地容积率",'数据-汇总表'!I4,IF(F3="估价对象容积率",'数据-汇总表'!I6,'数据-汇总表'!I7))</f>
        <v>1.9</v>
      </c>
      <c r="H3" s="1409" t="s">
        <v>929</v>
      </c>
      <c r="I3" s="1039">
        <v>1</v>
      </c>
      <c r="J3" s="1405" t="s">
        <v>930</v>
      </c>
      <c r="K3" s="1405"/>
      <c r="L3" s="1869" t="s">
        <v>2238</v>
      </c>
      <c r="M3" s="1870">
        <f>SUMPRODUCT((区片价!B29:B48=I2)*(区片价!C3:F3=E2)*(区片价!C29:F48))</f>
        <v>0</v>
      </c>
      <c r="N3" s="1871">
        <f>SUMPRODUCT((因素修正幅度!B29:B48=I2)*(因素修正幅度!C3:F3=E2)*(因素修正幅度!C29:F48))</f>
        <v>0</v>
      </c>
      <c r="O3" s="1405"/>
      <c r="P3" s="1396"/>
      <c r="Q3" s="2173"/>
      <c r="R3" s="2775">
        <v>2</v>
      </c>
      <c r="S3" s="2775">
        <f>ROUND(IF(G3&gt;1,IF(R3&lt;7,SUMPRODUCT((B93:B98=R3)*(C92:N92=G2)*(C93:N98)),SUMIF(C92:N92,G2,C100:N100)),IF(R3&lt;7,SUMPRODUCT((B102:B107=R3)*(C92:N92=G2)*(C102:N107)),SUMIF(C92:N92,G2,C109:N109))),4)</f>
        <v>1.3371999999999999</v>
      </c>
      <c r="T3" s="2775">
        <f t="shared" ref="T3:T16" ca="1" si="0">ROUND($C$5*$C$18*$C$19*$C$20*S3*$C$24,0)</f>
        <v>13568</v>
      </c>
      <c r="U3" s="2764"/>
      <c r="V3" s="2775">
        <f t="shared" ref="V3:V16" ca="1" si="1">ROUND(T3*U3/10000,0)</f>
        <v>0</v>
      </c>
      <c r="W3" s="2173"/>
      <c r="X3" s="2173"/>
      <c r="Y3" s="2173"/>
      <c r="Z3" s="2173"/>
      <c r="AA3" s="2173"/>
      <c r="AB3" s="2173"/>
      <c r="AC3" s="2174"/>
    </row>
    <row r="4" spans="1:39" ht="28.5">
      <c r="A4" s="1875" t="s">
        <v>2278</v>
      </c>
      <c r="B4" s="2416">
        <f ca="1">ROUND(B2*10000/F1,0)</f>
        <v>2272</v>
      </c>
      <c r="C4" s="1878" t="s">
        <v>2252</v>
      </c>
      <c r="D4" s="1878">
        <f ca="1">ROUND(B2/(F1/666.67),0)</f>
        <v>151</v>
      </c>
      <c r="E4" s="1878" t="s">
        <v>2253</v>
      </c>
      <c r="F4" s="1876"/>
      <c r="G4" s="1876"/>
      <c r="H4" s="1876"/>
      <c r="I4" s="1876"/>
      <c r="J4" s="1877"/>
      <c r="K4" s="3000"/>
      <c r="L4" s="1869" t="s">
        <v>2239</v>
      </c>
      <c r="M4" s="1870">
        <f>SUMPRODUCT((区片价!B49:B75=I2)*(区片价!C3:F3=E2)*(区片价!C49:F75))</f>
        <v>0</v>
      </c>
      <c r="N4" s="1871">
        <f>SUMPRODUCT((因素修正幅度!B49:B75=I2)*(因素修正幅度!C3:F3=E2)*(因素修正幅度!C49:F75))</f>
        <v>0</v>
      </c>
      <c r="O4" s="3000"/>
      <c r="P4" s="1396"/>
      <c r="Q4" s="2173"/>
      <c r="R4" s="2775">
        <v>3</v>
      </c>
      <c r="S4" s="2775">
        <f>ROUND(IF(G3&gt;1,IF(R4&lt;7,SUMPRODUCT((B93:B98=R4)*(C92:N92=G2)*(C93:N98)),SUMIF(C92:N92,G2,C100:N100)),IF(R4&lt;7,SUMPRODUCT((B102:B107=R4)*(C92:N92=G2)*(C102:N107)),SUMIF(C92:N92,G2,C109:N109))),4)</f>
        <v>1.0788</v>
      </c>
      <c r="T4" s="2775">
        <f t="shared" ca="1" si="0"/>
        <v>10946</v>
      </c>
      <c r="U4" s="2764"/>
      <c r="V4" s="2775">
        <f t="shared" ca="1" si="1"/>
        <v>0</v>
      </c>
      <c r="W4" s="2173"/>
      <c r="X4" s="2173"/>
      <c r="Y4" s="2173"/>
      <c r="Z4" s="2173"/>
      <c r="AA4" s="2173"/>
      <c r="AB4" s="2173"/>
      <c r="AC4" s="2174"/>
    </row>
    <row r="5" spans="1:39" s="1416" customFormat="1" ht="15.75" thickBot="1">
      <c r="A5" s="1622" t="s">
        <v>1823</v>
      </c>
      <c r="B5" s="1410" t="s">
        <v>931</v>
      </c>
      <c r="C5" s="1040">
        <f>ROUND(IF(E2="商业",C6*C7+C16,(IF(E2="住宅",C6*C12+C16,C6+C16))),0)</f>
        <v>7090</v>
      </c>
      <c r="D5" s="2941">
        <f>ROUND(C6+C16,0)</f>
        <v>7090</v>
      </c>
      <c r="E5" s="2941"/>
      <c r="F5" s="1411"/>
      <c r="G5" s="1412"/>
      <c r="H5" s="1412"/>
      <c r="I5" s="1412"/>
      <c r="J5" s="1413"/>
      <c r="K5" s="3001"/>
      <c r="L5" s="1869" t="s">
        <v>2240</v>
      </c>
      <c r="M5" s="1870">
        <f>SUMPRODUCT((区片价!B76:B109=I2)*(区片价!C3:F3=E2)*(区片价!C76:F109))</f>
        <v>0</v>
      </c>
      <c r="N5" s="1871">
        <f>SUMPRODUCT((因素修正幅度!B76:B109=I2)*(因素修正幅度!C3:F3=E2)*(因素修正幅度!C76:F109))</f>
        <v>0</v>
      </c>
      <c r="O5" s="3001"/>
      <c r="P5" s="1579"/>
      <c r="Q5" s="2173"/>
      <c r="R5" s="2775">
        <v>4</v>
      </c>
      <c r="S5" s="2775">
        <f>ROUND(IF(G3&gt;1,IF(R5&lt;7,SUMPRODUCT((B93:B98=R5)*(C92:N92=G2)*(C93:N98)),SUMIF(C92:N92,G2,C100:N100)),IF(R5&lt;7,SUMPRODUCT((B102:B107=R5)*(C92:N92=G2)*(C102:N107)),SUMIF(C92:N92,G2,C109:N109))),4)</f>
        <v>0.86560000000000004</v>
      </c>
      <c r="T5" s="2775">
        <f t="shared" ca="1" si="0"/>
        <v>8783</v>
      </c>
      <c r="U5" s="2764"/>
      <c r="V5" s="2775">
        <f t="shared" ca="1" si="1"/>
        <v>0</v>
      </c>
      <c r="W5" s="2173"/>
      <c r="X5" s="2173"/>
      <c r="Y5" s="2173"/>
      <c r="Z5" s="2173"/>
      <c r="AA5" s="2173"/>
      <c r="AB5" s="2173"/>
      <c r="AC5" s="2175"/>
      <c r="AD5" s="1414"/>
      <c r="AE5" s="1414"/>
      <c r="AF5" s="1414"/>
      <c r="AG5" s="1414"/>
      <c r="AH5" s="1414"/>
      <c r="AI5" s="1414"/>
      <c r="AJ5" s="1415"/>
      <c r="AK5" s="1415"/>
      <c r="AL5" s="1415"/>
      <c r="AM5" s="1415"/>
    </row>
    <row r="6" spans="1:39" ht="15.75" thickBot="1">
      <c r="A6" s="1623" t="s">
        <v>1870</v>
      </c>
      <c r="B6" s="1417" t="s">
        <v>931</v>
      </c>
      <c r="C6" s="1041">
        <f>SUMIF(L1:L12,'基准地价-办公'!G2,M1:M12)</f>
        <v>7090</v>
      </c>
      <c r="D6" s="1418" t="s">
        <v>1695</v>
      </c>
      <c r="E6" s="1419"/>
      <c r="F6" s="1419"/>
      <c r="G6" s="1420"/>
      <c r="H6" s="1420"/>
      <c r="I6" s="1420"/>
      <c r="J6" s="1421"/>
      <c r="K6" s="1451"/>
      <c r="L6" s="1869" t="s">
        <v>2241</v>
      </c>
      <c r="M6" s="1870">
        <f>SUMPRODUCT((区片价!B110:B157=I2)*(区片价!C3:F3=E2)*(区片价!C110:F157))</f>
        <v>0</v>
      </c>
      <c r="N6" s="1871">
        <f>SUMPRODUCT((因素修正幅度!B110:B157=I2)*(因素修正幅度!C3:F3=E2)*(因素修正幅度!C110:F157))</f>
        <v>0</v>
      </c>
      <c r="O6" s="1451"/>
      <c r="P6" s="1580"/>
      <c r="Q6" s="2173"/>
      <c r="R6" s="2775">
        <v>5</v>
      </c>
      <c r="S6" s="2775">
        <f>ROUND(IF(G3&gt;1,IF(R6&lt;7,SUMPRODUCT((B93:B98=R6)*(C92:N92=G2)*(C93:N98)),SUMIF(C92:N92,G2,C100:N100)),IF(R6&lt;7,SUMPRODUCT((B102:B107=R6)*(C92:N92=G2)*(C102:N107)),SUMIF(C92:N92,G2,C109:N109))),4)</f>
        <v>0.73709999999999998</v>
      </c>
      <c r="T6" s="2775">
        <f t="shared" ca="1" si="0"/>
        <v>7479</v>
      </c>
      <c r="U6" s="2764"/>
      <c r="V6" s="2775">
        <f t="shared" ca="1" si="1"/>
        <v>0</v>
      </c>
      <c r="W6" s="2173"/>
      <c r="X6" s="2173"/>
      <c r="Y6" s="2173"/>
      <c r="Z6" s="2173"/>
      <c r="AA6" s="2173"/>
      <c r="AB6" s="2173"/>
      <c r="AC6" s="2175"/>
      <c r="AD6" s="1414"/>
      <c r="AE6" s="1414"/>
      <c r="AF6" s="1414"/>
      <c r="AG6" s="1414"/>
      <c r="AH6" s="1414"/>
      <c r="AI6" s="1414"/>
      <c r="AJ6" s="1415"/>
    </row>
    <row r="7" spans="1:39" ht="24">
      <c r="A7" s="3441" t="str">
        <f>IF(E2="商业",IF(C8="不临58条商业街","",2),"")</f>
        <v/>
      </c>
      <c r="B7" s="1422" t="s">
        <v>932</v>
      </c>
      <c r="C7" s="1042">
        <f>IF(C8="不临58条商业街",1,ROUND(1+(1.6*E8+1.2*E9+0.8*E10+0.4*E11)*C9,4))</f>
        <v>1</v>
      </c>
      <c r="D7" s="1423" t="s">
        <v>933</v>
      </c>
      <c r="E7" s="1043">
        <v>6</v>
      </c>
      <c r="F7" s="1424"/>
      <c r="G7" s="1425"/>
      <c r="H7" s="1425"/>
      <c r="I7" s="1425"/>
      <c r="J7" s="1426"/>
      <c r="K7" s="1451"/>
      <c r="L7" s="1869" t="s">
        <v>2242</v>
      </c>
      <c r="M7" s="1870">
        <f>SUMPRODUCT((区片价!B158:B205=I2)*(区片价!C3:F3=E2)*(区片价!C158:F205))</f>
        <v>7090</v>
      </c>
      <c r="N7" s="1871">
        <f>SUMPRODUCT((因素修正幅度!B158:B205=I2)*(因素修正幅度!C3:F3=E2)*(因素修正幅度!C158:F205))</f>
        <v>0.13</v>
      </c>
      <c r="O7" s="1451"/>
      <c r="P7" s="1580"/>
      <c r="Q7" s="2173"/>
      <c r="R7" s="2775">
        <v>6</v>
      </c>
      <c r="S7" s="2775">
        <f>ROUND(IF(G3&gt;1,IF(R7&lt;7,SUMPRODUCT((B93:B98=R7)*(C92:N92=G2)*(C93:N98)),SUMIF(C92:N92,G2,C100:N100)),IF(R7&lt;7,SUMPRODUCT((B102:B107=R7)*(C92:N92=G2)*(C102:N107)),SUMIF(C92:N92,G2,C109:N109))),4)</f>
        <v>0.6482</v>
      </c>
      <c r="T7" s="2775">
        <f t="shared" ca="1" si="0"/>
        <v>6577</v>
      </c>
      <c r="U7" s="2764"/>
      <c r="V7" s="2775">
        <f t="shared" ca="1" si="1"/>
        <v>0</v>
      </c>
      <c r="W7" s="3234" t="s">
        <v>2760</v>
      </c>
      <c r="X7" s="2765" t="str">
        <f>G2</f>
        <v>七级</v>
      </c>
      <c r="Y7" s="2765" t="s">
        <v>2761</v>
      </c>
      <c r="Z7" s="2766">
        <f>G3</f>
        <v>1.9</v>
      </c>
      <c r="AA7" s="2176"/>
      <c r="AB7" s="2176"/>
      <c r="AC7" s="2177"/>
      <c r="AD7" s="2767"/>
      <c r="AE7" s="2767"/>
      <c r="AF7" s="2767"/>
      <c r="AG7" s="2767"/>
      <c r="AH7" s="2767"/>
      <c r="AI7" s="2767"/>
      <c r="AJ7" s="2768"/>
    </row>
    <row r="8" spans="1:39" ht="25.5">
      <c r="A8" s="3442"/>
      <c r="B8" s="1409" t="s">
        <v>934</v>
      </c>
      <c r="C8" s="1515" t="s">
        <v>3082</v>
      </c>
      <c r="D8" s="1044" t="s">
        <v>935</v>
      </c>
      <c r="E8" s="1045">
        <f>ROUND(C11/E7,4)</f>
        <v>0</v>
      </c>
      <c r="F8" s="1427" t="s">
        <v>936</v>
      </c>
      <c r="G8" s="1428"/>
      <c r="H8" s="1428"/>
      <c r="I8" s="1428"/>
      <c r="J8" s="1429"/>
      <c r="K8" s="1451"/>
      <c r="L8" s="1869" t="s">
        <v>2243</v>
      </c>
      <c r="M8" s="1870">
        <f>SUMPRODUCT((区片价!B206:B244=I2)*(区片价!C3:F3=E2)*(区片价!C206:F244))</f>
        <v>0</v>
      </c>
      <c r="N8" s="1871">
        <f>SUMPRODUCT((因素修正幅度!B206:B244=I2)*(因素修正幅度!C3:F3=E2)*(因素修正幅度!C206:F244))</f>
        <v>0</v>
      </c>
      <c r="O8" s="1451"/>
      <c r="P8" s="1396"/>
      <c r="Q8" s="2173"/>
      <c r="R8" s="2775">
        <v>7</v>
      </c>
      <c r="S8" s="2764"/>
      <c r="T8" s="2775">
        <f t="shared" ca="1" si="0"/>
        <v>0</v>
      </c>
      <c r="U8" s="2764"/>
      <c r="V8" s="2775">
        <f t="shared" ca="1" si="1"/>
        <v>0</v>
      </c>
      <c r="W8" s="3452" t="s">
        <v>2778</v>
      </c>
      <c r="X8" s="3453"/>
      <c r="Y8" s="1833" t="s">
        <v>2762</v>
      </c>
      <c r="Z8" s="1833" t="s">
        <v>2763</v>
      </c>
      <c r="AA8" s="1833" t="s">
        <v>2764</v>
      </c>
      <c r="AB8" s="1833" t="s">
        <v>2765</v>
      </c>
      <c r="AC8" s="1833" t="s">
        <v>2766</v>
      </c>
      <c r="AD8" s="1833" t="s">
        <v>2767</v>
      </c>
      <c r="AE8" s="1833" t="s">
        <v>2768</v>
      </c>
      <c r="AF8" s="1833" t="s">
        <v>2769</v>
      </c>
      <c r="AG8" s="1833" t="s">
        <v>2770</v>
      </c>
      <c r="AH8" s="1833" t="s">
        <v>2771</v>
      </c>
      <c r="AI8" s="1833" t="s">
        <v>2772</v>
      </c>
      <c r="AJ8" s="1833" t="s">
        <v>2773</v>
      </c>
    </row>
    <row r="9" spans="1:39" ht="15">
      <c r="A9" s="3442"/>
      <c r="B9" s="1409" t="s">
        <v>937</v>
      </c>
      <c r="C9" s="1046">
        <f>SUMIF(修正!C59:C119,C8,修正!E59:E119)</f>
        <v>0</v>
      </c>
      <c r="D9" s="1047" t="s">
        <v>938</v>
      </c>
      <c r="E9" s="1047">
        <f>ROUND(C11/E7,4)</f>
        <v>0</v>
      </c>
      <c r="F9" s="1427" t="s">
        <v>939</v>
      </c>
      <c r="G9" s="1428"/>
      <c r="H9" s="1428"/>
      <c r="I9" s="1428"/>
      <c r="J9" s="1429"/>
      <c r="K9" s="1451"/>
      <c r="L9" s="1869" t="s">
        <v>2244</v>
      </c>
      <c r="M9" s="1870">
        <f>SUMPRODUCT((区片价!B245:B289=I2)*(区片价!C3:F3=E2)*(区片价!C245:F289))</f>
        <v>0</v>
      </c>
      <c r="N9" s="1871">
        <f>SUMPRODUCT((因素修正幅度!B245:B289=I2)*(因素修正幅度!C3:F3=E2)*(因素修正幅度!C245:F289))</f>
        <v>0</v>
      </c>
      <c r="O9" s="1451"/>
      <c r="P9" s="1396"/>
      <c r="Q9" s="2173"/>
      <c r="R9" s="2775">
        <v>8</v>
      </c>
      <c r="S9" s="2764"/>
      <c r="T9" s="2775">
        <f t="shared" ca="1" si="0"/>
        <v>0</v>
      </c>
      <c r="U9" s="2764"/>
      <c r="V9" s="2775">
        <f t="shared" ca="1" si="1"/>
        <v>0</v>
      </c>
      <c r="W9" s="3451" t="s">
        <v>2774</v>
      </c>
      <c r="X9" s="2769" t="s">
        <v>2775</v>
      </c>
      <c r="Y9" s="2926"/>
      <c r="Z9" s="2770">
        <f t="shared" ref="Z9:AJ9" si="2">$Y$9</f>
        <v>0</v>
      </c>
      <c r="AA9" s="2770">
        <f t="shared" si="2"/>
        <v>0</v>
      </c>
      <c r="AB9" s="2770">
        <f t="shared" si="2"/>
        <v>0</v>
      </c>
      <c r="AC9" s="2770">
        <f t="shared" si="2"/>
        <v>0</v>
      </c>
      <c r="AD9" s="2770">
        <f t="shared" si="2"/>
        <v>0</v>
      </c>
      <c r="AE9" s="2770">
        <f t="shared" si="2"/>
        <v>0</v>
      </c>
      <c r="AF9" s="2770">
        <f t="shared" si="2"/>
        <v>0</v>
      </c>
      <c r="AG9" s="2770">
        <f t="shared" si="2"/>
        <v>0</v>
      </c>
      <c r="AH9" s="2770">
        <f t="shared" si="2"/>
        <v>0</v>
      </c>
      <c r="AI9" s="2770">
        <f t="shared" si="2"/>
        <v>0</v>
      </c>
      <c r="AJ9" s="2770">
        <f t="shared" si="2"/>
        <v>0</v>
      </c>
    </row>
    <row r="10" spans="1:39" ht="15">
      <c r="A10" s="3442"/>
      <c r="B10" s="1409" t="s">
        <v>940</v>
      </c>
      <c r="C10" s="1047">
        <f>SUMIF(修正!C59:C119,C8,修正!F59:F119)</f>
        <v>0</v>
      </c>
      <c r="D10" s="1047" t="s">
        <v>941</v>
      </c>
      <c r="E10" s="1047">
        <f>ROUND(C11/E7,4)</f>
        <v>0</v>
      </c>
      <c r="F10" s="1427" t="s">
        <v>942</v>
      </c>
      <c r="G10" s="1428"/>
      <c r="H10" s="1428"/>
      <c r="I10" s="1428"/>
      <c r="J10" s="1429"/>
      <c r="K10" s="1451"/>
      <c r="L10" s="1869" t="s">
        <v>2245</v>
      </c>
      <c r="M10" s="1870">
        <f>SUMPRODUCT((区片价!B290:B316=I2)*(区片价!C3:F3=E2)*(区片价!C290:F316))</f>
        <v>0</v>
      </c>
      <c r="N10" s="1871">
        <f>SUMPRODUCT((因素修正幅度!B290:B316=I2)*(因素修正幅度!C3:F3=E2)*(因素修正幅度!C290:F316))</f>
        <v>0</v>
      </c>
      <c r="O10" s="1451"/>
      <c r="P10" s="1396"/>
      <c r="Q10" s="2173"/>
      <c r="R10" s="2775">
        <v>9</v>
      </c>
      <c r="S10" s="2764"/>
      <c r="T10" s="2775">
        <f t="shared" ca="1" si="0"/>
        <v>0</v>
      </c>
      <c r="U10" s="2764"/>
      <c r="V10" s="2775">
        <f t="shared" ca="1" si="1"/>
        <v>0</v>
      </c>
      <c r="W10" s="3451"/>
      <c r="X10" s="2769">
        <v>7</v>
      </c>
      <c r="Y10" s="2771">
        <f>(-0.163*(Y9^2)-0.59*Y9+7617)*(10^(-4))</f>
        <v>0.76170000000000004</v>
      </c>
      <c r="Z10" s="2771">
        <f>(-0.163*(Z9^2)-0.59*Z9+7617)*(10^(-4))</f>
        <v>0.76170000000000004</v>
      </c>
      <c r="AA10" s="2771">
        <f>(-0.161*(AA9^2)-7.509*AA9+6533)*(10^(-4))</f>
        <v>0.65329999999999999</v>
      </c>
      <c r="AB10" s="2771">
        <f>(-0.161*(AB9^2)-7.509*AB9+6533)*(10^(-4))</f>
        <v>0.65329999999999999</v>
      </c>
      <c r="AC10" s="2771">
        <f>(-0.161*(AC9^2)-7.509*AC9+6533)*(10^(-4))</f>
        <v>0.65329999999999999</v>
      </c>
      <c r="AD10" s="2771">
        <f>(-0.161*(AD9^2)-7.509*AD9+6533)*(10^(-4))</f>
        <v>0.65329999999999999</v>
      </c>
      <c r="AE10" s="2771">
        <f>(-0.161*(AE9^2)-7.509*AE9+6533)*(10^(-4))</f>
        <v>0.65329999999999999</v>
      </c>
      <c r="AF10" s="2771">
        <f>(-0.214*(AF9^2)-21.991*AF9+4665)*(10^(-4))</f>
        <v>0.46650000000000003</v>
      </c>
      <c r="AG10" s="2771">
        <f>(-0.214*(AG9^2)-21.991*AG9+4665)*(10^(-4))</f>
        <v>0.46650000000000003</v>
      </c>
      <c r="AH10" s="2771">
        <f>(-0.214*(AH9^2)-21.991*AH9+4665)*(10^(-4))</f>
        <v>0.46650000000000003</v>
      </c>
      <c r="AI10" s="2771">
        <f>(-0.214*(AI9^2)-21.991*AI9+4665)*(10^(-4))</f>
        <v>0.46650000000000003</v>
      </c>
      <c r="AJ10" s="2771">
        <f>(-0.214*(AJ9^2)-21.991*AJ9+4665)*(10^(-4))</f>
        <v>0.46650000000000003</v>
      </c>
    </row>
    <row r="11" spans="1:39" ht="15.75" customHeight="1" thickBot="1">
      <c r="A11" s="3442"/>
      <c r="B11" s="1430" t="s">
        <v>943</v>
      </c>
      <c r="C11" s="1048">
        <f>C10/4</f>
        <v>0</v>
      </c>
      <c r="D11" s="1048" t="s">
        <v>944</v>
      </c>
      <c r="E11" s="1048">
        <f>ROUND(C11/E7,4)</f>
        <v>0</v>
      </c>
      <c r="F11" s="1431" t="s">
        <v>945</v>
      </c>
      <c r="G11" s="1432"/>
      <c r="H11" s="1432"/>
      <c r="I11" s="1432"/>
      <c r="J11" s="1433"/>
      <c r="K11" s="1451"/>
      <c r="L11" s="1869" t="s">
        <v>2246</v>
      </c>
      <c r="M11" s="1870">
        <f>SUMPRODUCT((区片价!B317:B337=I2)*(区片价!C3:F3=E2)*(区片价!C317:F337))</f>
        <v>0</v>
      </c>
      <c r="N11" s="1871">
        <f>SUMPRODUCT((因素修正幅度!B317:B337=I2)*(因素修正幅度!C3:F3=E2)*(因素修正幅度!C317:F337))</f>
        <v>0</v>
      </c>
      <c r="O11" s="1451"/>
      <c r="P11" s="1396"/>
      <c r="Q11" s="2173"/>
      <c r="R11" s="2775">
        <v>10</v>
      </c>
      <c r="S11" s="2764"/>
      <c r="T11" s="2775">
        <f t="shared" ca="1" si="0"/>
        <v>0</v>
      </c>
      <c r="U11" s="2764"/>
      <c r="V11" s="2775">
        <f t="shared" ca="1" si="1"/>
        <v>0</v>
      </c>
      <c r="W11" s="3451" t="s">
        <v>2776</v>
      </c>
      <c r="X11" s="1047" t="s">
        <v>2761</v>
      </c>
      <c r="Y11" s="1637">
        <f>$G$3</f>
        <v>1.9</v>
      </c>
      <c r="Z11" s="1637">
        <f t="shared" ref="Z11:AJ11" si="3">$G$3</f>
        <v>1.9</v>
      </c>
      <c r="AA11" s="1637">
        <f t="shared" si="3"/>
        <v>1.9</v>
      </c>
      <c r="AB11" s="1637">
        <f t="shared" si="3"/>
        <v>1.9</v>
      </c>
      <c r="AC11" s="1637">
        <f t="shared" si="3"/>
        <v>1.9</v>
      </c>
      <c r="AD11" s="1637">
        <f t="shared" si="3"/>
        <v>1.9</v>
      </c>
      <c r="AE11" s="1637">
        <f t="shared" si="3"/>
        <v>1.9</v>
      </c>
      <c r="AF11" s="1637">
        <f t="shared" si="3"/>
        <v>1.9</v>
      </c>
      <c r="AG11" s="1637">
        <f t="shared" si="3"/>
        <v>1.9</v>
      </c>
      <c r="AH11" s="1637">
        <f t="shared" si="3"/>
        <v>1.9</v>
      </c>
      <c r="AI11" s="1637">
        <f t="shared" si="3"/>
        <v>1.9</v>
      </c>
      <c r="AJ11" s="1637">
        <f t="shared" si="3"/>
        <v>1.9</v>
      </c>
    </row>
    <row r="12" spans="1:39" ht="24.75" customHeight="1" thickBot="1">
      <c r="A12" s="3441" t="s">
        <v>1871</v>
      </c>
      <c r="B12" s="1434" t="s">
        <v>946</v>
      </c>
      <c r="C12" s="1042">
        <f>ROUND(C15*D15*E15*F15*G15*H15*I15*J15,4)</f>
        <v>1</v>
      </c>
      <c r="D12" s="1435" t="s">
        <v>947</v>
      </c>
      <c r="E12" s="1436"/>
      <c r="F12" s="1436"/>
      <c r="G12" s="1437"/>
      <c r="H12" s="1437"/>
      <c r="I12" s="1437"/>
      <c r="J12" s="1438"/>
      <c r="K12" s="1451"/>
      <c r="L12" s="1872" t="s">
        <v>2247</v>
      </c>
      <c r="M12" s="1873">
        <f>SUMPRODUCT((区片价!B338:B344=I2)*(区片价!C3:F3=E2)*(区片价!C338:F344))</f>
        <v>0</v>
      </c>
      <c r="N12" s="1874">
        <f>SUMPRODUCT((因素修正幅度!B338:B344=I2)*(因素修正幅度!C3:F3=E2)*(因素修正幅度!C338:F344))</f>
        <v>0</v>
      </c>
      <c r="O12" s="1451"/>
      <c r="P12" s="1396"/>
      <c r="Q12" s="2173"/>
      <c r="R12" s="2775">
        <v>11</v>
      </c>
      <c r="S12" s="2764"/>
      <c r="T12" s="2775">
        <f t="shared" ca="1" si="0"/>
        <v>0</v>
      </c>
      <c r="U12" s="2764"/>
      <c r="V12" s="2775">
        <f t="shared" ca="1" si="1"/>
        <v>0</v>
      </c>
      <c r="W12" s="3451"/>
      <c r="X12" s="2772" t="s">
        <v>2777</v>
      </c>
      <c r="Y12" s="2770">
        <f t="shared" ref="Y12:AJ12" si="4">Y9</f>
        <v>0</v>
      </c>
      <c r="Z12" s="2770">
        <f t="shared" si="4"/>
        <v>0</v>
      </c>
      <c r="AA12" s="2770">
        <f t="shared" si="4"/>
        <v>0</v>
      </c>
      <c r="AB12" s="2770">
        <f t="shared" si="4"/>
        <v>0</v>
      </c>
      <c r="AC12" s="2770">
        <f t="shared" si="4"/>
        <v>0</v>
      </c>
      <c r="AD12" s="2770">
        <f t="shared" si="4"/>
        <v>0</v>
      </c>
      <c r="AE12" s="2770">
        <f t="shared" si="4"/>
        <v>0</v>
      </c>
      <c r="AF12" s="2770">
        <f t="shared" si="4"/>
        <v>0</v>
      </c>
      <c r="AG12" s="2770">
        <f t="shared" si="4"/>
        <v>0</v>
      </c>
      <c r="AH12" s="2770">
        <f t="shared" si="4"/>
        <v>0</v>
      </c>
      <c r="AI12" s="2770">
        <f t="shared" si="4"/>
        <v>0</v>
      </c>
      <c r="AJ12" s="2770">
        <f t="shared" si="4"/>
        <v>0</v>
      </c>
    </row>
    <row r="13" spans="1:39" ht="15">
      <c r="A13" s="3443"/>
      <c r="B13" s="1439" t="s">
        <v>1696</v>
      </c>
      <c r="C13" s="1440" t="s">
        <v>1697</v>
      </c>
      <c r="D13" s="1084" t="s">
        <v>1698</v>
      </c>
      <c r="E13" s="1084" t="s">
        <v>1699</v>
      </c>
      <c r="F13" s="1441" t="s">
        <v>948</v>
      </c>
      <c r="G13" s="1442" t="s">
        <v>1642</v>
      </c>
      <c r="H13" s="1443" t="s">
        <v>1642</v>
      </c>
      <c r="I13" s="1444" t="s">
        <v>1642</v>
      </c>
      <c r="J13" s="1445" t="s">
        <v>1642</v>
      </c>
      <c r="K13" s="3016"/>
      <c r="L13" s="3016"/>
      <c r="M13" s="3016"/>
      <c r="N13" s="3016"/>
      <c r="O13" s="3016"/>
      <c r="P13" s="1396"/>
      <c r="Q13" s="2173"/>
      <c r="R13" s="2775">
        <v>12</v>
      </c>
      <c r="S13" s="2764"/>
      <c r="T13" s="2775">
        <f t="shared" ca="1" si="0"/>
        <v>0</v>
      </c>
      <c r="U13" s="2764"/>
      <c r="V13" s="2775">
        <f t="shared" ca="1" si="1"/>
        <v>0</v>
      </c>
      <c r="W13" s="3451"/>
      <c r="X13" s="2772"/>
      <c r="Y13" s="2771">
        <f>(-0.163*(Y12^2)-0.59*Y12+7617)*(10^(-4))/Y11</f>
        <v>0.4008947368421053</v>
      </c>
      <c r="Z13" s="2771">
        <f t="shared" ref="Z13:AJ13" si="5">(-0.163*(Z12^2)-0.59*Z12+7617)*(10^(-4))/Z11</f>
        <v>0.4008947368421053</v>
      </c>
      <c r="AA13" s="2771">
        <f t="shared" si="5"/>
        <v>0.4008947368421053</v>
      </c>
      <c r="AB13" s="2771">
        <f t="shared" si="5"/>
        <v>0.4008947368421053</v>
      </c>
      <c r="AC13" s="2771">
        <f t="shared" si="5"/>
        <v>0.4008947368421053</v>
      </c>
      <c r="AD13" s="2771">
        <f t="shared" si="5"/>
        <v>0.4008947368421053</v>
      </c>
      <c r="AE13" s="2771">
        <f t="shared" si="5"/>
        <v>0.4008947368421053</v>
      </c>
      <c r="AF13" s="2771">
        <f t="shared" si="5"/>
        <v>0.4008947368421053</v>
      </c>
      <c r="AG13" s="2771">
        <f t="shared" si="5"/>
        <v>0.4008947368421053</v>
      </c>
      <c r="AH13" s="2771">
        <f t="shared" si="5"/>
        <v>0.4008947368421053</v>
      </c>
      <c r="AI13" s="2771">
        <f t="shared" si="5"/>
        <v>0.4008947368421053</v>
      </c>
      <c r="AJ13" s="2771">
        <f t="shared" si="5"/>
        <v>0.4008947368421053</v>
      </c>
    </row>
    <row r="14" spans="1:39" ht="12.75" customHeight="1">
      <c r="A14" s="3443"/>
      <c r="B14" s="1446"/>
      <c r="C14" s="1447"/>
      <c r="D14" s="1448"/>
      <c r="E14" s="1448"/>
      <c r="F14" s="1449"/>
      <c r="G14" s="1450" t="s">
        <v>949</v>
      </c>
      <c r="H14" s="1451"/>
      <c r="I14" s="1452"/>
      <c r="J14" s="1453"/>
      <c r="K14" s="3002"/>
      <c r="L14" s="3002"/>
      <c r="M14" s="3002"/>
      <c r="N14" s="3002"/>
      <c r="O14" s="3002"/>
      <c r="P14" s="1396"/>
      <c r="Q14" s="2173"/>
      <c r="R14" s="2775">
        <v>13</v>
      </c>
      <c r="S14" s="2764"/>
      <c r="T14" s="2775">
        <f t="shared" ca="1" si="0"/>
        <v>0</v>
      </c>
      <c r="U14" s="2764"/>
      <c r="V14" s="2775">
        <f t="shared" ca="1" si="1"/>
        <v>0</v>
      </c>
      <c r="W14" s="2173"/>
      <c r="X14" s="2173"/>
      <c r="Y14" s="2173"/>
      <c r="Z14" s="2173"/>
      <c r="AA14" s="2173"/>
      <c r="AB14" s="2173"/>
      <c r="AC14" s="2174"/>
    </row>
    <row r="15" spans="1:39" ht="13.5" customHeight="1" thickBot="1">
      <c r="A15" s="3444"/>
      <c r="B15" s="3021" t="s">
        <v>1700</v>
      </c>
      <c r="C15" s="1048">
        <f>IF(C14="有",1.1,1)</f>
        <v>1</v>
      </c>
      <c r="D15" s="1048">
        <f>IF(D14="有",1.1,1)</f>
        <v>1</v>
      </c>
      <c r="E15" s="1048">
        <f>IF(E14="有",1.1,1)</f>
        <v>1</v>
      </c>
      <c r="F15" s="1048">
        <f>IF(F14="500米范围内",1.2,IF(F14="500-1000米",1.1,1))</f>
        <v>1</v>
      </c>
      <c r="G15" s="3013">
        <v>1</v>
      </c>
      <c r="H15" s="3013">
        <v>1</v>
      </c>
      <c r="I15" s="3013">
        <v>1</v>
      </c>
      <c r="J15" s="3014">
        <v>1</v>
      </c>
      <c r="K15" s="3017"/>
      <c r="L15" s="3017"/>
      <c r="M15" s="3017"/>
      <c r="N15" s="3017"/>
      <c r="O15" s="3017"/>
      <c r="P15" s="1396"/>
      <c r="Q15" s="2173"/>
      <c r="R15" s="2775">
        <v>14</v>
      </c>
      <c r="S15" s="2764"/>
      <c r="T15" s="2775">
        <f t="shared" ca="1" si="0"/>
        <v>0</v>
      </c>
      <c r="U15" s="2764"/>
      <c r="V15" s="2775">
        <f t="shared" ca="1" si="1"/>
        <v>0</v>
      </c>
      <c r="W15" s="2173"/>
      <c r="X15" s="2173"/>
      <c r="Y15" s="2173"/>
      <c r="Z15" s="2173"/>
      <c r="AA15" s="2173"/>
      <c r="AB15" s="2173"/>
      <c r="AC15" s="2174"/>
    </row>
    <row r="16" spans="1:39" ht="24.6" customHeight="1">
      <c r="A16" s="3441" t="s">
        <v>1838</v>
      </c>
      <c r="B16" s="1422" t="s">
        <v>950</v>
      </c>
      <c r="C16" s="1051">
        <f>ROUND(IF(F17="与级别开发程度一致",0,(G17-E17)/C17),0)</f>
        <v>0</v>
      </c>
      <c r="D16" s="3459" t="s">
        <v>954</v>
      </c>
      <c r="E16" s="3460"/>
      <c r="F16" s="3459" t="s">
        <v>951</v>
      </c>
      <c r="G16" s="3460"/>
      <c r="H16" s="1454" t="s">
        <v>3009</v>
      </c>
      <c r="I16" s="1454" t="s">
        <v>3010</v>
      </c>
      <c r="J16" s="1454" t="s">
        <v>3011</v>
      </c>
      <c r="K16" s="1454" t="s">
        <v>3012</v>
      </c>
      <c r="L16" s="1454" t="s">
        <v>3013</v>
      </c>
      <c r="M16" s="1454" t="s">
        <v>3070</v>
      </c>
      <c r="N16" s="1454" t="s">
        <v>3071</v>
      </c>
      <c r="O16" s="3026" t="s">
        <v>3014</v>
      </c>
      <c r="P16" s="1396"/>
      <c r="Q16" s="2176"/>
      <c r="R16" s="2775">
        <v>15</v>
      </c>
      <c r="S16" s="2764"/>
      <c r="T16" s="2775">
        <f t="shared" ca="1" si="0"/>
        <v>0</v>
      </c>
      <c r="U16" s="2764"/>
      <c r="V16" s="2775">
        <f t="shared" ca="1" si="1"/>
        <v>0</v>
      </c>
      <c r="W16" s="2176"/>
      <c r="X16" s="2176"/>
      <c r="Y16" s="2176"/>
      <c r="Z16" s="2176"/>
      <c r="AA16" s="2176"/>
      <c r="AB16" s="2176"/>
      <c r="AC16" s="2177"/>
    </row>
    <row r="17" spans="1:40" ht="24.75" thickBot="1">
      <c r="A17" s="3445"/>
      <c r="B17" s="3027" t="s">
        <v>953</v>
      </c>
      <c r="C17" s="3028">
        <f>SUMPRODUCT((修正!A2:A5=E2)*(修正!B1:M1=G2)*(修正!B2:M5))</f>
        <v>2.5</v>
      </c>
      <c r="D17" s="3029" t="str">
        <f>IF(OR(G2="八级",G2="九级",G2="十级",G2="十一级",G2="十二级"),"五通一平","七通一平")</f>
        <v>七通一平</v>
      </c>
      <c r="E17" s="3019">
        <f>SUMPRODUCT((修正!B1:M1=G2)*(修正!B15:M15))</f>
        <v>300</v>
      </c>
      <c r="F17" s="3020" t="s">
        <v>3072</v>
      </c>
      <c r="G17" s="3019">
        <f>SUM(H17:O17)</f>
        <v>300</v>
      </c>
      <c r="H17" s="1050">
        <f>SUMPRODUCT((七通一平=H16)*(修正!B1:M1=G2)*(修正!B6:M14))</f>
        <v>65</v>
      </c>
      <c r="I17" s="1050">
        <f>SUMPRODUCT((七通一平=I16)*(修正!B1:M1=G2)*(修正!B6:M14))</f>
        <v>55</v>
      </c>
      <c r="J17" s="1050">
        <f>SUMPRODUCT((七通一平=J16)*(修正!B1:M1=G2)*(修正!B6:M14))</f>
        <v>15</v>
      </c>
      <c r="K17" s="1050">
        <f>SUMPRODUCT((七通一平=K16)*(修正!B1:M1=G2)*(修正!B6:M14))</f>
        <v>25</v>
      </c>
      <c r="L17" s="1050">
        <f>SUMPRODUCT((七通一平=L16)*(修正!B1:M1=G2)*(修正!B6:M14))</f>
        <v>35</v>
      </c>
      <c r="M17" s="1050">
        <f>SUMPRODUCT((七通一平=M16)*(修正!B1:M1=G2)*(修正!B6:M14))</f>
        <v>50</v>
      </c>
      <c r="N17" s="1050">
        <f>SUMPRODUCT((七通一平=N16)*(修正!B1:M1=G2)*(修正!B6:M14))</f>
        <v>40</v>
      </c>
      <c r="O17" s="3030">
        <f>SUMPRODUCT((七通一平=O16)*(修正!B1:M1=G2)*(修正!B6:M14))</f>
        <v>15</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618" t="s">
        <v>1826</v>
      </c>
      <c r="B18" s="3022" t="s">
        <v>955</v>
      </c>
      <c r="C18" s="3023">
        <f>SUMIF(修正!C18:C39,E3,修正!E18:E39)</f>
        <v>1</v>
      </c>
      <c r="D18" s="3024"/>
      <c r="E18" s="3025"/>
      <c r="F18" s="3007"/>
      <c r="G18" s="3001"/>
      <c r="H18" s="3001"/>
      <c r="I18" s="3001"/>
      <c r="J18" s="3015"/>
      <c r="K18" s="3001"/>
      <c r="L18" s="3001"/>
      <c r="M18" s="3001"/>
      <c r="N18" s="3001"/>
      <c r="O18" s="3001"/>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1827</v>
      </c>
      <c r="B19" s="1457" t="s">
        <v>956</v>
      </c>
      <c r="C19" s="1052">
        <f>地价!Z7</f>
        <v>1.3895999999999999</v>
      </c>
      <c r="D19" s="1461" t="s">
        <v>957</v>
      </c>
      <c r="E19" s="1053">
        <v>41640</v>
      </c>
      <c r="F19" s="1461" t="s">
        <v>958</v>
      </c>
      <c r="G19" s="1054">
        <f>'数据-取费表'!B2</f>
        <v>44078</v>
      </c>
      <c r="H19" s="1462" t="s">
        <v>2987</v>
      </c>
      <c r="I19" s="2624" t="str">
        <f>IF(H19="季度增幅（自定义）",SUMIF(N21:N24,E2,O21:O24),"")</f>
        <v/>
      </c>
      <c r="J19" s="1458"/>
      <c r="K19" s="3001"/>
      <c r="L19" s="2874" t="s">
        <v>2836</v>
      </c>
      <c r="M19" s="2875">
        <f>ROUND(SUMIF(地价!B2:F2,E2,地价!B31:F31),0)</f>
        <v>258</v>
      </c>
      <c r="N19" s="2626" t="s">
        <v>1676</v>
      </c>
      <c r="O19" s="2625">
        <f>ROUNDDOWN(DATEDIF(E19,G19,"M")/3,0)</f>
        <v>26</v>
      </c>
      <c r="P19" s="1581"/>
      <c r="Q19" s="2763"/>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618" t="s">
        <v>1828</v>
      </c>
      <c r="B20" s="2619" t="s">
        <v>971</v>
      </c>
      <c r="C20" s="2620">
        <f ca="1">ROUND(POWER(1+G20,J20-I20)*(POWER(1+G20,I20)-1)/(POWER(1+G20,J20)-1),4)</f>
        <v>1</v>
      </c>
      <c r="D20" s="2621" t="s">
        <v>972</v>
      </c>
      <c r="E20" s="2923">
        <f ca="1">存贷款利率!I4/100</f>
        <v>4.3499999999999997E-2</v>
      </c>
      <c r="F20" s="2621" t="s">
        <v>973</v>
      </c>
      <c r="G20" s="2622">
        <f ca="1">SUMIF(M26:P26,E2,M28:P28)</f>
        <v>5.1999999999999998E-2</v>
      </c>
      <c r="H20" s="2621" t="s">
        <v>974</v>
      </c>
      <c r="I20" s="2617">
        <f>SUMIF('数据-取费表'!C6:C15,E2,'数据-取费表'!F6:F15)/COUNTIF('数据-取费表'!C6:C15,E2)</f>
        <v>50</v>
      </c>
      <c r="J20" s="2623">
        <f>IF(E2="住宅",70,IF(E2="商业",40,50))</f>
        <v>50</v>
      </c>
      <c r="K20" s="3003"/>
      <c r="L20" s="2876" t="s">
        <v>2837</v>
      </c>
      <c r="M20" s="3010">
        <f>ROUND(SUMPRODUCT((地价!A4:A31=YEAR(G19)&amp;"-"&amp;ROUNDUP(MONTH(G19)/3,0))*(地价!B2:F2=E2)*(地价!B4:F31)),0)</f>
        <v>347</v>
      </c>
      <c r="N20" s="2629" t="s">
        <v>2641</v>
      </c>
      <c r="O20" s="2627" t="s">
        <v>2640</v>
      </c>
      <c r="P20" s="2628" t="s">
        <v>2646</v>
      </c>
      <c r="Q20" s="2763"/>
      <c r="R20" s="2179"/>
      <c r="S20" s="2179"/>
      <c r="T20" s="2179"/>
      <c r="U20" s="2179"/>
      <c r="V20" s="2179"/>
      <c r="W20" s="2179"/>
      <c r="X20" s="2179"/>
      <c r="Y20" s="1459"/>
      <c r="Z20" s="1459"/>
      <c r="AA20" s="1459"/>
      <c r="AB20" s="1459"/>
      <c r="AC20" s="1459"/>
      <c r="AD20" s="1459"/>
    </row>
    <row r="21" spans="1:40" s="1416" customFormat="1" ht="14.25">
      <c r="A21" s="1626" t="s">
        <v>1837</v>
      </c>
      <c r="B21" s="1467" t="s">
        <v>3015</v>
      </c>
      <c r="C21" s="1153">
        <f>IF(B21="容积率修正",IF(G3&lt;=10,D22,J22),C23)</f>
        <v>1.0901000000000001</v>
      </c>
      <c r="D21" s="1468"/>
      <c r="E21" s="1468"/>
      <c r="F21" s="1468"/>
      <c r="G21" s="1468"/>
      <c r="H21" s="1468"/>
      <c r="I21" s="1468"/>
      <c r="J21" s="1469"/>
      <c r="K21" s="3001"/>
      <c r="L21" s="1468"/>
      <c r="M21" s="1468"/>
      <c r="N21" s="1465" t="s">
        <v>975</v>
      </c>
      <c r="O21" s="1528"/>
      <c r="P21" s="2616">
        <f>SUMPRODUCT((地价!A3:A31=YEAR(G19)&amp;"-"&amp;ROUNDUP(MONTH(G19)/3,0))*(地价!AD2:AH2=N21)*(地价!AD3:AH31))</f>
        <v>1.2E-2</v>
      </c>
      <c r="Q21" s="2763"/>
      <c r="R21" s="2179"/>
      <c r="S21" s="2179"/>
      <c r="T21" s="2179"/>
      <c r="U21" s="2179"/>
      <c r="V21" s="2179"/>
      <c r="W21" s="2179"/>
      <c r="X21" s="2179"/>
      <c r="Y21" s="1398"/>
      <c r="Z21" s="1398"/>
      <c r="AA21" s="1398"/>
      <c r="AB21" s="1398"/>
      <c r="AC21" s="1459"/>
      <c r="AD21" s="1459"/>
    </row>
    <row r="22" spans="1:40" s="1416" customFormat="1" ht="14.25">
      <c r="A22" s="1627" t="s">
        <v>1870</v>
      </c>
      <c r="B22" s="1470" t="s">
        <v>976</v>
      </c>
      <c r="C22" s="1055" t="s">
        <v>1702</v>
      </c>
      <c r="D22" s="1055">
        <f>IF(E22=G22,F22,IF(G3&lt;=10,ROUND(F22+(H22-F22)*(G3-E22)/(G22-E22),4),"——"))</f>
        <v>1.0901000000000001</v>
      </c>
      <c r="E22" s="1038">
        <f>ROUNDDOWN(G3,1)</f>
        <v>1.9</v>
      </c>
      <c r="F22" s="105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1.0901000000000001</v>
      </c>
      <c r="G22" s="1038">
        <f>ROUNDUP(G3,1)</f>
        <v>1.9</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1.0901000000000001</v>
      </c>
      <c r="I22" s="1055" t="s">
        <v>977</v>
      </c>
      <c r="J22" s="1055" t="str">
        <f>IF(G3&gt;10,D113,"——")</f>
        <v>——</v>
      </c>
      <c r="K22" s="3004"/>
      <c r="L22" s="1468"/>
      <c r="M22" s="1468"/>
      <c r="N22" s="1465" t="s">
        <v>978</v>
      </c>
      <c r="O22" s="1528"/>
      <c r="P22" s="2616">
        <f>SUMPRODUCT((地价!A3:A31=YEAR(G19)&amp;"-"&amp;ROUNDUP(MONTH(G19)/3,0))*(地价!AD2:AH2=N22)*(地价!AD3:AH31))</f>
        <v>1.2E-2</v>
      </c>
      <c r="Q22" s="2763"/>
      <c r="R22" s="2179"/>
      <c r="S22" s="2179"/>
      <c r="T22" s="2179"/>
      <c r="U22" s="2179"/>
      <c r="V22" s="2179"/>
      <c r="W22" s="2179"/>
      <c r="X22" s="2179"/>
      <c r="Y22" s="1459"/>
      <c r="Z22" s="1459"/>
      <c r="AA22" s="1459"/>
      <c r="AB22" s="1459"/>
      <c r="AC22" s="1459"/>
      <c r="AD22" s="1459"/>
    </row>
    <row r="23" spans="1:40" ht="15.75" thickBot="1">
      <c r="A23" s="1627" t="s">
        <v>1871</v>
      </c>
      <c r="B23" s="1470" t="s">
        <v>979</v>
      </c>
      <c r="C23" s="1056">
        <f>ROUND(IF(G3&gt;1,IF(I3&lt;7,SUMPRODUCT((B93:B98=I3)*(C92:N92=G2)*(C93:N98)),SUMIF(C92:N92,G2,C100:N100)),IF(I3&lt;7,SUMPRODUCT((B102:B107=I3)*(C92:N92=G2)*(C102:N107)),SUMIF(C92:N92,G2,C109:N109))),4)</f>
        <v>1.8629</v>
      </c>
      <c r="D23" s="1516"/>
      <c r="E23" s="1516"/>
      <c r="F23" s="1517"/>
      <c r="G23" s="1518"/>
      <c r="H23" s="1519"/>
      <c r="I23" s="1520"/>
      <c r="J23" s="1520"/>
      <c r="K23" s="3005"/>
      <c r="L23" s="1396"/>
      <c r="M23" s="1396"/>
      <c r="N23" s="1465" t="s">
        <v>923</v>
      </c>
      <c r="O23" s="1528"/>
      <c r="P23" s="2616">
        <f>SUMPRODUCT((地价!A3:A31=YEAR(G19)&amp;"-"&amp;ROUNDUP(MONTH(G19)/3,0))*(地价!AD2:AH2=N23)*(地价!AD3:AH31))</f>
        <v>1.9699999999999999E-2</v>
      </c>
      <c r="Q23" s="2763"/>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7">
        <f>SUMIF(A44:A87,E2,B44:B87)</f>
        <v>1.0299</v>
      </c>
      <c r="D24" s="1521"/>
      <c r="E24" s="1522"/>
      <c r="F24" s="1522"/>
      <c r="G24" s="1522"/>
      <c r="H24" s="1522"/>
      <c r="I24" s="1522"/>
      <c r="J24" s="1522"/>
      <c r="K24" s="3005"/>
      <c r="L24" s="1468"/>
      <c r="M24" s="1468"/>
      <c r="N24" s="1465" t="s">
        <v>981</v>
      </c>
      <c r="O24" s="3009"/>
      <c r="P24" s="2616">
        <f>SUMPRODUCT((地价!A3:A31=YEAR(G19)&amp;"-"&amp;ROUNDUP(MONTH(G19)/3,0))*(地价!AD2:AH2=N24)*(地价!AD3:AH31))</f>
        <v>1.2699999999999999E-2</v>
      </c>
      <c r="Q24" s="2763"/>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011" t="s">
        <v>2644</v>
      </c>
      <c r="O25" s="3012"/>
      <c r="P25" s="2410">
        <f>SUMPRODUCT((地价!A3:A31=YEAR(G19)&amp;"-"&amp;ROUNDUP(MONTH(G19)/3,0))*(地价!AD2:AH2=N25)*(地价!AD3:AH31))</f>
        <v>1.7899999999999999E-2</v>
      </c>
      <c r="Q25" s="2763"/>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986</v>
      </c>
      <c r="C26" s="1058">
        <f ca="1">E29+SUM(E33:E39)</f>
        <v>181503</v>
      </c>
      <c r="D26" s="1476"/>
      <c r="E26" s="1451"/>
      <c r="F26" s="1477"/>
      <c r="G26" s="1451"/>
      <c r="H26" s="1451"/>
      <c r="I26" s="1451"/>
      <c r="J26" s="1478"/>
      <c r="K26" s="1451"/>
      <c r="L26" s="1582" t="s">
        <v>898</v>
      </c>
      <c r="M26" s="1423" t="s">
        <v>983</v>
      </c>
      <c r="N26" s="1423" t="s">
        <v>984</v>
      </c>
      <c r="O26" s="1423" t="s">
        <v>902</v>
      </c>
      <c r="P26" s="1463" t="s">
        <v>985</v>
      </c>
      <c r="Q26" s="2763"/>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59">
        <f ca="1">E30+SUM(I33:I39)</f>
        <v>45372</v>
      </c>
      <c r="D27" s="1480"/>
      <c r="E27" s="1481"/>
      <c r="F27" s="1482"/>
      <c r="G27" s="1481"/>
      <c r="H27" s="1481"/>
      <c r="I27" s="1481"/>
      <c r="J27" s="1483"/>
      <c r="K27" s="1451"/>
      <c r="L27" s="1455" t="s">
        <v>987</v>
      </c>
      <c r="M27" s="1046">
        <v>0.25</v>
      </c>
      <c r="N27" s="1046">
        <v>0.2</v>
      </c>
      <c r="O27" s="1046">
        <v>0.15</v>
      </c>
      <c r="P27" s="1525">
        <v>0.1</v>
      </c>
      <c r="Q27" s="2179"/>
      <c r="R27" s="2763"/>
      <c r="S27" s="2763"/>
      <c r="T27" s="2763"/>
      <c r="U27" s="2763"/>
      <c r="V27" s="2763"/>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763"/>
      <c r="S28" s="2763"/>
      <c r="T28" s="2763"/>
      <c r="U28" s="2763"/>
      <c r="V28" s="2763"/>
      <c r="W28" s="2179"/>
      <c r="X28" s="2179"/>
      <c r="Y28" s="2179"/>
      <c r="Z28" s="2179"/>
      <c r="AA28" s="2179"/>
      <c r="AB28" s="2179"/>
      <c r="AC28" s="2179"/>
      <c r="AD28" s="1459"/>
      <c r="AE28" s="1459"/>
      <c r="AF28" s="1459"/>
      <c r="AG28" s="1459"/>
    </row>
    <row r="29" spans="1:40" ht="32.25" customHeight="1">
      <c r="A29" s="1488"/>
      <c r="B29" s="1489" t="s">
        <v>993</v>
      </c>
      <c r="C29" s="1058">
        <f ca="1">ROUND(C5*C18*C19*C20*C21*C24,0)</f>
        <v>11061</v>
      </c>
      <c r="D29" s="1490">
        <f>'数据-汇总表'!F21</f>
        <v>164092.99</v>
      </c>
      <c r="E29" s="1833">
        <f ca="1">ROUND(C29*D29/10000,0)</f>
        <v>181503</v>
      </c>
      <c r="F29" s="1491" t="s">
        <v>1701</v>
      </c>
      <c r="G29" s="1492"/>
      <c r="H29" s="1492"/>
      <c r="I29" s="1492"/>
      <c r="J29" s="1493"/>
      <c r="K29" s="3006"/>
      <c r="L29" s="3006"/>
      <c r="M29" s="3006"/>
      <c r="N29" s="3006"/>
      <c r="O29" s="3006"/>
      <c r="P29" s="1396"/>
      <c r="Q29" s="2179"/>
      <c r="R29" s="2179"/>
      <c r="S29" s="2179"/>
      <c r="T29" s="2179"/>
      <c r="U29" s="2179"/>
      <c r="V29" s="2179"/>
      <c r="W29" s="2763"/>
      <c r="X29" s="2763"/>
      <c r="Y29" s="2763"/>
      <c r="Z29" s="2763"/>
      <c r="AA29" s="2763"/>
      <c r="AB29" s="2179"/>
      <c r="AC29" s="2179"/>
      <c r="AD29" s="2179"/>
      <c r="AE29" s="2179"/>
      <c r="AF29" s="2179"/>
      <c r="AG29" s="2179"/>
      <c r="AH29" s="2179"/>
      <c r="AJ29" s="1398"/>
      <c r="AK29" s="1398"/>
      <c r="AL29" s="1398"/>
      <c r="AM29" s="1397"/>
      <c r="AN29" s="1397"/>
    </row>
    <row r="30" spans="1:40" ht="24.75" thickBot="1">
      <c r="A30" s="1494"/>
      <c r="B30" s="1495" t="s">
        <v>994</v>
      </c>
      <c r="C30" s="1050">
        <f ca="1">ROUND(IF(E2="工业",C29*M39,C29*M38),0)</f>
        <v>2765</v>
      </c>
      <c r="D30" s="1496">
        <f>D29</f>
        <v>164092.99</v>
      </c>
      <c r="E30" s="1833">
        <f ca="1">ROUND(C30*D30/10000,0)</f>
        <v>45372</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007"/>
      <c r="L32" s="3007"/>
      <c r="M32" s="3007"/>
      <c r="N32" s="3007"/>
      <c r="O32" s="3007"/>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48" t="s">
        <v>2957</v>
      </c>
      <c r="B33" s="1510" t="s">
        <v>999</v>
      </c>
      <c r="C33" s="1058">
        <f ca="1">ROUND(D5*C19*C20*C24*F33,0)</f>
        <v>7103</v>
      </c>
      <c r="D33" s="1523"/>
      <c r="E33" s="1047">
        <f ca="1">ROUND(C33*D33/10000,0)</f>
        <v>0</v>
      </c>
      <c r="F33" s="1047">
        <f>SUMIF(修正!A45:A56,G2,修正!B45:B56)</f>
        <v>0.7</v>
      </c>
      <c r="G33" s="1047">
        <f t="shared" ref="G33" ca="1" si="6">ROUND(IF(E2="工业",C33*$M$39,C33*$M$38),0)</f>
        <v>1776</v>
      </c>
      <c r="H33" s="1047">
        <f>D33</f>
        <v>0</v>
      </c>
      <c r="I33" s="1047">
        <f ca="1">ROUND(G33*H33/10000,0)</f>
        <v>0</v>
      </c>
      <c r="J33" s="1511"/>
      <c r="K33" s="3008"/>
      <c r="L33" s="3008"/>
      <c r="M33" s="3008"/>
      <c r="N33" s="3008"/>
      <c r="O33" s="3008"/>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49"/>
      <c r="B34" s="1440" t="s">
        <v>1000</v>
      </c>
      <c r="C34" s="1058">
        <f ca="1">ROUND(D5*C19*C20*C24*F34,0)</f>
        <v>4059</v>
      </c>
      <c r="D34" s="1523"/>
      <c r="E34" s="1047">
        <f t="shared" ref="E34:E39" ca="1" si="7">ROUND(C34*D34/10000,0)</f>
        <v>0</v>
      </c>
      <c r="F34" s="1047">
        <f>SUMIF(修正!A45:A56,G2,修正!C45:C56)</f>
        <v>0.4</v>
      </c>
      <c r="G34" s="1047">
        <f ca="1">ROUND(IF(E2="工业",C34*$M$39,C34*$M$38),0)</f>
        <v>1015</v>
      </c>
      <c r="H34" s="1047">
        <f t="shared" ref="H34:H39" si="8">D34</f>
        <v>0</v>
      </c>
      <c r="I34" s="1047">
        <f t="shared" ref="I34:I39" ca="1" si="9">ROUND(G34*H34/10000,0)</f>
        <v>0</v>
      </c>
      <c r="J34" s="1511"/>
      <c r="K34" s="3008"/>
      <c r="L34" s="3008"/>
      <c r="M34" s="3008"/>
      <c r="N34" s="3008"/>
      <c r="O34" s="3008"/>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49"/>
      <c r="B35" s="1440" t="s">
        <v>1001</v>
      </c>
      <c r="C35" s="1058">
        <f ca="1">ROUND(D5*C19*C20*C24*F35,0)</f>
        <v>2841</v>
      </c>
      <c r="D35" s="1523"/>
      <c r="E35" s="1047">
        <f t="shared" ca="1" si="7"/>
        <v>0</v>
      </c>
      <c r="F35" s="1047">
        <f>SUMIF(修正!A45:A56,G2,修正!D45:D56)</f>
        <v>0.28000000000000003</v>
      </c>
      <c r="G35" s="1047">
        <f ca="1">ROUND(IF(E2="工业",C35*$M$39,C35*$M$38),0)</f>
        <v>710</v>
      </c>
      <c r="H35" s="1047">
        <f t="shared" si="8"/>
        <v>0</v>
      </c>
      <c r="I35" s="1047">
        <f t="shared" ca="1" si="9"/>
        <v>0</v>
      </c>
      <c r="J35" s="1511"/>
      <c r="K35" s="3008"/>
      <c r="L35" s="3008"/>
      <c r="M35" s="3008"/>
      <c r="N35" s="3008"/>
      <c r="O35" s="3008"/>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50"/>
      <c r="B36" s="1440" t="s">
        <v>1002</v>
      </c>
      <c r="C36" s="1058">
        <f ca="1">ROUND(D5*C19*C20*C24*F36,0)</f>
        <v>2537</v>
      </c>
      <c r="D36" s="1523"/>
      <c r="E36" s="1047">
        <f t="shared" ca="1" si="7"/>
        <v>0</v>
      </c>
      <c r="F36" s="1047">
        <f>SUMIF(修正!A45:A56,G2,修正!E45:E56)</f>
        <v>0.25</v>
      </c>
      <c r="G36" s="1047">
        <f ca="1">ROUND(IF(E2="工业",C36*$M$39,C36*$M$38),0)</f>
        <v>634</v>
      </c>
      <c r="H36" s="1047">
        <f t="shared" si="8"/>
        <v>0</v>
      </c>
      <c r="I36" s="1047">
        <f t="shared" ca="1" si="9"/>
        <v>0</v>
      </c>
      <c r="J36" s="1511"/>
      <c r="K36" s="3008"/>
      <c r="L36" s="3008"/>
      <c r="M36" s="3008"/>
      <c r="N36" s="3008"/>
      <c r="O36" s="3008"/>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1003</v>
      </c>
      <c r="C37" s="1047">
        <f ca="1">ROUND(D5*C19*C20*C24*F37,0)</f>
        <v>2537</v>
      </c>
      <c r="D37" s="1523"/>
      <c r="E37" s="1047">
        <f t="shared" ca="1" si="7"/>
        <v>0</v>
      </c>
      <c r="F37" s="1058">
        <f>SUMIF(修正!A45:A56,G2,修正!F45:F56)</f>
        <v>0.25</v>
      </c>
      <c r="G37" s="1047">
        <f ca="1">ROUND(IF(E2="工业",C37*$M$39,C37*$M$38),0)</f>
        <v>634</v>
      </c>
      <c r="H37" s="1047">
        <f t="shared" si="8"/>
        <v>0</v>
      </c>
      <c r="I37" s="1047">
        <f t="shared" ca="1" si="9"/>
        <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1004</v>
      </c>
      <c r="C38" s="1047">
        <f ca="1">ROUND(D5*C19*C41*C24*F38,0)</f>
        <v>0</v>
      </c>
      <c r="D38" s="1523"/>
      <c r="E38" s="1047">
        <f t="shared" ca="1" si="7"/>
        <v>0</v>
      </c>
      <c r="F38" s="1058">
        <f>SUMIF(修正!A45:A56,G2,修正!G45:G56)</f>
        <v>0.25</v>
      </c>
      <c r="G38" s="1047">
        <f ca="1">ROUND(IF(E2="工业",C38*$M$39,C38*$M$38),0)</f>
        <v>0</v>
      </c>
      <c r="H38" s="1047">
        <f t="shared" si="8"/>
        <v>0</v>
      </c>
      <c r="I38" s="1047">
        <f t="shared" ca="1" si="9"/>
        <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1005</v>
      </c>
      <c r="C39" s="1050">
        <f ca="1">ROUND(D5*C19*C41*C24*F39,0)</f>
        <v>0</v>
      </c>
      <c r="D39" s="1524"/>
      <c r="E39" s="1050">
        <f t="shared" ca="1" si="7"/>
        <v>0</v>
      </c>
      <c r="F39" s="1060">
        <f>SUMIF(修正!A45:A56,G2,修正!H45:H56)</f>
        <v>0.2</v>
      </c>
      <c r="G39" s="1050">
        <f ca="1">ROUND(IF(E2="工业",C39*$M$39,C39*$M$38),0)</f>
        <v>0</v>
      </c>
      <c r="H39" s="1050">
        <f t="shared" si="8"/>
        <v>0</v>
      </c>
      <c r="I39" s="1050">
        <f t="shared" ca="1" si="9"/>
        <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2999" t="s">
        <v>2981</v>
      </c>
      <c r="C41" s="838">
        <f ca="1">ROUND(POWER(1+E41,H41-G41)*(POWER(1+E41,G41)-1)/(POWER(1+E41,H41)-1),4)</f>
        <v>0</v>
      </c>
      <c r="D41" s="377" t="s">
        <v>2979</v>
      </c>
      <c r="E41" s="2998">
        <f ca="1">G20</f>
        <v>5.1999999999999998E-2</v>
      </c>
      <c r="F41" s="377" t="s">
        <v>2980</v>
      </c>
      <c r="G41" s="395"/>
      <c r="H41" s="377">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hidden="1">
      <c r="A45" s="2387" t="s">
        <v>975</v>
      </c>
      <c r="B45" s="2388" t="e">
        <f>1+E47</f>
        <v>#VALUE!</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hidden="1">
      <c r="A46" s="1062" t="s">
        <v>1008</v>
      </c>
      <c r="B46" s="2371" t="s">
        <v>1009</v>
      </c>
      <c r="C46" s="2393" t="s">
        <v>1010</v>
      </c>
      <c r="D46" s="2394" t="s">
        <v>1011</v>
      </c>
      <c r="E46" s="2395" t="s">
        <v>1013</v>
      </c>
      <c r="F46" s="2396" t="s">
        <v>2248</v>
      </c>
      <c r="G46" s="2394" t="s">
        <v>1014</v>
      </c>
      <c r="H46" s="2377" t="s">
        <v>2415</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hidden="1">
      <c r="A47" s="1062" t="s">
        <v>1020</v>
      </c>
      <c r="B47" s="2374" t="str">
        <f>估价对象房地状况!C16</f>
        <v>估价对象位于XX商圈，周边商业氛围成熟，人流量大，商业繁华度好</v>
      </c>
      <c r="C47" s="1049" t="s">
        <v>3073</v>
      </c>
      <c r="D47" s="2380" t="e">
        <f t="shared" ref="D47:D55" si="10">SUMIF($J$46:$N$46,C47,J47:N47)</f>
        <v>#VALUE!</v>
      </c>
      <c r="E47" s="2399" t="e">
        <f>ROUND(SUM(D47:D55),4)</f>
        <v>#VALUE!</v>
      </c>
      <c r="F47" s="2400" t="str">
        <f>IF(E2="商业",SUMIF(L1:L12,G2,N1:N12),"——")</f>
        <v>——</v>
      </c>
      <c r="G47" s="2378" t="str">
        <f>H47</f>
        <v>——</v>
      </c>
      <c r="H47" s="2424" t="str">
        <f t="shared" ref="H47:H55" si="11">IFERROR(ROUNDDOWN(($F$47*I47/2),4),"——")</f>
        <v>——</v>
      </c>
      <c r="I47" s="2398">
        <v>0.33</v>
      </c>
      <c r="J47" s="2401" t="e">
        <f t="shared" ref="J47:J55" si="12">K47+$G47</f>
        <v>#VALUE!</v>
      </c>
      <c r="K47" s="2401" t="e">
        <f t="shared" ref="K47:K55" si="13">$L47+$G47</f>
        <v>#VALUE!</v>
      </c>
      <c r="L47" s="2401">
        <v>0</v>
      </c>
      <c r="M47" s="2401" t="e">
        <f t="shared" ref="M47:N55" si="14">L47-$G47</f>
        <v>#VALUE!</v>
      </c>
      <c r="N47" s="2401" t="e">
        <f t="shared" si="14"/>
        <v>#VALUE!</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hidden="1">
      <c r="A48" s="1062" t="s">
        <v>1021</v>
      </c>
      <c r="B48" s="2371" t="str">
        <f>估价对象房地状况!C18</f>
        <v>估价对象周边道路状况、公共交通通达情况、停车便捷程度，综合评价交通便捷度较好</v>
      </c>
      <c r="C48" s="1049" t="s">
        <v>3016</v>
      </c>
      <c r="D48" s="2380">
        <f t="shared" si="10"/>
        <v>0</v>
      </c>
      <c r="E48" s="2402"/>
      <c r="F48" s="2400"/>
      <c r="G48" s="2378" t="str">
        <f t="shared" ref="G48:G55" si="15">H48</f>
        <v>——</v>
      </c>
      <c r="H48" s="2424" t="str">
        <f t="shared" si="11"/>
        <v>——</v>
      </c>
      <c r="I48" s="2398">
        <v>0.25</v>
      </c>
      <c r="J48" s="2401" t="e">
        <f t="shared" si="12"/>
        <v>#VALUE!</v>
      </c>
      <c r="K48" s="2401" t="e">
        <f t="shared" si="13"/>
        <v>#VALUE!</v>
      </c>
      <c r="L48" s="2401">
        <v>0</v>
      </c>
      <c r="M48" s="2401" t="e">
        <f t="shared" si="14"/>
        <v>#VALUE!</v>
      </c>
      <c r="N48" s="2401" t="e">
        <f t="shared" si="14"/>
        <v>#VALUE!</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hidden="1">
      <c r="A49" s="1062" t="s">
        <v>1022</v>
      </c>
      <c r="B49" s="2371">
        <f>估价对象房地状况!C19</f>
        <v>0</v>
      </c>
      <c r="C49" s="1049" t="s">
        <v>3017</v>
      </c>
      <c r="D49" s="2380" t="e">
        <f t="shared" si="10"/>
        <v>#VALUE!</v>
      </c>
      <c r="E49" s="2402"/>
      <c r="F49" s="2400"/>
      <c r="G49" s="2378" t="str">
        <f t="shared" si="15"/>
        <v>——</v>
      </c>
      <c r="H49" s="2424" t="str">
        <f t="shared" si="11"/>
        <v>——</v>
      </c>
      <c r="I49" s="2398">
        <v>0.05</v>
      </c>
      <c r="J49" s="2401" t="e">
        <f t="shared" si="12"/>
        <v>#VALUE!</v>
      </c>
      <c r="K49" s="2401" t="e">
        <f t="shared" si="13"/>
        <v>#VALUE!</v>
      </c>
      <c r="L49" s="2401">
        <v>0</v>
      </c>
      <c r="M49" s="2401" t="e">
        <f t="shared" si="14"/>
        <v>#VALUE!</v>
      </c>
      <c r="N49" s="2401" t="e">
        <f t="shared" si="14"/>
        <v>#VALUE!</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hidden="1">
      <c r="A50" s="1062" t="s">
        <v>1023</v>
      </c>
      <c r="B50" s="2925" t="s">
        <v>2934</v>
      </c>
      <c r="C50" s="1049" t="s">
        <v>3017</v>
      </c>
      <c r="D50" s="2380" t="e">
        <f t="shared" si="10"/>
        <v>#VALUE!</v>
      </c>
      <c r="E50" s="2402"/>
      <c r="F50" s="2400"/>
      <c r="G50" s="2378" t="str">
        <f t="shared" si="15"/>
        <v>——</v>
      </c>
      <c r="H50" s="2424" t="str">
        <f t="shared" si="11"/>
        <v>——</v>
      </c>
      <c r="I50" s="2398">
        <v>0.05</v>
      </c>
      <c r="J50" s="2401" t="e">
        <f t="shared" si="12"/>
        <v>#VALUE!</v>
      </c>
      <c r="K50" s="2401" t="e">
        <f t="shared" si="13"/>
        <v>#VALUE!</v>
      </c>
      <c r="L50" s="2401">
        <v>0</v>
      </c>
      <c r="M50" s="2401" t="e">
        <f t="shared" si="14"/>
        <v>#VALUE!</v>
      </c>
      <c r="N50" s="2401" t="e">
        <f t="shared" si="14"/>
        <v>#VALUE!</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hidden="1">
      <c r="A51" s="1062" t="s">
        <v>1024</v>
      </c>
      <c r="B51" s="2371">
        <f>估价对象房地状况!C24</f>
        <v>0</v>
      </c>
      <c r="C51" s="1049" t="s">
        <v>3017</v>
      </c>
      <c r="D51" s="2380" t="e">
        <f t="shared" si="10"/>
        <v>#VALUE!</v>
      </c>
      <c r="E51" s="2402"/>
      <c r="F51" s="2400"/>
      <c r="G51" s="2378" t="str">
        <f t="shared" si="15"/>
        <v>——</v>
      </c>
      <c r="H51" s="2424" t="str">
        <f t="shared" si="11"/>
        <v>——</v>
      </c>
      <c r="I51" s="2398">
        <v>0.08</v>
      </c>
      <c r="J51" s="2401" t="e">
        <f t="shared" si="12"/>
        <v>#VALUE!</v>
      </c>
      <c r="K51" s="2401" t="e">
        <f t="shared" si="13"/>
        <v>#VALUE!</v>
      </c>
      <c r="L51" s="2401">
        <v>0</v>
      </c>
      <c r="M51" s="2401" t="e">
        <f t="shared" si="14"/>
        <v>#VALUE!</v>
      </c>
      <c r="N51" s="2401" t="e">
        <f t="shared" si="14"/>
        <v>#VALUE!</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hidden="1">
      <c r="A52" s="1062" t="s">
        <v>1025</v>
      </c>
      <c r="B52" s="2924" t="s">
        <v>2933</v>
      </c>
      <c r="C52" s="1049" t="s">
        <v>3017</v>
      </c>
      <c r="D52" s="2380" t="e">
        <f t="shared" si="10"/>
        <v>#VALUE!</v>
      </c>
      <c r="E52" s="2402"/>
      <c r="F52" s="2400"/>
      <c r="G52" s="2378" t="str">
        <f t="shared" si="15"/>
        <v>——</v>
      </c>
      <c r="H52" s="2424" t="str">
        <f t="shared" si="11"/>
        <v>——</v>
      </c>
      <c r="I52" s="2398">
        <v>0.03</v>
      </c>
      <c r="J52" s="2401" t="e">
        <f t="shared" si="12"/>
        <v>#VALUE!</v>
      </c>
      <c r="K52" s="2401" t="e">
        <f t="shared" si="13"/>
        <v>#VALUE!</v>
      </c>
      <c r="L52" s="2401">
        <v>0</v>
      </c>
      <c r="M52" s="2401" t="e">
        <f t="shared" si="14"/>
        <v>#VALUE!</v>
      </c>
      <c r="N52" s="2401" t="e">
        <f t="shared" si="14"/>
        <v>#VALUE!</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hidden="1">
      <c r="A53" s="2403" t="s">
        <v>1026</v>
      </c>
      <c r="B53" s="2372" t="str">
        <f>估价对象房地状况!C21</f>
        <v>估价对象所在区域公共配套设施齐备情况</v>
      </c>
      <c r="C53" s="1049" t="s">
        <v>3073</v>
      </c>
      <c r="D53" s="2380" t="e">
        <f t="shared" si="10"/>
        <v>#VALUE!</v>
      </c>
      <c r="E53" s="2402"/>
      <c r="F53" s="2400"/>
      <c r="G53" s="2378" t="str">
        <f t="shared" si="15"/>
        <v>——</v>
      </c>
      <c r="H53" s="2424" t="str">
        <f t="shared" si="11"/>
        <v>——</v>
      </c>
      <c r="I53" s="2398">
        <v>0.05</v>
      </c>
      <c r="J53" s="2401" t="e">
        <f t="shared" si="12"/>
        <v>#VALUE!</v>
      </c>
      <c r="K53" s="2401" t="e">
        <f t="shared" si="13"/>
        <v>#VALUE!</v>
      </c>
      <c r="L53" s="2401">
        <v>0</v>
      </c>
      <c r="M53" s="2401" t="e">
        <f t="shared" si="14"/>
        <v>#VALUE!</v>
      </c>
      <c r="N53" s="2401" t="e">
        <f t="shared" si="14"/>
        <v>#VALUE!</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hidden="1">
      <c r="A54" s="2403" t="s">
        <v>1027</v>
      </c>
      <c r="B54" s="2371" t="str">
        <f>估价对象房地状况!C22</f>
        <v>估价对象所在区域基础设施水平</v>
      </c>
      <c r="C54" s="1049" t="s">
        <v>3074</v>
      </c>
      <c r="D54" s="2380" t="e">
        <f t="shared" si="10"/>
        <v>#VALUE!</v>
      </c>
      <c r="E54" s="2402"/>
      <c r="F54" s="2400"/>
      <c r="G54" s="2378" t="str">
        <f t="shared" si="15"/>
        <v>——</v>
      </c>
      <c r="H54" s="2424" t="str">
        <f t="shared" si="11"/>
        <v>——</v>
      </c>
      <c r="I54" s="2398">
        <v>0.1</v>
      </c>
      <c r="J54" s="2401" t="e">
        <f t="shared" si="12"/>
        <v>#VALUE!</v>
      </c>
      <c r="K54" s="2401" t="e">
        <f t="shared" si="13"/>
        <v>#VALUE!</v>
      </c>
      <c r="L54" s="2401">
        <v>0</v>
      </c>
      <c r="M54" s="2401" t="e">
        <f t="shared" si="14"/>
        <v>#VALUE!</v>
      </c>
      <c r="N54" s="2401" t="e">
        <f t="shared" si="14"/>
        <v>#VALUE!</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hidden="1" thickBot="1">
      <c r="A55" s="2404" t="s">
        <v>1028</v>
      </c>
      <c r="B55" s="2375" t="str">
        <f>估价对象房地状况!C20</f>
        <v>区域自然环境：；人文环境；综合评价环境状况一般</v>
      </c>
      <c r="C55" s="1049" t="s">
        <v>3016</v>
      </c>
      <c r="D55" s="2380">
        <f t="shared" si="10"/>
        <v>0</v>
      </c>
      <c r="E55" s="2406"/>
      <c r="F55" s="2400"/>
      <c r="G55" s="2378" t="str">
        <f t="shared" si="15"/>
        <v>——</v>
      </c>
      <c r="H55" s="2424" t="str">
        <f t="shared" si="11"/>
        <v>——</v>
      </c>
      <c r="I55" s="2405">
        <v>0.06</v>
      </c>
      <c r="J55" s="2401" t="e">
        <f t="shared" si="12"/>
        <v>#VALUE!</v>
      </c>
      <c r="K55" s="2401" t="e">
        <f t="shared" si="13"/>
        <v>#VALUE!</v>
      </c>
      <c r="L55" s="2401">
        <v>0</v>
      </c>
      <c r="M55" s="2401" t="e">
        <f t="shared" si="14"/>
        <v>#VALUE!</v>
      </c>
      <c r="N55" s="2401" t="e">
        <f t="shared" si="14"/>
        <v>#VALUE!</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984</v>
      </c>
      <c r="B56" s="2388">
        <f>1+E58</f>
        <v>1.0299</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2" t="s">
        <v>1008</v>
      </c>
      <c r="B57" s="2371"/>
      <c r="C57" s="2393" t="s">
        <v>1010</v>
      </c>
      <c r="D57" s="2394" t="s">
        <v>1011</v>
      </c>
      <c r="E57" s="2395" t="s">
        <v>1013</v>
      </c>
      <c r="F57" s="2396" t="s">
        <v>2248</v>
      </c>
      <c r="G57" s="2394" t="s">
        <v>1014</v>
      </c>
      <c r="H57" s="2377" t="s">
        <v>2415</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2" t="s">
        <v>1030</v>
      </c>
      <c r="B58" s="2374" t="str">
        <f>估价对象房地状况!C17</f>
        <v>估价对象位于XX商圈，周边办公楼项目较多，入驻率高，办公集聚程度较好</v>
      </c>
      <c r="C58" s="1049" t="s">
        <v>3016</v>
      </c>
      <c r="D58" s="2380">
        <f t="shared" ref="D58:D66" si="16">SUMIF($J$57:$N$57,C58,J58:N58)</f>
        <v>0</v>
      </c>
      <c r="E58" s="2399">
        <f>ROUND(SUM(D58:D66),4)</f>
        <v>2.9899999999999999E-2</v>
      </c>
      <c r="F58" s="2400">
        <f>IF(E2="办公",SUMIF(L1:L12,G2,N1:N12),"——")</f>
        <v>0.13</v>
      </c>
      <c r="G58" s="2378">
        <f>H58</f>
        <v>1.5599999999999999E-2</v>
      </c>
      <c r="H58" s="2424">
        <f>IFERROR(ROUNDDOWN($F$58*I58/2,4),"——")</f>
        <v>1.5599999999999999E-2</v>
      </c>
      <c r="I58" s="2398">
        <v>0.24</v>
      </c>
      <c r="J58" s="2401">
        <f t="shared" ref="J58:J66" si="17">K58+$G58</f>
        <v>3.1199999999999999E-2</v>
      </c>
      <c r="K58" s="2401">
        <f t="shared" ref="K58:K66" si="18">$L58+$G58</f>
        <v>1.5599999999999999E-2</v>
      </c>
      <c r="L58" s="2401">
        <v>0</v>
      </c>
      <c r="M58" s="2401">
        <f t="shared" ref="M58:N66" si="19">L58-$G58</f>
        <v>-1.5599999999999999E-2</v>
      </c>
      <c r="N58" s="2401">
        <f t="shared" si="19"/>
        <v>-3.1199999999999999E-2</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c r="A59" s="1062" t="s">
        <v>1021</v>
      </c>
      <c r="B59" s="2371" t="str">
        <f>估价对象房地状况!C18</f>
        <v>估价对象周边道路状况、公共交通通达情况、停车便捷程度，综合评价交通便捷度较好</v>
      </c>
      <c r="C59" s="1049" t="s">
        <v>3016</v>
      </c>
      <c r="D59" s="2380">
        <f t="shared" si="16"/>
        <v>0</v>
      </c>
      <c r="E59" s="2402"/>
      <c r="F59" s="2400"/>
      <c r="G59" s="2378">
        <f t="shared" ref="G59:G66" si="20">H59</f>
        <v>1.95E-2</v>
      </c>
      <c r="H59" s="2379">
        <f t="shared" ref="H59:H66" si="21">IFERROR($F$58*I59/2,"——")</f>
        <v>1.95E-2</v>
      </c>
      <c r="I59" s="2398">
        <v>0.3</v>
      </c>
      <c r="J59" s="2401">
        <f t="shared" si="17"/>
        <v>3.9E-2</v>
      </c>
      <c r="K59" s="2401">
        <f t="shared" si="18"/>
        <v>1.95E-2</v>
      </c>
      <c r="L59" s="2401">
        <v>0</v>
      </c>
      <c r="M59" s="2401">
        <f t="shared" si="19"/>
        <v>-1.95E-2</v>
      </c>
      <c r="N59" s="2401">
        <f t="shared" si="19"/>
        <v>-3.9E-2</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2" t="s">
        <v>1022</v>
      </c>
      <c r="B60" s="2371">
        <f>估价对象房地状况!C19</f>
        <v>0</v>
      </c>
      <c r="C60" s="1049" t="s">
        <v>3017</v>
      </c>
      <c r="D60" s="2380">
        <f t="shared" si="16"/>
        <v>5.2000000000000006E-3</v>
      </c>
      <c r="E60" s="2402"/>
      <c r="F60" s="2400"/>
      <c r="G60" s="2378">
        <f t="shared" si="20"/>
        <v>5.2000000000000006E-3</v>
      </c>
      <c r="H60" s="2379">
        <f t="shared" si="21"/>
        <v>5.2000000000000006E-3</v>
      </c>
      <c r="I60" s="2398">
        <v>0.08</v>
      </c>
      <c r="J60" s="2401">
        <f t="shared" si="17"/>
        <v>1.0400000000000001E-2</v>
      </c>
      <c r="K60" s="2401">
        <f t="shared" si="18"/>
        <v>5.2000000000000006E-3</v>
      </c>
      <c r="L60" s="2401">
        <v>0</v>
      </c>
      <c r="M60" s="2401">
        <f t="shared" si="19"/>
        <v>-5.2000000000000006E-3</v>
      </c>
      <c r="N60" s="2401">
        <f t="shared" si="19"/>
        <v>-1.0400000000000001E-2</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2" t="s">
        <v>1023</v>
      </c>
      <c r="B61" s="2925" t="s">
        <v>2934</v>
      </c>
      <c r="C61" s="1049" t="s">
        <v>3017</v>
      </c>
      <c r="D61" s="2380">
        <f t="shared" si="16"/>
        <v>2.6000000000000003E-3</v>
      </c>
      <c r="E61" s="2402"/>
      <c r="F61" s="2400"/>
      <c r="G61" s="2378">
        <f t="shared" si="20"/>
        <v>2.6000000000000003E-3</v>
      </c>
      <c r="H61" s="2379">
        <f t="shared" si="21"/>
        <v>2.6000000000000003E-3</v>
      </c>
      <c r="I61" s="2398">
        <v>0.04</v>
      </c>
      <c r="J61" s="2401">
        <f t="shared" si="17"/>
        <v>5.2000000000000006E-3</v>
      </c>
      <c r="K61" s="2401">
        <f t="shared" si="18"/>
        <v>2.6000000000000003E-3</v>
      </c>
      <c r="L61" s="2401">
        <v>0</v>
      </c>
      <c r="M61" s="2401">
        <f t="shared" si="19"/>
        <v>-2.6000000000000003E-3</v>
      </c>
      <c r="N61" s="2401">
        <f t="shared" si="19"/>
        <v>-5.2000000000000006E-3</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2" t="s">
        <v>1024</v>
      </c>
      <c r="B62" s="2371">
        <f>估价对象房地状况!C24</f>
        <v>0</v>
      </c>
      <c r="C62" s="1049" t="s">
        <v>3017</v>
      </c>
      <c r="D62" s="2380">
        <f t="shared" si="16"/>
        <v>3.2500000000000003E-3</v>
      </c>
      <c r="E62" s="2402"/>
      <c r="F62" s="2400"/>
      <c r="G62" s="2378">
        <f t="shared" si="20"/>
        <v>3.2500000000000003E-3</v>
      </c>
      <c r="H62" s="2379">
        <f t="shared" si="21"/>
        <v>3.2500000000000003E-3</v>
      </c>
      <c r="I62" s="2398">
        <v>0.05</v>
      </c>
      <c r="J62" s="2401">
        <f t="shared" si="17"/>
        <v>6.5000000000000006E-3</v>
      </c>
      <c r="K62" s="2401">
        <f t="shared" si="18"/>
        <v>3.2500000000000003E-3</v>
      </c>
      <c r="L62" s="2401">
        <v>0</v>
      </c>
      <c r="M62" s="2401">
        <f t="shared" si="19"/>
        <v>-3.2500000000000003E-3</v>
      </c>
      <c r="N62" s="2401">
        <f t="shared" si="19"/>
        <v>-6.5000000000000006E-3</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2" t="s">
        <v>1025</v>
      </c>
      <c r="B63" s="2924" t="s">
        <v>2933</v>
      </c>
      <c r="C63" s="1049" t="s">
        <v>3017</v>
      </c>
      <c r="D63" s="2380">
        <f t="shared" si="16"/>
        <v>3.2500000000000003E-3</v>
      </c>
      <c r="E63" s="2402"/>
      <c r="F63" s="2400"/>
      <c r="G63" s="2378">
        <f t="shared" si="20"/>
        <v>3.2500000000000003E-3</v>
      </c>
      <c r="H63" s="2379">
        <f t="shared" si="21"/>
        <v>3.2500000000000003E-3</v>
      </c>
      <c r="I63" s="2398">
        <v>0.05</v>
      </c>
      <c r="J63" s="2401">
        <f t="shared" si="17"/>
        <v>6.5000000000000006E-3</v>
      </c>
      <c r="K63" s="2401">
        <f t="shared" si="18"/>
        <v>3.2500000000000003E-3</v>
      </c>
      <c r="L63" s="2401">
        <v>0</v>
      </c>
      <c r="M63" s="2401">
        <f t="shared" si="19"/>
        <v>-3.2500000000000003E-3</v>
      </c>
      <c r="N63" s="2401">
        <f t="shared" si="19"/>
        <v>-6.5000000000000006E-3</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2" t="s">
        <v>1026</v>
      </c>
      <c r="B64" s="2372" t="str">
        <f>估价对象房地状况!C21</f>
        <v>估价对象所在区域公共配套设施齐备情况</v>
      </c>
      <c r="C64" s="1049" t="s">
        <v>3016</v>
      </c>
      <c r="D64" s="2380">
        <f t="shared" si="16"/>
        <v>0</v>
      </c>
      <c r="E64" s="2402"/>
      <c r="F64" s="2400"/>
      <c r="G64" s="2378">
        <f t="shared" si="20"/>
        <v>3.8999999999999998E-3</v>
      </c>
      <c r="H64" s="2379">
        <f t="shared" si="21"/>
        <v>3.8999999999999998E-3</v>
      </c>
      <c r="I64" s="2398">
        <v>0.06</v>
      </c>
      <c r="J64" s="2401">
        <f t="shared" si="17"/>
        <v>7.7999999999999996E-3</v>
      </c>
      <c r="K64" s="2401">
        <f t="shared" si="18"/>
        <v>3.8999999999999998E-3</v>
      </c>
      <c r="L64" s="2401">
        <v>0</v>
      </c>
      <c r="M64" s="2401">
        <f t="shared" si="19"/>
        <v>-3.8999999999999998E-3</v>
      </c>
      <c r="N64" s="2401">
        <f t="shared" si="19"/>
        <v>-7.7999999999999996E-3</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2" t="s">
        <v>1027</v>
      </c>
      <c r="B65" s="2372" t="str">
        <f>估价对象房地状况!C22</f>
        <v>估价对象所在区域基础设施水平</v>
      </c>
      <c r="C65" s="1049" t="s">
        <v>3074</v>
      </c>
      <c r="D65" s="2380">
        <f t="shared" si="16"/>
        <v>1.5599999999999999E-2</v>
      </c>
      <c r="E65" s="2402"/>
      <c r="F65" s="2400"/>
      <c r="G65" s="2378">
        <f t="shared" si="20"/>
        <v>7.7999999999999996E-3</v>
      </c>
      <c r="H65" s="2379">
        <f t="shared" si="21"/>
        <v>7.7999999999999996E-3</v>
      </c>
      <c r="I65" s="2398">
        <v>0.12</v>
      </c>
      <c r="J65" s="2401">
        <f t="shared" si="17"/>
        <v>1.5599999999999999E-2</v>
      </c>
      <c r="K65" s="2401">
        <f t="shared" si="18"/>
        <v>7.7999999999999996E-3</v>
      </c>
      <c r="L65" s="2401">
        <v>0</v>
      </c>
      <c r="M65" s="2401">
        <f t="shared" si="19"/>
        <v>-7.7999999999999996E-3</v>
      </c>
      <c r="N65" s="2401">
        <f t="shared" si="19"/>
        <v>-1.5599999999999999E-2</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1028</v>
      </c>
      <c r="B66" s="2376" t="str">
        <f>估价对象房地状况!C20</f>
        <v>区域自然环境：；人文环境；综合评价环境状况一般</v>
      </c>
      <c r="C66" s="1049" t="s">
        <v>3016</v>
      </c>
      <c r="D66" s="2380">
        <f t="shared" si="16"/>
        <v>0</v>
      </c>
      <c r="E66" s="2406"/>
      <c r="F66" s="2400"/>
      <c r="G66" s="2378">
        <f t="shared" si="20"/>
        <v>3.8999999999999998E-3</v>
      </c>
      <c r="H66" s="2379">
        <f t="shared" si="21"/>
        <v>3.8999999999999998E-3</v>
      </c>
      <c r="I66" s="2405">
        <v>0.06</v>
      </c>
      <c r="J66" s="2401">
        <f t="shared" si="17"/>
        <v>7.7999999999999996E-3</v>
      </c>
      <c r="K66" s="2401">
        <f t="shared" si="18"/>
        <v>3.8999999999999998E-3</v>
      </c>
      <c r="L66" s="2401">
        <v>0</v>
      </c>
      <c r="M66" s="2401">
        <f t="shared" si="19"/>
        <v>-3.8999999999999998E-3</v>
      </c>
      <c r="N66" s="2401">
        <f t="shared" si="19"/>
        <v>-7.7999999999999996E-3</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hidden="1">
      <c r="A67" s="2387" t="s">
        <v>902</v>
      </c>
      <c r="B67" s="2388" t="e">
        <f>1+E69</f>
        <v>#VALUE!</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hidden="1">
      <c r="A68" s="1062" t="s">
        <v>1008</v>
      </c>
      <c r="B68" s="2371"/>
      <c r="C68" s="2393" t="s">
        <v>1010</v>
      </c>
      <c r="D68" s="2394" t="s">
        <v>1011</v>
      </c>
      <c r="E68" s="2395" t="s">
        <v>1013</v>
      </c>
      <c r="F68" s="2396" t="s">
        <v>2248</v>
      </c>
      <c r="G68" s="2394" t="s">
        <v>1014</v>
      </c>
      <c r="H68" s="2377" t="s">
        <v>2415</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hidden="1">
      <c r="A69" s="1062" t="s">
        <v>1032</v>
      </c>
      <c r="B69" s="2374" t="str">
        <f>估价对象房地状况!C15</f>
        <v>估价对象周边居住用地比例、居住小区规模和社区发展完善程度，综合评价居住社区成熟度一般</v>
      </c>
      <c r="C69" s="1154" t="s">
        <v>3073</v>
      </c>
      <c r="D69" s="2380" t="e">
        <f t="shared" ref="D69:D77" si="22">SUMIF($J$68:$N$68,C69,J69:N69)</f>
        <v>#VALUE!</v>
      </c>
      <c r="E69" s="2399" t="e">
        <f>ROUND(SUM(D69:D77),4)</f>
        <v>#VALUE!</v>
      </c>
      <c r="F69" s="2400" t="str">
        <f>IF(E2="住宅",SUMIF(L1:L12,G2,N1:N12),"——")</f>
        <v>——</v>
      </c>
      <c r="G69" s="2381" t="str">
        <f>H69</f>
        <v>——</v>
      </c>
      <c r="H69" s="2425" t="str">
        <f t="shared" ref="H69:H77" si="23">IFERROR(ROUNDDOWN($F$69*I69/2,4),"——")</f>
        <v>——</v>
      </c>
      <c r="I69" s="2398">
        <v>0.14000000000000001</v>
      </c>
      <c r="J69" s="2401" t="e">
        <f t="shared" ref="J69:J77" si="24">K69+$G69</f>
        <v>#VALUE!</v>
      </c>
      <c r="K69" s="2401" t="e">
        <f t="shared" ref="K69:K77" si="25">$L69+$G69</f>
        <v>#VALUE!</v>
      </c>
      <c r="L69" s="2401">
        <v>0</v>
      </c>
      <c r="M69" s="2401" t="e">
        <f t="shared" ref="M69:N77" si="26">L69-$G69</f>
        <v>#VALUE!</v>
      </c>
      <c r="N69" s="2401" t="e">
        <f t="shared" si="26"/>
        <v>#VALUE!</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hidden="1">
      <c r="A70" s="1062" t="s">
        <v>1021</v>
      </c>
      <c r="B70" s="2371" t="str">
        <f>估价对象房地状况!C18</f>
        <v>估价对象周边道路状况、公共交通通达情况、停车便捷程度，综合评价交通便捷度较好</v>
      </c>
      <c r="C70" s="1154" t="s">
        <v>3016</v>
      </c>
      <c r="D70" s="2380">
        <f t="shared" si="22"/>
        <v>0</v>
      </c>
      <c r="E70" s="2408"/>
      <c r="F70" s="2409"/>
      <c r="G70" s="2381" t="str">
        <f t="shared" ref="G70:G76" si="27">H70</f>
        <v>——</v>
      </c>
      <c r="H70" s="2425" t="str">
        <f t="shared" si="23"/>
        <v>——</v>
      </c>
      <c r="I70" s="2398">
        <v>0.3</v>
      </c>
      <c r="J70" s="2401" t="e">
        <f t="shared" si="24"/>
        <v>#VALUE!</v>
      </c>
      <c r="K70" s="2401" t="e">
        <f t="shared" si="25"/>
        <v>#VALUE!</v>
      </c>
      <c r="L70" s="2401">
        <v>0</v>
      </c>
      <c r="M70" s="2401" t="e">
        <f t="shared" si="26"/>
        <v>#VALUE!</v>
      </c>
      <c r="N70" s="2401" t="e">
        <f t="shared" si="26"/>
        <v>#VALUE!</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hidden="1">
      <c r="A71" s="1062" t="s">
        <v>1022</v>
      </c>
      <c r="B71" s="2371">
        <f>估价对象房地状况!C19</f>
        <v>0</v>
      </c>
      <c r="C71" s="1154" t="s">
        <v>3017</v>
      </c>
      <c r="D71" s="2380" t="e">
        <f t="shared" si="22"/>
        <v>#VALUE!</v>
      </c>
      <c r="E71" s="2408"/>
      <c r="F71" s="2409"/>
      <c r="G71" s="2381" t="str">
        <f t="shared" si="27"/>
        <v>——</v>
      </c>
      <c r="H71" s="2425" t="str">
        <f t="shared" si="23"/>
        <v>——</v>
      </c>
      <c r="I71" s="2398">
        <v>0.08</v>
      </c>
      <c r="J71" s="2401" t="e">
        <f t="shared" si="24"/>
        <v>#VALUE!</v>
      </c>
      <c r="K71" s="2401" t="e">
        <f t="shared" si="25"/>
        <v>#VALUE!</v>
      </c>
      <c r="L71" s="2401">
        <v>0</v>
      </c>
      <c r="M71" s="2401" t="e">
        <f t="shared" si="26"/>
        <v>#VALUE!</v>
      </c>
      <c r="N71" s="2401" t="e">
        <f t="shared" si="26"/>
        <v>#VALUE!</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hidden="1">
      <c r="A72" s="1062" t="s">
        <v>1034</v>
      </c>
      <c r="B72" s="2371">
        <f>估价对象房地状况!C24</f>
        <v>0</v>
      </c>
      <c r="C72" s="1154" t="s">
        <v>3017</v>
      </c>
      <c r="D72" s="2380" t="e">
        <f t="shared" si="22"/>
        <v>#VALUE!</v>
      </c>
      <c r="E72" s="2408"/>
      <c r="F72" s="2409"/>
      <c r="G72" s="2381" t="str">
        <f t="shared" si="27"/>
        <v>——</v>
      </c>
      <c r="H72" s="2425" t="str">
        <f t="shared" si="23"/>
        <v>——</v>
      </c>
      <c r="I72" s="2398">
        <v>0.04</v>
      </c>
      <c r="J72" s="2401" t="e">
        <f t="shared" si="24"/>
        <v>#VALUE!</v>
      </c>
      <c r="K72" s="2401" t="e">
        <f t="shared" si="25"/>
        <v>#VALUE!</v>
      </c>
      <c r="L72" s="2401">
        <v>0</v>
      </c>
      <c r="M72" s="2401" t="e">
        <f t="shared" si="26"/>
        <v>#VALUE!</v>
      </c>
      <c r="N72" s="2401" t="e">
        <f t="shared" si="26"/>
        <v>#VALUE!</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hidden="1">
      <c r="A73" s="1062" t="s">
        <v>1026</v>
      </c>
      <c r="B73" s="2372" t="str">
        <f>估价对象房地状况!C21</f>
        <v>估价对象所在区域公共配套设施齐备情况</v>
      </c>
      <c r="C73" s="1154" t="s">
        <v>3073</v>
      </c>
      <c r="D73" s="2380" t="e">
        <f t="shared" si="22"/>
        <v>#VALUE!</v>
      </c>
      <c r="E73" s="2408"/>
      <c r="F73" s="2409"/>
      <c r="G73" s="2381" t="str">
        <f t="shared" si="27"/>
        <v>——</v>
      </c>
      <c r="H73" s="2425" t="str">
        <f t="shared" si="23"/>
        <v>——</v>
      </c>
      <c r="I73" s="2398">
        <v>0.08</v>
      </c>
      <c r="J73" s="2401" t="e">
        <f t="shared" si="24"/>
        <v>#VALUE!</v>
      </c>
      <c r="K73" s="2401" t="e">
        <f t="shared" si="25"/>
        <v>#VALUE!</v>
      </c>
      <c r="L73" s="2401">
        <v>0</v>
      </c>
      <c r="M73" s="2401" t="e">
        <f t="shared" si="26"/>
        <v>#VALUE!</v>
      </c>
      <c r="N73" s="2401" t="e">
        <f t="shared" si="26"/>
        <v>#VALUE!</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hidden="1">
      <c r="A74" s="1062" t="s">
        <v>1027</v>
      </c>
      <c r="B74" s="2372" t="str">
        <f>估价对象房地状况!C22</f>
        <v>估价对象所在区域基础设施水平</v>
      </c>
      <c r="C74" s="1154" t="s">
        <v>3074</v>
      </c>
      <c r="D74" s="2380" t="e">
        <f t="shared" si="22"/>
        <v>#VALUE!</v>
      </c>
      <c r="E74" s="2408"/>
      <c r="F74" s="2409"/>
      <c r="G74" s="2381" t="str">
        <f t="shared" si="27"/>
        <v>——</v>
      </c>
      <c r="H74" s="2425" t="str">
        <f t="shared" si="23"/>
        <v>——</v>
      </c>
      <c r="I74" s="2398">
        <v>0.12</v>
      </c>
      <c r="J74" s="2401" t="e">
        <f t="shared" si="24"/>
        <v>#VALUE!</v>
      </c>
      <c r="K74" s="2401" t="e">
        <f t="shared" si="25"/>
        <v>#VALUE!</v>
      </c>
      <c r="L74" s="2401">
        <v>0</v>
      </c>
      <c r="M74" s="2401" t="e">
        <f t="shared" si="26"/>
        <v>#VALUE!</v>
      </c>
      <c r="N74" s="2401" t="e">
        <f t="shared" si="26"/>
        <v>#VALUE!</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hidden="1">
      <c r="A75" s="1062" t="s">
        <v>1025</v>
      </c>
      <c r="B75" s="2924" t="s">
        <v>2933</v>
      </c>
      <c r="C75" s="1154" t="s">
        <v>3017</v>
      </c>
      <c r="D75" s="2380" t="e">
        <f t="shared" si="22"/>
        <v>#VALUE!</v>
      </c>
      <c r="E75" s="2408"/>
      <c r="F75" s="2409"/>
      <c r="G75" s="2381" t="str">
        <f t="shared" si="27"/>
        <v>——</v>
      </c>
      <c r="H75" s="2425" t="str">
        <f t="shared" si="23"/>
        <v>——</v>
      </c>
      <c r="I75" s="2398">
        <v>0.05</v>
      </c>
      <c r="J75" s="2401" t="e">
        <f t="shared" si="24"/>
        <v>#VALUE!</v>
      </c>
      <c r="K75" s="2401" t="e">
        <f t="shared" si="25"/>
        <v>#VALUE!</v>
      </c>
      <c r="L75" s="2401">
        <v>0</v>
      </c>
      <c r="M75" s="2401" t="e">
        <f t="shared" si="26"/>
        <v>#VALUE!</v>
      </c>
      <c r="N75" s="2401" t="e">
        <f t="shared" si="26"/>
        <v>#VALUE!</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hidden="1">
      <c r="A76" s="1062" t="s">
        <v>1028</v>
      </c>
      <c r="B76" s="2374" t="str">
        <f>估价对象房地状况!C20</f>
        <v>区域自然环境：；人文环境；综合评价环境状况一般</v>
      </c>
      <c r="C76" s="1154" t="s">
        <v>3016</v>
      </c>
      <c r="D76" s="2380">
        <f t="shared" si="22"/>
        <v>0</v>
      </c>
      <c r="E76" s="2408"/>
      <c r="F76" s="2409"/>
      <c r="G76" s="2381" t="str">
        <f t="shared" si="27"/>
        <v>——</v>
      </c>
      <c r="H76" s="2425" t="str">
        <f t="shared" si="23"/>
        <v>——</v>
      </c>
      <c r="I76" s="2398">
        <v>0.15</v>
      </c>
      <c r="J76" s="2401" t="e">
        <f t="shared" si="24"/>
        <v>#VALUE!</v>
      </c>
      <c r="K76" s="2401" t="e">
        <f t="shared" si="25"/>
        <v>#VALUE!</v>
      </c>
      <c r="L76" s="2401">
        <v>0</v>
      </c>
      <c r="M76" s="2401" t="e">
        <f t="shared" si="26"/>
        <v>#VALUE!</v>
      </c>
      <c r="N76" s="2401" t="e">
        <f t="shared" si="26"/>
        <v>#VALUE!</v>
      </c>
      <c r="P76" s="2183"/>
      <c r="Q76" s="2183"/>
      <c r="R76" s="2184"/>
      <c r="S76" s="2184"/>
      <c r="T76" s="2184"/>
      <c r="U76" s="2184"/>
      <c r="V76" s="2184"/>
      <c r="W76" s="2183"/>
      <c r="X76" s="2183"/>
      <c r="Y76" s="2183"/>
      <c r="Z76" s="2183"/>
      <c r="AA76" s="2183"/>
      <c r="AB76" s="2183"/>
      <c r="AC76" s="2183"/>
      <c r="AD76" s="2184"/>
      <c r="AJ76" s="1398"/>
      <c r="AN76" s="1399"/>
    </row>
    <row r="77" spans="1:40" ht="24.75" hidden="1" thickBot="1">
      <c r="A77" s="2404" t="s">
        <v>1035</v>
      </c>
      <c r="B77" s="1834"/>
      <c r="C77" s="1154" t="s">
        <v>3073</v>
      </c>
      <c r="D77" s="2380" t="e">
        <f t="shared" si="22"/>
        <v>#VALUE!</v>
      </c>
      <c r="E77" s="2410"/>
      <c r="F77" s="2409"/>
      <c r="G77" s="2381" t="str">
        <f>H77</f>
        <v>——</v>
      </c>
      <c r="H77" s="2425" t="str">
        <f t="shared" si="23"/>
        <v>——</v>
      </c>
      <c r="I77" s="2405">
        <v>0.04</v>
      </c>
      <c r="J77" s="2401" t="e">
        <f t="shared" si="24"/>
        <v>#VALUE!</v>
      </c>
      <c r="K77" s="2401" t="e">
        <f t="shared" si="25"/>
        <v>#VALUE!</v>
      </c>
      <c r="L77" s="2401">
        <v>0</v>
      </c>
      <c r="M77" s="2401" t="e">
        <f t="shared" si="26"/>
        <v>#VALUE!</v>
      </c>
      <c r="N77" s="2401" t="e">
        <f t="shared" si="26"/>
        <v>#VALUE!</v>
      </c>
      <c r="AC77" s="1400"/>
      <c r="AD77" s="1399"/>
      <c r="AJ77" s="1398"/>
      <c r="AN77" s="1399"/>
    </row>
    <row r="78" spans="1:40" ht="15" hidden="1">
      <c r="A78" s="2387" t="s">
        <v>985</v>
      </c>
      <c r="B78" s="2388">
        <f>1+E80</f>
        <v>1</v>
      </c>
      <c r="C78" s="2407"/>
      <c r="D78" s="2390"/>
      <c r="E78" s="2391"/>
      <c r="F78" s="2392"/>
      <c r="G78" s="2386"/>
      <c r="H78" s="2386"/>
      <c r="I78" s="2386"/>
      <c r="J78" s="1061"/>
      <c r="K78" s="1061"/>
      <c r="L78" s="1061"/>
      <c r="M78" s="1061"/>
      <c r="N78" s="1061"/>
      <c r="AC78" s="1400"/>
      <c r="AD78" s="1399"/>
      <c r="AJ78" s="1398"/>
      <c r="AN78" s="1399"/>
    </row>
    <row r="79" spans="1:40" ht="24" hidden="1">
      <c r="A79" s="1062" t="s">
        <v>1008</v>
      </c>
      <c r="B79" s="2371"/>
      <c r="C79" s="2393" t="s">
        <v>1010</v>
      </c>
      <c r="D79" s="2394" t="s">
        <v>1011</v>
      </c>
      <c r="E79" s="2395" t="s">
        <v>1013</v>
      </c>
      <c r="F79" s="2396" t="s">
        <v>2248</v>
      </c>
      <c r="G79" s="2394" t="s">
        <v>1014</v>
      </c>
      <c r="H79" s="2377" t="s">
        <v>2415</v>
      </c>
      <c r="I79" s="2394" t="s">
        <v>1012</v>
      </c>
      <c r="J79" s="2397" t="s">
        <v>1015</v>
      </c>
      <c r="K79" s="2397" t="s">
        <v>1016</v>
      </c>
      <c r="L79" s="2397" t="s">
        <v>1017</v>
      </c>
      <c r="M79" s="2397" t="s">
        <v>1018</v>
      </c>
      <c r="N79" s="2397" t="s">
        <v>1019</v>
      </c>
      <c r="AC79" s="1400"/>
      <c r="AD79" s="1399"/>
      <c r="AJ79" s="1398"/>
      <c r="AN79" s="1399"/>
    </row>
    <row r="80" spans="1:40" ht="36" hidden="1">
      <c r="A80" s="1062" t="s">
        <v>1037</v>
      </c>
      <c r="B80" s="2371" t="str">
        <f>估价对象房地状况!G15</f>
        <v>估价对象位于XX开发区，园区建设成熟度XX，产业集聚程度XX</v>
      </c>
      <c r="C80" s="1049"/>
      <c r="D80" s="2380">
        <f t="shared" ref="D80:D87" si="28">SUMIF($J$79:$N$79,C80,J80:N80)</f>
        <v>0</v>
      </c>
      <c r="E80" s="2399">
        <f>ROUND(SUM(D80:D87),4)</f>
        <v>0</v>
      </c>
      <c r="F80" s="2400" t="str">
        <f>IF(E2="工业",SUMIF(L1:L12,G2,N1:N12),"——")</f>
        <v>——</v>
      </c>
      <c r="G80" s="2378"/>
      <c r="H80" s="2424" t="str">
        <f t="shared" ref="H80:H87" si="29">IFERROR(ROUNDDOWN($F$80*I80/2,4),"——")</f>
        <v>——</v>
      </c>
      <c r="I80" s="2398">
        <v>0.26</v>
      </c>
      <c r="J80" s="2401">
        <f t="shared" ref="J80:J87" si="30">K80+$G80</f>
        <v>0</v>
      </c>
      <c r="K80" s="2401">
        <f t="shared" ref="K80:K87" si="31">$L80+$G80</f>
        <v>0</v>
      </c>
      <c r="L80" s="2401">
        <v>0</v>
      </c>
      <c r="M80" s="2401">
        <f t="shared" ref="M80:N87" si="32">L80-$G80</f>
        <v>0</v>
      </c>
      <c r="N80" s="2401">
        <f t="shared" si="32"/>
        <v>0</v>
      </c>
      <c r="AC80" s="1400"/>
      <c r="AD80" s="1399"/>
      <c r="AJ80" s="1398"/>
      <c r="AN80" s="1399"/>
    </row>
    <row r="81" spans="1:40" ht="48" hidden="1">
      <c r="A81" s="1062" t="s">
        <v>1021</v>
      </c>
      <c r="B81" s="2371" t="str">
        <f>估价对象房地状况!G16</f>
        <v>估价对象周边道路状况、公共交通通达情况、停车便捷程度，综合评价交通便捷度较好</v>
      </c>
      <c r="C81" s="1049"/>
      <c r="D81" s="2380">
        <f t="shared" si="28"/>
        <v>0</v>
      </c>
      <c r="E81" s="2408"/>
      <c r="F81" s="2409"/>
      <c r="G81" s="2378"/>
      <c r="H81" s="2424" t="str">
        <f t="shared" si="29"/>
        <v>——</v>
      </c>
      <c r="I81" s="2398">
        <v>0.33</v>
      </c>
      <c r="J81" s="2401">
        <f t="shared" si="30"/>
        <v>0</v>
      </c>
      <c r="K81" s="2401">
        <f t="shared" si="31"/>
        <v>0</v>
      </c>
      <c r="L81" s="2401">
        <v>0</v>
      </c>
      <c r="M81" s="2401">
        <f t="shared" si="32"/>
        <v>0</v>
      </c>
      <c r="N81" s="2401">
        <f t="shared" si="32"/>
        <v>0</v>
      </c>
      <c r="AC81" s="1400"/>
      <c r="AD81" s="1399"/>
      <c r="AJ81" s="1398"/>
      <c r="AN81" s="1399"/>
    </row>
    <row r="82" spans="1:40" ht="24" hidden="1">
      <c r="A82" s="1062" t="s">
        <v>1022</v>
      </c>
      <c r="B82" s="2371">
        <f>估价对象房地状况!G17</f>
        <v>0</v>
      </c>
      <c r="C82" s="1049"/>
      <c r="D82" s="2380">
        <f t="shared" si="28"/>
        <v>0</v>
      </c>
      <c r="E82" s="2408"/>
      <c r="F82" s="2409"/>
      <c r="G82" s="2378"/>
      <c r="H82" s="2424" t="str">
        <f t="shared" si="29"/>
        <v>——</v>
      </c>
      <c r="I82" s="2398">
        <v>0.05</v>
      </c>
      <c r="J82" s="2401">
        <f t="shared" si="30"/>
        <v>0</v>
      </c>
      <c r="K82" s="2401">
        <f t="shared" si="31"/>
        <v>0</v>
      </c>
      <c r="L82" s="2401">
        <v>0</v>
      </c>
      <c r="M82" s="2401">
        <f t="shared" si="32"/>
        <v>0</v>
      </c>
      <c r="N82" s="2401">
        <f t="shared" si="32"/>
        <v>0</v>
      </c>
      <c r="AC82" s="1400"/>
      <c r="AD82" s="1399"/>
      <c r="AJ82" s="1398"/>
      <c r="AN82" s="1399"/>
    </row>
    <row r="83" spans="1:40" ht="14.25" hidden="1">
      <c r="A83" s="1062" t="s">
        <v>1034</v>
      </c>
      <c r="B83" s="2371">
        <f>估价对象房地状况!G22</f>
        <v>0</v>
      </c>
      <c r="C83" s="1049"/>
      <c r="D83" s="2380">
        <f t="shared" si="28"/>
        <v>0</v>
      </c>
      <c r="E83" s="2408"/>
      <c r="F83" s="2409"/>
      <c r="G83" s="2378"/>
      <c r="H83" s="2424" t="str">
        <f t="shared" si="29"/>
        <v>——</v>
      </c>
      <c r="I83" s="2398">
        <v>0.04</v>
      </c>
      <c r="J83" s="2401">
        <f t="shared" si="30"/>
        <v>0</v>
      </c>
      <c r="K83" s="2401">
        <f t="shared" si="31"/>
        <v>0</v>
      </c>
      <c r="L83" s="2401">
        <v>0</v>
      </c>
      <c r="M83" s="2401">
        <f t="shared" si="32"/>
        <v>0</v>
      </c>
      <c r="N83" s="2401">
        <f t="shared" si="32"/>
        <v>0</v>
      </c>
      <c r="AC83" s="1400"/>
      <c r="AD83" s="1399"/>
      <c r="AJ83" s="1398"/>
      <c r="AN83" s="1399"/>
    </row>
    <row r="84" spans="1:40" ht="24" hidden="1">
      <c r="A84" s="1062" t="s">
        <v>1026</v>
      </c>
      <c r="B84" s="2372" t="str">
        <f>估价对象房地状况!G19</f>
        <v>估价对象所在区域公共配套设施齐备情况</v>
      </c>
      <c r="C84" s="1049"/>
      <c r="D84" s="2380">
        <f t="shared" si="28"/>
        <v>0</v>
      </c>
      <c r="E84" s="2408"/>
      <c r="F84" s="2409"/>
      <c r="G84" s="2378"/>
      <c r="H84" s="2424" t="str">
        <f t="shared" si="29"/>
        <v>——</v>
      </c>
      <c r="I84" s="2398">
        <v>0.06</v>
      </c>
      <c r="J84" s="2401">
        <f t="shared" si="30"/>
        <v>0</v>
      </c>
      <c r="K84" s="2401">
        <f t="shared" si="31"/>
        <v>0</v>
      </c>
      <c r="L84" s="2401">
        <v>0</v>
      </c>
      <c r="M84" s="2401">
        <f t="shared" si="32"/>
        <v>0</v>
      </c>
      <c r="N84" s="2401">
        <f t="shared" si="32"/>
        <v>0</v>
      </c>
      <c r="AC84" s="1400"/>
      <c r="AD84" s="1399"/>
      <c r="AJ84" s="1398"/>
      <c r="AN84" s="1399"/>
    </row>
    <row r="85" spans="1:40" ht="24" hidden="1">
      <c r="A85" s="1062" t="s">
        <v>1027</v>
      </c>
      <c r="B85" s="2372" t="str">
        <f>估价对象房地状况!G20</f>
        <v>估价对象所在区域基础设施水平</v>
      </c>
      <c r="C85" s="1049"/>
      <c r="D85" s="2380">
        <f t="shared" si="28"/>
        <v>0</v>
      </c>
      <c r="E85" s="2408"/>
      <c r="F85" s="2409"/>
      <c r="G85" s="2378"/>
      <c r="H85" s="2424" t="str">
        <f t="shared" si="29"/>
        <v>——</v>
      </c>
      <c r="I85" s="2398">
        <v>0.15</v>
      </c>
      <c r="J85" s="2401">
        <f t="shared" si="30"/>
        <v>0</v>
      </c>
      <c r="K85" s="2401">
        <f t="shared" si="31"/>
        <v>0</v>
      </c>
      <c r="L85" s="2401">
        <v>0</v>
      </c>
      <c r="M85" s="2401">
        <f t="shared" si="32"/>
        <v>0</v>
      </c>
      <c r="N85" s="2401">
        <f t="shared" si="32"/>
        <v>0</v>
      </c>
      <c r="AC85" s="1400"/>
      <c r="AD85" s="1399"/>
      <c r="AJ85" s="1398"/>
      <c r="AN85" s="1399"/>
    </row>
    <row r="86" spans="1:40" ht="24" hidden="1">
      <c r="A86" s="1062" t="s">
        <v>1025</v>
      </c>
      <c r="B86" s="2924" t="s">
        <v>2933</v>
      </c>
      <c r="C86" s="1049"/>
      <c r="D86" s="2380">
        <f t="shared" si="28"/>
        <v>0</v>
      </c>
      <c r="E86" s="2408"/>
      <c r="F86" s="2409"/>
      <c r="G86" s="2378"/>
      <c r="H86" s="2424" t="str">
        <f t="shared" si="29"/>
        <v>——</v>
      </c>
      <c r="I86" s="2398">
        <v>0.05</v>
      </c>
      <c r="J86" s="2401">
        <f t="shared" si="30"/>
        <v>0</v>
      </c>
      <c r="K86" s="2401">
        <f t="shared" si="31"/>
        <v>0</v>
      </c>
      <c r="L86" s="2401">
        <v>0</v>
      </c>
      <c r="M86" s="2401">
        <f t="shared" si="32"/>
        <v>0</v>
      </c>
      <c r="N86" s="2401">
        <f t="shared" si="32"/>
        <v>0</v>
      </c>
      <c r="AC86" s="1400"/>
      <c r="AD86" s="1399"/>
      <c r="AJ86" s="1398"/>
      <c r="AN86" s="1399"/>
    </row>
    <row r="87" spans="1:40" ht="36.75" hidden="1" thickBot="1">
      <c r="A87" s="2404" t="s">
        <v>1038</v>
      </c>
      <c r="B87" s="2373" t="str">
        <f>估价对象房地状况!G18</f>
        <v>该园区内是否有污染型企业，绿化情况，卫生条件，整体环境状况判断</v>
      </c>
      <c r="C87" s="1049"/>
      <c r="D87" s="2380">
        <f t="shared" si="28"/>
        <v>0</v>
      </c>
      <c r="E87" s="2410"/>
      <c r="F87" s="2409"/>
      <c r="G87" s="2378"/>
      <c r="H87" s="2424" t="str">
        <f t="shared" si="29"/>
        <v>——</v>
      </c>
      <c r="I87" s="2405">
        <v>0.06</v>
      </c>
      <c r="J87" s="2401">
        <f t="shared" si="30"/>
        <v>0</v>
      </c>
      <c r="K87" s="2401">
        <f t="shared" si="31"/>
        <v>0</v>
      </c>
      <c r="L87" s="2401">
        <v>0</v>
      </c>
      <c r="M87" s="2401">
        <f t="shared" si="32"/>
        <v>0</v>
      </c>
      <c r="N87" s="2401">
        <f t="shared" si="32"/>
        <v>0</v>
      </c>
      <c r="AC87" s="1400"/>
      <c r="AD87" s="1399"/>
      <c r="AJ87" s="1398"/>
      <c r="AN87" s="1399"/>
    </row>
    <row r="90" spans="1:40">
      <c r="A90" s="3446" t="s">
        <v>1633</v>
      </c>
      <c r="B90" s="3446"/>
      <c r="C90" s="3446"/>
      <c r="D90" s="3446"/>
      <c r="E90" s="3446"/>
      <c r="F90" s="3446"/>
      <c r="G90" s="3446"/>
      <c r="H90" s="3446"/>
      <c r="I90" s="3446"/>
      <c r="J90" s="3446"/>
      <c r="K90" s="3232"/>
      <c r="L90" s="3232"/>
      <c r="M90" s="3232"/>
      <c r="N90" s="3232"/>
    </row>
    <row r="91" spans="1:40">
      <c r="A91" s="3447" t="s">
        <v>1443</v>
      </c>
      <c r="B91" s="3447" t="s">
        <v>1634</v>
      </c>
      <c r="C91" s="1135" t="s">
        <v>1635</v>
      </c>
      <c r="D91" s="1136"/>
      <c r="E91" s="1136"/>
      <c r="F91" s="1136"/>
      <c r="G91" s="1136"/>
      <c r="H91" s="1136"/>
      <c r="I91" s="1136"/>
      <c r="J91" s="1137"/>
      <c r="K91" s="1129"/>
      <c r="L91" s="1129"/>
      <c r="M91" s="1129"/>
      <c r="N91" s="1129"/>
    </row>
    <row r="92" spans="1:40">
      <c r="A92" s="3447"/>
      <c r="B92" s="3447"/>
      <c r="C92" s="3233" t="s">
        <v>884</v>
      </c>
      <c r="D92" s="3233" t="s">
        <v>885</v>
      </c>
      <c r="E92" s="3233" t="s">
        <v>886</v>
      </c>
      <c r="F92" s="3233" t="s">
        <v>910</v>
      </c>
      <c r="G92" s="3233" t="s">
        <v>888</v>
      </c>
      <c r="H92" s="3233" t="s">
        <v>889</v>
      </c>
      <c r="I92" s="3233" t="s">
        <v>890</v>
      </c>
      <c r="J92" s="3233" t="s">
        <v>891</v>
      </c>
      <c r="K92" s="3233" t="s">
        <v>892</v>
      </c>
      <c r="L92" s="3233" t="s">
        <v>893</v>
      </c>
      <c r="M92" s="3233" t="s">
        <v>894</v>
      </c>
      <c r="N92" s="3233" t="s">
        <v>918</v>
      </c>
    </row>
    <row r="93" spans="1:40">
      <c r="A93" s="3454" t="s">
        <v>2759</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55"/>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55"/>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55"/>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55"/>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55"/>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55"/>
      <c r="B99" s="1138" t="s">
        <v>1636</v>
      </c>
      <c r="C99" s="1140">
        <f>$I$3</f>
        <v>1</v>
      </c>
      <c r="D99" s="1140">
        <f t="shared" ref="D99:N99" si="33">$I$3</f>
        <v>1</v>
      </c>
      <c r="E99" s="1140">
        <f t="shared" si="33"/>
        <v>1</v>
      </c>
      <c r="F99" s="1140">
        <f t="shared" si="33"/>
        <v>1</v>
      </c>
      <c r="G99" s="1140">
        <f t="shared" si="33"/>
        <v>1</v>
      </c>
      <c r="H99" s="1140">
        <f t="shared" si="33"/>
        <v>1</v>
      </c>
      <c r="I99" s="1140">
        <f t="shared" si="33"/>
        <v>1</v>
      </c>
      <c r="J99" s="1140">
        <f t="shared" si="33"/>
        <v>1</v>
      </c>
      <c r="K99" s="1140">
        <f t="shared" si="33"/>
        <v>1</v>
      </c>
      <c r="L99" s="1140">
        <f t="shared" si="33"/>
        <v>1</v>
      </c>
      <c r="M99" s="1140">
        <f t="shared" si="33"/>
        <v>1</v>
      </c>
      <c r="N99" s="1140">
        <f t="shared" si="33"/>
        <v>1</v>
      </c>
    </row>
    <row r="100" spans="1:14">
      <c r="A100" s="3456"/>
      <c r="B100" s="1138">
        <v>7</v>
      </c>
      <c r="C100" s="1141">
        <f>(-0.163*(C99^2)-0.59*C99+7617)*(10^(-4))</f>
        <v>0.76162470000000004</v>
      </c>
      <c r="D100" s="1141">
        <f>(-0.163*(D99^2)-0.59*D99+7617)*(10^(-4))</f>
        <v>0.76162470000000004</v>
      </c>
      <c r="E100" s="1141">
        <f>(-0.161*(E99^2)-7.509*E99+6533)*(10^(-4))</f>
        <v>0.65253300000000003</v>
      </c>
      <c r="F100" s="1141">
        <f>(-0.161*(F99^2)-7.509*F99+6533)*(10^(-4))</f>
        <v>0.65253300000000003</v>
      </c>
      <c r="G100" s="1141">
        <f>(-0.161*(G99^2)-7.509*G99+6533)*(10^(-4))</f>
        <v>0.65253300000000003</v>
      </c>
      <c r="H100" s="1141">
        <f>(-0.161*(H99^2)-7.509*H99+6533)*(10^(-4))</f>
        <v>0.65253300000000003</v>
      </c>
      <c r="I100" s="1141">
        <f>(-0.161*(I99^2)-7.509*I99+6533)*(10^(-4))</f>
        <v>0.65253300000000003</v>
      </c>
      <c r="J100" s="1141">
        <f>(-0.214*(J99^2)-21.991*J99+4665)*(10^(-4))</f>
        <v>0.46427950000000001</v>
      </c>
      <c r="K100" s="1141">
        <f>(-0.214*(K99^2)-21.991*K99+4665)*(10^(-4))</f>
        <v>0.46427950000000001</v>
      </c>
      <c r="L100" s="1141">
        <f>(-0.214*(L99^2)-21.991*L99+4665)*(10^(-4))</f>
        <v>0.46427950000000001</v>
      </c>
      <c r="M100" s="1141">
        <f>(-0.214*(M99^2)-21.991*M99+4665)*(10^(-4))</f>
        <v>0.46427950000000001</v>
      </c>
      <c r="N100" s="1141">
        <f>(-0.214*(N99^2)-21.991*N99+4665)*(10^(-4))</f>
        <v>0.46427950000000001</v>
      </c>
    </row>
    <row r="101" spans="1:14">
      <c r="A101" s="3454" t="s">
        <v>1637</v>
      </c>
      <c r="B101" s="1142" t="s">
        <v>883</v>
      </c>
      <c r="C101" s="1143">
        <f>$G$3</f>
        <v>1.9</v>
      </c>
      <c r="D101" s="1143">
        <f t="shared" ref="D101:N101" si="34">$G$3</f>
        <v>1.9</v>
      </c>
      <c r="E101" s="1143">
        <f t="shared" si="34"/>
        <v>1.9</v>
      </c>
      <c r="F101" s="1143">
        <f t="shared" si="34"/>
        <v>1.9</v>
      </c>
      <c r="G101" s="1143">
        <f t="shared" si="34"/>
        <v>1.9</v>
      </c>
      <c r="H101" s="1143">
        <f t="shared" si="34"/>
        <v>1.9</v>
      </c>
      <c r="I101" s="1143">
        <f t="shared" si="34"/>
        <v>1.9</v>
      </c>
      <c r="J101" s="1143">
        <f t="shared" si="34"/>
        <v>1.9</v>
      </c>
      <c r="K101" s="1143">
        <f t="shared" si="34"/>
        <v>1.9</v>
      </c>
      <c r="L101" s="1143">
        <f t="shared" si="34"/>
        <v>1.9</v>
      </c>
      <c r="M101" s="1143">
        <f t="shared" si="34"/>
        <v>1.9</v>
      </c>
      <c r="N101" s="1143">
        <f t="shared" si="34"/>
        <v>1.9</v>
      </c>
    </row>
    <row r="102" spans="1:14">
      <c r="A102" s="3455"/>
      <c r="B102" s="1138">
        <v>1</v>
      </c>
      <c r="C102" s="1139">
        <f>1.9362/C101</f>
        <v>1.0190526315789474</v>
      </c>
      <c r="D102" s="1139">
        <f>1.9362/D101</f>
        <v>1.0190526315789474</v>
      </c>
      <c r="E102" s="1139">
        <f>1.8629/E101</f>
        <v>0.98047368421052639</v>
      </c>
      <c r="F102" s="1139">
        <f>1.8629/F101</f>
        <v>0.98047368421052639</v>
      </c>
      <c r="G102" s="1139">
        <f>1.8629/G101</f>
        <v>0.98047368421052639</v>
      </c>
      <c r="H102" s="1139">
        <f>1.8629/H101</f>
        <v>0.98047368421052639</v>
      </c>
      <c r="I102" s="1139">
        <f>1.8629/I101</f>
        <v>0.98047368421052639</v>
      </c>
      <c r="J102" s="1139">
        <f>1.942/J101</f>
        <v>1.0221052631578948</v>
      </c>
      <c r="K102" s="1139">
        <f>1.942/K101</f>
        <v>1.0221052631578948</v>
      </c>
      <c r="L102" s="1139">
        <f>1.942/L101</f>
        <v>1.0221052631578948</v>
      </c>
      <c r="M102" s="1139">
        <f>1.942/M101</f>
        <v>1.0221052631578948</v>
      </c>
      <c r="N102" s="1139">
        <f>1.942/N101</f>
        <v>1.0221052631578948</v>
      </c>
    </row>
    <row r="103" spans="1:14">
      <c r="A103" s="3455"/>
      <c r="B103" s="1138">
        <v>2</v>
      </c>
      <c r="C103" s="1139">
        <f>1.4198/C101</f>
        <v>0.74726315789473685</v>
      </c>
      <c r="D103" s="1139">
        <f>1.4198/D101</f>
        <v>0.74726315789473685</v>
      </c>
      <c r="E103" s="1139">
        <f>1.3372/E101</f>
        <v>0.70378947368421052</v>
      </c>
      <c r="F103" s="1139">
        <f>1.3372/F101</f>
        <v>0.70378947368421052</v>
      </c>
      <c r="G103" s="1139">
        <f>1.3372/G101</f>
        <v>0.70378947368421052</v>
      </c>
      <c r="H103" s="1139">
        <f>1.3372/H101</f>
        <v>0.70378947368421052</v>
      </c>
      <c r="I103" s="1139">
        <f>1.3372/I101</f>
        <v>0.70378947368421052</v>
      </c>
      <c r="J103" s="1139">
        <f>1.2799/J101</f>
        <v>0.67363157894736847</v>
      </c>
      <c r="K103" s="1139">
        <f>1.2799/K101</f>
        <v>0.67363157894736847</v>
      </c>
      <c r="L103" s="1139">
        <f>1.2799/L101</f>
        <v>0.67363157894736847</v>
      </c>
      <c r="M103" s="1139">
        <f>1.2799/M101</f>
        <v>0.67363157894736847</v>
      </c>
      <c r="N103" s="1139">
        <f>1.2799/N101</f>
        <v>0.67363157894736847</v>
      </c>
    </row>
    <row r="104" spans="1:14">
      <c r="A104" s="3455"/>
      <c r="B104" s="1138">
        <v>3</v>
      </c>
      <c r="C104" s="1139">
        <f>1.1594/C101</f>
        <v>0.61021052631578954</v>
      </c>
      <c r="D104" s="1139">
        <f>1.1594/D101</f>
        <v>0.61021052631578954</v>
      </c>
      <c r="E104" s="1139">
        <f>1.0788/E101</f>
        <v>0.56778947368421051</v>
      </c>
      <c r="F104" s="1139">
        <f>1.0788/F101</f>
        <v>0.56778947368421051</v>
      </c>
      <c r="G104" s="1139">
        <f>1.0788/G101</f>
        <v>0.56778947368421051</v>
      </c>
      <c r="H104" s="1139">
        <f>1.0788/H101</f>
        <v>0.56778947368421051</v>
      </c>
      <c r="I104" s="1139">
        <f>1.0788/I101</f>
        <v>0.56778947368421051</v>
      </c>
      <c r="J104" s="1139">
        <f>1.0072/J101</f>
        <v>0.53010526315789486</v>
      </c>
      <c r="K104" s="1139">
        <f>1.0072/K101</f>
        <v>0.53010526315789486</v>
      </c>
      <c r="L104" s="1139">
        <f>1.0072/L101</f>
        <v>0.53010526315789486</v>
      </c>
      <c r="M104" s="1139">
        <f>1.0072/M101</f>
        <v>0.53010526315789486</v>
      </c>
      <c r="N104" s="1139">
        <f>1.0072/N101</f>
        <v>0.53010526315789486</v>
      </c>
    </row>
    <row r="105" spans="1:14">
      <c r="A105" s="3455"/>
      <c r="B105" s="1138">
        <v>4</v>
      </c>
      <c r="C105" s="1139">
        <f>0.9622/C101</f>
        <v>0.50642105263157899</v>
      </c>
      <c r="D105" s="1139">
        <f>0.9622/D101</f>
        <v>0.50642105263157899</v>
      </c>
      <c r="E105" s="1139">
        <f>0.8656/E101</f>
        <v>0.45557894736842108</v>
      </c>
      <c r="F105" s="1139">
        <f>0.8656/F101</f>
        <v>0.45557894736842108</v>
      </c>
      <c r="G105" s="1139">
        <f>0.8656/G101</f>
        <v>0.45557894736842108</v>
      </c>
      <c r="H105" s="1139">
        <f>0.8656/H101</f>
        <v>0.45557894736842108</v>
      </c>
      <c r="I105" s="1139">
        <f>0.8656/I101</f>
        <v>0.45557894736842108</v>
      </c>
      <c r="J105" s="1139">
        <f>0.7525/J101</f>
        <v>0.39605263157894738</v>
      </c>
      <c r="K105" s="1139">
        <f>0.7525/K101</f>
        <v>0.39605263157894738</v>
      </c>
      <c r="L105" s="1139">
        <f>0.7525/L101</f>
        <v>0.39605263157894738</v>
      </c>
      <c r="M105" s="1139">
        <f>0.7525/M101</f>
        <v>0.39605263157894738</v>
      </c>
      <c r="N105" s="1139">
        <f>0.7525/N101</f>
        <v>0.39605263157894738</v>
      </c>
    </row>
    <row r="106" spans="1:14">
      <c r="A106" s="3455"/>
      <c r="B106" s="1138">
        <v>5</v>
      </c>
      <c r="C106" s="1139">
        <f>0.8417/C101</f>
        <v>0.443</v>
      </c>
      <c r="D106" s="1139">
        <f>0.8417/D101</f>
        <v>0.443</v>
      </c>
      <c r="E106" s="1139">
        <f>0.7371/E101</f>
        <v>0.38794736842105265</v>
      </c>
      <c r="F106" s="1139">
        <f>0.7371/F101</f>
        <v>0.38794736842105265</v>
      </c>
      <c r="G106" s="1139">
        <f>0.7371/G101</f>
        <v>0.38794736842105265</v>
      </c>
      <c r="H106" s="1139">
        <f>0.7371/H101</f>
        <v>0.38794736842105265</v>
      </c>
      <c r="I106" s="1139">
        <f>0.7371/I101</f>
        <v>0.38794736842105265</v>
      </c>
      <c r="J106" s="1139">
        <f>0.5659/J101</f>
        <v>0.29784210526315791</v>
      </c>
      <c r="K106" s="1139">
        <f>0.5659/K101</f>
        <v>0.29784210526315791</v>
      </c>
      <c r="L106" s="1139">
        <f>0.5659/L101</f>
        <v>0.29784210526315791</v>
      </c>
      <c r="M106" s="1139">
        <f>0.5659/M101</f>
        <v>0.29784210526315791</v>
      </c>
      <c r="N106" s="1139">
        <f>0.5659/N101</f>
        <v>0.29784210526315791</v>
      </c>
    </row>
    <row r="107" spans="1:14">
      <c r="A107" s="3455"/>
      <c r="B107" s="1138">
        <v>6</v>
      </c>
      <c r="C107" s="1139">
        <f>0.7608/C101</f>
        <v>0.40042105263157896</v>
      </c>
      <c r="D107" s="1139">
        <f>0.7608/D101</f>
        <v>0.40042105263157896</v>
      </c>
      <c r="E107" s="1139">
        <f>0.6482/E101</f>
        <v>0.3411578947368421</v>
      </c>
      <c r="F107" s="1139">
        <f>0.6482/F101</f>
        <v>0.3411578947368421</v>
      </c>
      <c r="G107" s="1139">
        <f>0.6482/G101</f>
        <v>0.3411578947368421</v>
      </c>
      <c r="H107" s="1139">
        <f>0.6482/H101</f>
        <v>0.3411578947368421</v>
      </c>
      <c r="I107" s="1139">
        <f>0.6482/I101</f>
        <v>0.3411578947368421</v>
      </c>
      <c r="J107" s="1139">
        <f>0.4525/J101</f>
        <v>0.23815789473684212</v>
      </c>
      <c r="K107" s="1139">
        <f>0.4525/K101</f>
        <v>0.23815789473684212</v>
      </c>
      <c r="L107" s="1139">
        <f>0.4525/L101</f>
        <v>0.23815789473684212</v>
      </c>
      <c r="M107" s="1139">
        <f>0.4525/M101</f>
        <v>0.23815789473684212</v>
      </c>
      <c r="N107" s="1139">
        <f>0.4525/N101</f>
        <v>0.23815789473684212</v>
      </c>
    </row>
    <row r="108" spans="1:14">
      <c r="A108" s="3455"/>
      <c r="B108" s="3457" t="s">
        <v>1638</v>
      </c>
      <c r="C108" s="1140">
        <f>C99</f>
        <v>1</v>
      </c>
      <c r="D108" s="1140">
        <f t="shared" ref="D108:N108" si="35">D99</f>
        <v>1</v>
      </c>
      <c r="E108" s="1140">
        <f t="shared" si="35"/>
        <v>1</v>
      </c>
      <c r="F108" s="1140">
        <f t="shared" si="35"/>
        <v>1</v>
      </c>
      <c r="G108" s="1140">
        <f t="shared" si="35"/>
        <v>1</v>
      </c>
      <c r="H108" s="1140">
        <f t="shared" si="35"/>
        <v>1</v>
      </c>
      <c r="I108" s="1140">
        <f t="shared" si="35"/>
        <v>1</v>
      </c>
      <c r="J108" s="1140">
        <f t="shared" si="35"/>
        <v>1</v>
      </c>
      <c r="K108" s="1140">
        <f t="shared" si="35"/>
        <v>1</v>
      </c>
      <c r="L108" s="1140">
        <f t="shared" si="35"/>
        <v>1</v>
      </c>
      <c r="M108" s="1140">
        <f t="shared" si="35"/>
        <v>1</v>
      </c>
      <c r="N108" s="1140">
        <f t="shared" si="35"/>
        <v>1</v>
      </c>
    </row>
    <row r="109" spans="1:14">
      <c r="A109" s="3456"/>
      <c r="B109" s="3458"/>
      <c r="C109" s="1141">
        <f>(-0.163*(C108^2)-0.59*C108+7617)*(10^(-4))/C101</f>
        <v>0.40085510526315793</v>
      </c>
      <c r="D109" s="1141">
        <f>(-0.163*(D108^2)-0.59*D108+7617)*(10^(-4))/D101</f>
        <v>0.40085510526315793</v>
      </c>
      <c r="E109" s="1141">
        <f>(-0.161*(E108^2)-7.509*E108+6533)*(10^(-4))/E101</f>
        <v>0.34343842105263162</v>
      </c>
      <c r="F109" s="1141">
        <f>(-0.161*(F108^2)-7.509*F108+6533)*(10^(-4))/F101</f>
        <v>0.34343842105263162</v>
      </c>
      <c r="G109" s="1141">
        <f>(-0.161*(G108^2)-7.509*G108+6533)*(10^(-4))/G101</f>
        <v>0.34343842105263162</v>
      </c>
      <c r="H109" s="1141">
        <f>(-0.161*(H108^2)-7.509*H108+6533)*(10^(-4))/H101</f>
        <v>0.34343842105263162</v>
      </c>
      <c r="I109" s="1141">
        <f>(-0.161*(I108^2)-7.509*I108+6533)*(10^(-4))/I101</f>
        <v>0.34343842105263162</v>
      </c>
      <c r="J109" s="1141">
        <f>(-0.214*(J108^2)-21.991*J108+4665)*(10^(-4))/J101</f>
        <v>0.24435763157894738</v>
      </c>
      <c r="K109" s="1141">
        <f>(-0.214*(K108^2)-21.991*K108+4665)*(10^(-4))/K101</f>
        <v>0.24435763157894738</v>
      </c>
      <c r="L109" s="1141">
        <f>(-0.214*(L108^2)-21.991*L108+4665)*(10^(-4))/L101</f>
        <v>0.24435763157894738</v>
      </c>
      <c r="M109" s="1141">
        <f>(-0.214*(M108^2)-21.991*M108+4665)*(10^(-4))/M101</f>
        <v>0.24435763157894738</v>
      </c>
      <c r="N109" s="1141">
        <f>(-0.214*(N108^2)-21.991*N108+4665)*(10^(-4))/N101</f>
        <v>0.24435763157894738</v>
      </c>
    </row>
    <row r="110" spans="1:14">
      <c r="A110" s="3440" t="s">
        <v>1639</v>
      </c>
      <c r="B110" s="3440"/>
      <c r="C110" s="3440"/>
      <c r="D110" s="3440"/>
      <c r="E110" s="3440"/>
      <c r="F110" s="3440"/>
      <c r="G110" s="3440"/>
      <c r="H110" s="3440"/>
      <c r="I110" s="3440"/>
      <c r="J110" s="3440"/>
      <c r="K110" s="3231"/>
      <c r="L110" s="3231"/>
      <c r="M110" s="3231"/>
      <c r="N110" s="3231"/>
    </row>
    <row r="112" spans="1:14" ht="12.75" thickBot="1"/>
    <row r="113" spans="1:13" ht="25.5" thickBot="1">
      <c r="A113" s="1015" t="s">
        <v>896</v>
      </c>
      <c r="B113" s="2414">
        <f>G3</f>
        <v>1.9</v>
      </c>
      <c r="C113" s="1016" t="s">
        <v>897</v>
      </c>
      <c r="D113" s="1017">
        <f>SUMPRODUCT((A115:A118=F113)*(B114:M114=H113)*B115:M118)</f>
        <v>0.83199999999999996</v>
      </c>
      <c r="E113" s="1018" t="s">
        <v>898</v>
      </c>
      <c r="F113" s="1019" t="str">
        <f>E2</f>
        <v>办公</v>
      </c>
      <c r="G113" s="1018" t="s">
        <v>899</v>
      </c>
      <c r="H113" s="1019" t="str">
        <f>G2</f>
        <v>七级</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0.91559999999999997</v>
      </c>
      <c r="C115" s="1029">
        <f>B115</f>
        <v>0.91559999999999997</v>
      </c>
      <c r="D115" s="1029">
        <f>ROUND(0.8331-0.0109*B113,4)</f>
        <v>0.81240000000000001</v>
      </c>
      <c r="E115" s="1029">
        <f>D115</f>
        <v>0.81240000000000001</v>
      </c>
      <c r="F115" s="1029">
        <f>E115</f>
        <v>0.81240000000000001</v>
      </c>
      <c r="G115" s="1029">
        <f>F115</f>
        <v>0.81240000000000001</v>
      </c>
      <c r="H115" s="1029">
        <f>G115</f>
        <v>0.81240000000000001</v>
      </c>
      <c r="I115" s="1029">
        <f>ROUND(0.689-0.0155*B113,4)</f>
        <v>0.65959999999999996</v>
      </c>
      <c r="J115" s="1029">
        <f t="shared" ref="J115:M118" si="36">I115</f>
        <v>0.65959999999999996</v>
      </c>
      <c r="K115" s="1029">
        <f t="shared" si="36"/>
        <v>0.65959999999999996</v>
      </c>
      <c r="L115" s="1029">
        <f t="shared" si="36"/>
        <v>0.65959999999999996</v>
      </c>
      <c r="M115" s="1030">
        <f t="shared" si="36"/>
        <v>0.65959999999999996</v>
      </c>
    </row>
    <row r="116" spans="1:13" ht="12.75">
      <c r="A116" s="1028" t="s">
        <v>901</v>
      </c>
      <c r="B116" s="1029">
        <f>ROUND(0.949-0.012*B113,4)</f>
        <v>0.92620000000000002</v>
      </c>
      <c r="C116" s="1029">
        <f>B116</f>
        <v>0.92620000000000002</v>
      </c>
      <c r="D116" s="1029">
        <f>ROUND(0.8567-0.013*B113,4)</f>
        <v>0.83199999999999996</v>
      </c>
      <c r="E116" s="1029">
        <f t="shared" ref="E116:H117" si="37">D116</f>
        <v>0.83199999999999996</v>
      </c>
      <c r="F116" s="1029">
        <f t="shared" si="37"/>
        <v>0.83199999999999996</v>
      </c>
      <c r="G116" s="1029">
        <f t="shared" si="37"/>
        <v>0.83199999999999996</v>
      </c>
      <c r="H116" s="1029">
        <f t="shared" si="37"/>
        <v>0.83199999999999996</v>
      </c>
      <c r="I116" s="1029">
        <f>ROUND(0.7694-0.014*B113,4)</f>
        <v>0.74280000000000002</v>
      </c>
      <c r="J116" s="1029">
        <f t="shared" si="36"/>
        <v>0.74280000000000002</v>
      </c>
      <c r="K116" s="1029">
        <f t="shared" si="36"/>
        <v>0.74280000000000002</v>
      </c>
      <c r="L116" s="1029">
        <f t="shared" si="36"/>
        <v>0.74280000000000002</v>
      </c>
      <c r="M116" s="1030">
        <f t="shared" si="36"/>
        <v>0.74280000000000002</v>
      </c>
    </row>
    <row r="117" spans="1:13" ht="12.75">
      <c r="A117" s="1031" t="s">
        <v>902</v>
      </c>
      <c r="B117" s="1029">
        <f>ROUND(0.8808-0.006*B113,4)</f>
        <v>0.86939999999999995</v>
      </c>
      <c r="C117" s="1029">
        <f>B117</f>
        <v>0.86939999999999995</v>
      </c>
      <c r="D117" s="1029">
        <f>ROUND(0.8748-0.008*B113,4)</f>
        <v>0.85960000000000003</v>
      </c>
      <c r="E117" s="1029">
        <f t="shared" si="37"/>
        <v>0.85960000000000003</v>
      </c>
      <c r="F117" s="1029">
        <f t="shared" si="37"/>
        <v>0.85960000000000003</v>
      </c>
      <c r="G117" s="1029">
        <f t="shared" si="37"/>
        <v>0.85960000000000003</v>
      </c>
      <c r="H117" s="1029">
        <f t="shared" si="37"/>
        <v>0.85960000000000003</v>
      </c>
      <c r="I117" s="1029">
        <f>ROUND(0.7412-0.0095*B113,4)</f>
        <v>0.72319999999999995</v>
      </c>
      <c r="J117" s="1029">
        <f t="shared" si="36"/>
        <v>0.72319999999999995</v>
      </c>
      <c r="K117" s="1029">
        <f t="shared" si="36"/>
        <v>0.72319999999999995</v>
      </c>
      <c r="L117" s="1029">
        <f t="shared" si="36"/>
        <v>0.72319999999999995</v>
      </c>
      <c r="M117" s="1030">
        <f t="shared" si="36"/>
        <v>0.72319999999999995</v>
      </c>
    </row>
    <row r="118" spans="1:13" ht="13.5" thickBot="1">
      <c r="A118" s="1032" t="s">
        <v>903</v>
      </c>
      <c r="B118" s="1033">
        <f>ROUND(0.7275-0.01*B113,4)</f>
        <v>0.70850000000000002</v>
      </c>
      <c r="C118" s="1033">
        <f>B118</f>
        <v>0.70850000000000002</v>
      </c>
      <c r="D118" s="1033">
        <f>ROUND(0.7043-0.012*B113,4)</f>
        <v>0.68149999999999999</v>
      </c>
      <c r="E118" s="1033">
        <f>D118</f>
        <v>0.68149999999999999</v>
      </c>
      <c r="F118" s="1033">
        <f>E118</f>
        <v>0.68149999999999999</v>
      </c>
      <c r="G118" s="1033">
        <f>ROUND(0.6299-0.0122*B113,4)</f>
        <v>0.60670000000000002</v>
      </c>
      <c r="H118" s="1033">
        <f>G118</f>
        <v>0.60670000000000002</v>
      </c>
      <c r="I118" s="1033">
        <f>ROUND(0.5667-0.0136*B113,4)</f>
        <v>0.54090000000000005</v>
      </c>
      <c r="J118" s="1033">
        <f t="shared" si="36"/>
        <v>0.54090000000000005</v>
      </c>
      <c r="K118" s="1033">
        <f t="shared" si="36"/>
        <v>0.54090000000000005</v>
      </c>
      <c r="L118" s="1033">
        <f t="shared" si="36"/>
        <v>0.54090000000000005</v>
      </c>
      <c r="M118" s="1034">
        <f t="shared" si="36"/>
        <v>0.54090000000000005</v>
      </c>
    </row>
  </sheetData>
  <sheetProtection password="C66D" sheet="1" objects="1" scenarios="1" formatCells="0" formatColumns="0" formatRows="0"/>
  <dataConsolidate/>
  <mergeCells count="16">
    <mergeCell ref="A16:A17"/>
    <mergeCell ref="D16:E16"/>
    <mergeCell ref="F16:G16"/>
    <mergeCell ref="A7:A11"/>
    <mergeCell ref="W8:X8"/>
    <mergeCell ref="W9:W10"/>
    <mergeCell ref="W11:W13"/>
    <mergeCell ref="A12:A15"/>
    <mergeCell ref="A110:J110"/>
    <mergeCell ref="A33:A36"/>
    <mergeCell ref="A90:J90"/>
    <mergeCell ref="A91:A92"/>
    <mergeCell ref="B91:B92"/>
    <mergeCell ref="A93:A100"/>
    <mergeCell ref="A101:A109"/>
    <mergeCell ref="B108:B109"/>
  </mergeCells>
  <phoneticPr fontId="228" type="noConversion"/>
  <conditionalFormatting sqref="F47">
    <cfRule type="cellIs" dxfId="96" priority="5" stopIfTrue="1" operator="notEqual">
      <formula>"——"</formula>
    </cfRule>
  </conditionalFormatting>
  <conditionalFormatting sqref="F58">
    <cfRule type="cellIs" dxfId="95" priority="4" stopIfTrue="1" operator="notEqual">
      <formula>"——"</formula>
    </cfRule>
  </conditionalFormatting>
  <conditionalFormatting sqref="F69">
    <cfRule type="cellIs" dxfId="94" priority="3" stopIfTrue="1" operator="notEqual">
      <formula>"——"</formula>
    </cfRule>
  </conditionalFormatting>
  <conditionalFormatting sqref="F80">
    <cfRule type="cellIs" dxfId="93" priority="2" stopIfTrue="1" operator="notEqual">
      <formula>"——"</formula>
    </cfRule>
  </conditionalFormatting>
  <conditionalFormatting sqref="H58:H66 H47:H55 H69:H77 H80:H87">
    <cfRule type="cellIs" dxfId="9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D20" sqref="D20"/>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1" t="s">
        <v>628</v>
      </c>
      <c r="B1" s="737"/>
      <c r="C1" s="772" t="s">
        <v>1677</v>
      </c>
      <c r="D1" s="2034"/>
      <c r="E1" s="2350" t="s">
        <v>2371</v>
      </c>
      <c r="F1" s="2351" t="e">
        <f>J54</f>
        <v>#REF!</v>
      </c>
      <c r="G1" s="773">
        <f>MATCH(C1,'数据-取费表'!A6:A16,0)+5</f>
        <v>8</v>
      </c>
      <c r="H1" s="1345"/>
      <c r="I1" s="2035"/>
      <c r="J1" s="2035"/>
      <c r="K1" s="2036"/>
      <c r="L1" s="2035"/>
      <c r="M1" s="2035"/>
      <c r="N1" s="2037"/>
      <c r="O1" s="2037"/>
      <c r="P1" s="2037"/>
      <c r="Q1" s="2037"/>
      <c r="R1" s="2037"/>
      <c r="S1" s="2037"/>
      <c r="T1" s="2037"/>
      <c r="U1" s="2037"/>
      <c r="V1" s="2037"/>
      <c r="W1" s="2037"/>
      <c r="X1" s="2037"/>
      <c r="Y1" s="2037"/>
    </row>
    <row r="2" spans="1:25" ht="18" customHeight="1">
      <c r="A2" s="1628" t="s">
        <v>629</v>
      </c>
      <c r="B2" s="774">
        <f ca="1">IF(ISERROR(C45+J31),0,C45+J31)</f>
        <v>-140988</v>
      </c>
      <c r="C2" s="1346"/>
      <c r="D2" s="2039"/>
      <c r="E2" s="2040"/>
      <c r="F2" s="2040"/>
      <c r="G2" s="1575"/>
      <c r="H2" s="1358"/>
      <c r="I2" s="2041"/>
      <c r="J2" s="2041"/>
      <c r="K2" s="2042"/>
      <c r="L2" s="2041"/>
      <c r="M2" s="2041"/>
    </row>
    <row r="3" spans="1:25" ht="18" customHeight="1">
      <c r="A3" s="1629" t="s">
        <v>1686</v>
      </c>
      <c r="B3" s="1386">
        <f ca="1">ROUND(B2*10000/'数据-汇总表'!E3,0)</f>
        <v>-600</v>
      </c>
      <c r="C3" s="1346"/>
      <c r="D3" s="2039"/>
      <c r="E3" s="2040"/>
      <c r="F3" s="2040"/>
      <c r="G3" s="1575"/>
      <c r="H3" s="775" t="s">
        <v>695</v>
      </c>
      <c r="I3" s="2041"/>
      <c r="J3" s="2041"/>
      <c r="K3" s="2042"/>
      <c r="L3" s="2041"/>
      <c r="M3" s="2041"/>
    </row>
    <row r="4" spans="1:25" ht="18" customHeight="1">
      <c r="A4" s="1630" t="s">
        <v>696</v>
      </c>
      <c r="B4" s="1347">
        <f ca="1">ROUND(B2*10000/'数据-汇总表'!D3,0)</f>
        <v>-1765</v>
      </c>
      <c r="C4" s="427"/>
      <c r="D4" s="2039"/>
      <c r="E4" s="2040"/>
      <c r="F4" s="2040"/>
      <c r="G4" s="1575"/>
      <c r="H4" s="775"/>
      <c r="I4" s="2041"/>
      <c r="J4" s="2041"/>
      <c r="K4" s="2042"/>
      <c r="L4" s="2041"/>
      <c r="M4" s="2041"/>
    </row>
    <row r="5" spans="1:25" ht="18" customHeight="1" thickBot="1">
      <c r="A5" s="1631"/>
      <c r="B5" s="429">
        <f ca="1">ROUND(B2/('数据-汇总表'!D3/666.67),0)</f>
        <v>-118</v>
      </c>
      <c r="C5" s="430" t="s">
        <v>697</v>
      </c>
      <c r="D5" s="2039"/>
      <c r="E5" s="2040"/>
      <c r="F5" s="2040"/>
      <c r="G5" s="1575"/>
      <c r="H5" s="775"/>
      <c r="I5" s="2041"/>
      <c r="J5" s="2041"/>
      <c r="K5" s="2042"/>
      <c r="L5" s="2041"/>
      <c r="M5" s="2041"/>
    </row>
    <row r="6" spans="1:25" ht="18" customHeight="1">
      <c r="A6" s="1812" t="s">
        <v>698</v>
      </c>
      <c r="B6" s="1804" t="s">
        <v>699</v>
      </c>
      <c r="C6" s="1804" t="s">
        <v>632</v>
      </c>
      <c r="D6" s="1804" t="s">
        <v>633</v>
      </c>
      <c r="E6" s="778" t="s">
        <v>634</v>
      </c>
      <c r="F6" s="779"/>
      <c r="G6" s="1577"/>
      <c r="H6" s="1812" t="s">
        <v>630</v>
      </c>
      <c r="I6" s="1804" t="s">
        <v>631</v>
      </c>
      <c r="J6" s="1804" t="s">
        <v>632</v>
      </c>
      <c r="K6" s="1804" t="s">
        <v>633</v>
      </c>
      <c r="L6" s="778" t="s">
        <v>634</v>
      </c>
      <c r="M6" s="779"/>
    </row>
    <row r="7" spans="1:25" ht="18" customHeight="1">
      <c r="A7" s="780">
        <v>1</v>
      </c>
      <c r="B7" s="781" t="s">
        <v>2455</v>
      </c>
      <c r="C7" s="53">
        <f ca="1">C8+C12+C14</f>
        <v>0</v>
      </c>
      <c r="D7" s="2459" t="s">
        <v>2458</v>
      </c>
      <c r="E7" s="2453"/>
      <c r="F7" s="2454"/>
      <c r="G7" s="1577"/>
      <c r="H7" s="780">
        <v>1</v>
      </c>
      <c r="I7" s="781" t="s">
        <v>2455</v>
      </c>
      <c r="J7" s="53">
        <f ca="1">J8+J12+J14</f>
        <v>0</v>
      </c>
      <c r="K7" s="2459" t="s">
        <v>2458</v>
      </c>
      <c r="L7" s="2453"/>
      <c r="M7" s="2454"/>
    </row>
    <row r="8" spans="1:25" ht="18" customHeight="1">
      <c r="A8" s="1814" t="s">
        <v>1824</v>
      </c>
      <c r="B8" s="3542" t="s">
        <v>2460</v>
      </c>
      <c r="C8" s="1809">
        <f ca="1">ROUND(F8*F10*F9*(1-F11)/10000,0)</f>
        <v>0</v>
      </c>
      <c r="D8" s="1806" t="s">
        <v>2531</v>
      </c>
      <c r="E8" s="61" t="s">
        <v>637</v>
      </c>
      <c r="F8" s="784">
        <f ca="1">INDIRECT("'数据-取费表'!u"&amp;$G$1)</f>
        <v>0</v>
      </c>
      <c r="G8" s="1577"/>
      <c r="H8" s="2467" t="s">
        <v>1824</v>
      </c>
      <c r="I8" s="3542" t="s">
        <v>2460</v>
      </c>
      <c r="J8" s="782">
        <f ca="1">ROUND(M8*M10*M9*(1-M11)/10000,0)</f>
        <v>0</v>
      </c>
      <c r="K8" s="340" t="s">
        <v>2531</v>
      </c>
      <c r="L8" s="783" t="s">
        <v>1738</v>
      </c>
      <c r="M8" s="784">
        <f ca="1">INDIRECT("'数据-取费表'!z"&amp;$G$1)</f>
        <v>0</v>
      </c>
    </row>
    <row r="9" spans="1:25" ht="18" customHeight="1">
      <c r="A9" s="2463"/>
      <c r="B9" s="3543"/>
      <c r="C9" s="1810"/>
      <c r="D9" s="1807"/>
      <c r="E9" s="61" t="s">
        <v>638</v>
      </c>
      <c r="F9" s="784">
        <f ca="1">IF(INDIRECT("'数据-取费表'!ah"&amp;$G$1)="",INDIRECT("'数据-取费表'!k"&amp;$G$1),INDIRECT("'数据-取费表'!ah"&amp;$G$1))</f>
        <v>0</v>
      </c>
      <c r="G9" s="1577"/>
      <c r="H9" s="2452"/>
      <c r="I9" s="3543"/>
      <c r="J9" s="787"/>
      <c r="K9" s="788"/>
      <c r="L9" s="783" t="s">
        <v>1739</v>
      </c>
      <c r="M9" s="784">
        <f ca="1">F9</f>
        <v>0</v>
      </c>
    </row>
    <row r="10" spans="1:25" ht="18" customHeight="1">
      <c r="A10" s="2456"/>
      <c r="B10" s="3544"/>
      <c r="C10" s="1810"/>
      <c r="D10" s="1807"/>
      <c r="E10" s="61" t="s">
        <v>639</v>
      </c>
      <c r="F10" s="784">
        <f ca="1">INDIRECT("'数据-取费表'!ai"&amp;$G$1)</f>
        <v>365</v>
      </c>
      <c r="G10" s="1577"/>
      <c r="H10" s="2452"/>
      <c r="I10" s="3544"/>
      <c r="J10" s="787"/>
      <c r="K10" s="788"/>
      <c r="L10" s="783" t="s">
        <v>1740</v>
      </c>
      <c r="M10" s="784">
        <f ca="1">INDIRECT("'数据-取费表'!ai"&amp;$G$1)</f>
        <v>365</v>
      </c>
    </row>
    <row r="11" spans="1:25" ht="18" customHeight="1">
      <c r="A11" s="785"/>
      <c r="B11" s="3545"/>
      <c r="C11" s="1810"/>
      <c r="D11" s="1807"/>
      <c r="E11" s="61" t="s">
        <v>640</v>
      </c>
      <c r="F11" s="793">
        <f ca="1">INDIRECT("'数据-取费表'!w"&amp;$G$1)</f>
        <v>0.1</v>
      </c>
      <c r="G11" s="1577"/>
      <c r="H11" s="2468"/>
      <c r="I11" s="3544"/>
      <c r="J11" s="787"/>
      <c r="K11" s="788"/>
      <c r="L11" s="794" t="s">
        <v>1741</v>
      </c>
      <c r="M11" s="795">
        <f ca="1">INDIRECT("'数据-取费表'!ab"&amp;$G$1)</f>
        <v>0</v>
      </c>
    </row>
    <row r="12" spans="1:25" ht="18" customHeight="1">
      <c r="A12" s="1814" t="s">
        <v>1825</v>
      </c>
      <c r="B12" s="2457" t="s">
        <v>2456</v>
      </c>
      <c r="C12" s="798">
        <f ca="1">ROUND(IF(F12="押一",C8/12*F13,IF(F12="押二",C8/12*2*F13,IF(F12="押三",C8/12*3*F13,C13*F13))),0)</f>
        <v>0</v>
      </c>
      <c r="D12" s="2464" t="s">
        <v>2970</v>
      </c>
      <c r="E12" s="2461" t="s">
        <v>2461</v>
      </c>
      <c r="F12" s="2584" t="s">
        <v>3041</v>
      </c>
      <c r="G12" s="1577"/>
      <c r="H12" s="2524" t="s">
        <v>1825</v>
      </c>
      <c r="I12" s="2529" t="s">
        <v>2456</v>
      </c>
      <c r="J12" s="782">
        <f ca="1">ROUND(IF(M12="押一",J8/12*M13,IF(M12="押二",J8/12*2*M13,IF(M12="押三",J8/12*3*M13,J13*M13))),0)</f>
        <v>0</v>
      </c>
      <c r="K12" s="2464" t="s">
        <v>2970</v>
      </c>
      <c r="L12" s="2461" t="s">
        <v>2461</v>
      </c>
      <c r="M12" s="2584"/>
    </row>
    <row r="13" spans="1:25" ht="18" customHeight="1">
      <c r="A13" s="789"/>
      <c r="B13" s="2458" t="s">
        <v>2570</v>
      </c>
      <c r="C13" s="2462"/>
      <c r="D13" s="788"/>
      <c r="E13" s="2461" t="s">
        <v>2453</v>
      </c>
      <c r="F13" s="795">
        <f ca="1">'数据-取费表'!B39</f>
        <v>1.4999999999999999E-2</v>
      </c>
      <c r="G13" s="1577"/>
      <c r="H13" s="2525"/>
      <c r="I13" s="2458" t="s">
        <v>2570</v>
      </c>
      <c r="J13" s="2462"/>
      <c r="K13" s="2526"/>
      <c r="L13" s="2461" t="s">
        <v>2453</v>
      </c>
      <c r="M13" s="2455">
        <f ca="1">'数据-取费表'!B39</f>
        <v>1.4999999999999999E-2</v>
      </c>
    </row>
    <row r="14" spans="1:25" ht="18" customHeight="1" thickBot="1">
      <c r="A14" s="2500" t="s">
        <v>2464</v>
      </c>
      <c r="B14" s="2501" t="s">
        <v>2457</v>
      </c>
      <c r="C14" s="2502"/>
      <c r="D14" s="2503"/>
      <c r="E14" s="2504"/>
      <c r="F14" s="2505"/>
      <c r="G14" s="1577"/>
      <c r="H14" s="2514" t="s">
        <v>2464</v>
      </c>
      <c r="I14" s="2527" t="s">
        <v>2457</v>
      </c>
      <c r="J14" s="2528"/>
      <c r="K14" s="2503"/>
      <c r="L14" s="2504"/>
      <c r="M14" s="2517"/>
    </row>
    <row r="15" spans="1:25" ht="18" customHeight="1" thickTop="1">
      <c r="A15" s="1813" t="s">
        <v>1874</v>
      </c>
      <c r="B15" s="1811" t="s">
        <v>641</v>
      </c>
      <c r="C15" s="791">
        <f ca="1">ROUND(C31*F15,0)</f>
        <v>88099</v>
      </c>
      <c r="D15" s="1818" t="s">
        <v>642</v>
      </c>
      <c r="E15" s="794" t="s">
        <v>643</v>
      </c>
      <c r="F15" s="799">
        <f ca="1">INDIRECT("'数据-取费表'!y"&amp;$G$1)</f>
        <v>1</v>
      </c>
      <c r="G15" s="1577"/>
      <c r="H15" s="1813" t="s">
        <v>1826</v>
      </c>
      <c r="I15" s="1811" t="s">
        <v>644</v>
      </c>
      <c r="J15" s="1803">
        <f ca="1">ROUND(J16*J17,0)</f>
        <v>88099</v>
      </c>
      <c r="K15" s="1805" t="s">
        <v>642</v>
      </c>
      <c r="L15" s="800"/>
      <c r="M15" s="801"/>
    </row>
    <row r="16" spans="1:25" ht="18" customHeight="1">
      <c r="A16" s="802" t="s">
        <v>1875</v>
      </c>
      <c r="B16" s="783" t="s">
        <v>645</v>
      </c>
      <c r="C16" s="803">
        <f ca="1">INDIRECT("'数据-取费表'!m"&amp;$G$1)+INDIRECT("'数据-取费表'!t"&amp;$G$1)</f>
        <v>62355</v>
      </c>
      <c r="D16" s="1963" t="s">
        <v>646</v>
      </c>
      <c r="E16" s="1964"/>
      <c r="F16" s="804"/>
      <c r="G16" s="1577"/>
      <c r="H16" s="802" t="s">
        <v>2067</v>
      </c>
      <c r="I16" s="2215" t="s">
        <v>2820</v>
      </c>
      <c r="J16" s="53">
        <f ca="1">C31</f>
        <v>88099</v>
      </c>
      <c r="K16" s="26"/>
      <c r="L16" s="800"/>
      <c r="M16" s="801"/>
    </row>
    <row r="17" spans="1:25" s="2048" customFormat="1" ht="18" customHeight="1">
      <c r="A17" s="802" t="s">
        <v>1849</v>
      </c>
      <c r="B17" s="783" t="s">
        <v>647</v>
      </c>
      <c r="C17" s="53">
        <f ca="1">ROUND(C16*F17,0)</f>
        <v>1871</v>
      </c>
      <c r="D17" s="805" t="s">
        <v>648</v>
      </c>
      <c r="E17" s="805" t="s">
        <v>649</v>
      </c>
      <c r="F17" s="806">
        <f>'数据-取费表'!B33</f>
        <v>0.03</v>
      </c>
      <c r="G17" s="1578"/>
      <c r="H17" s="802" t="s">
        <v>2068</v>
      </c>
      <c r="I17" s="783" t="s">
        <v>643</v>
      </c>
      <c r="J17" s="807">
        <f ca="1">INDIRECT("'数据-取费表'!ad"&amp;$G$1)</f>
        <v>1</v>
      </c>
      <c r="K17" s="26"/>
      <c r="L17" s="800"/>
      <c r="M17" s="801"/>
      <c r="N17" s="2047"/>
      <c r="O17" s="2047"/>
      <c r="P17" s="2047"/>
      <c r="Q17" s="2047"/>
      <c r="R17" s="2047"/>
      <c r="S17" s="2047"/>
      <c r="T17" s="2047"/>
      <c r="U17" s="2047"/>
      <c r="V17" s="2047"/>
      <c r="W17" s="2047"/>
      <c r="X17" s="2047"/>
      <c r="Y17" s="2047"/>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7"/>
      <c r="H18" s="796" t="s">
        <v>1827</v>
      </c>
      <c r="I18" s="797" t="s">
        <v>651</v>
      </c>
      <c r="J18" s="798">
        <f ca="1">ROUND(J19+J24+J25+J26,0)</f>
        <v>1717</v>
      </c>
      <c r="K18" s="26" t="s">
        <v>652</v>
      </c>
      <c r="L18" s="1966"/>
      <c r="M18" s="56"/>
    </row>
    <row r="19" spans="1:25" s="2048" customFormat="1" ht="18" customHeight="1">
      <c r="A19" s="802" t="s">
        <v>1851</v>
      </c>
      <c r="B19" s="783" t="s">
        <v>653</v>
      </c>
      <c r="C19" s="53">
        <f ca="1">ROUND(F19*(INDIRECT("'数据-取费表'!k"&amp;$G$1)+INDIRECT("'数据-取费表'!S"&amp;$G$1))/10000,0)</f>
        <v>4923</v>
      </c>
      <c r="D19" s="783" t="s">
        <v>654</v>
      </c>
      <c r="E19" s="783" t="s">
        <v>655</v>
      </c>
      <c r="F19" s="56">
        <f>'数据-取费表'!B35</f>
        <v>300</v>
      </c>
      <c r="G19" s="1578"/>
      <c r="H19" s="802" t="s">
        <v>2067</v>
      </c>
      <c r="I19" s="783" t="s">
        <v>656</v>
      </c>
      <c r="J19" s="3031">
        <f ca="1">ROUND(IF(项目基本情况!B11="自然人",J8*M19/(1+'数据-取费表'!C42),J20+J21+J22),0)</f>
        <v>748</v>
      </c>
      <c r="K19" s="1963" t="s">
        <v>657</v>
      </c>
      <c r="L19" s="1961" t="s">
        <v>658</v>
      </c>
      <c r="M19" s="809"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2" t="s">
        <v>1852</v>
      </c>
      <c r="B20" s="783" t="s">
        <v>659</v>
      </c>
      <c r="C20" s="53">
        <f ca="1">ROUND(C16*F20,0)</f>
        <v>935</v>
      </c>
      <c r="D20" s="783" t="s">
        <v>648</v>
      </c>
      <c r="E20" s="783" t="s">
        <v>649</v>
      </c>
      <c r="F20" s="808">
        <f>'数据-取费表'!B36</f>
        <v>1.4999999999999999E-2</v>
      </c>
      <c r="G20" s="1578"/>
      <c r="H20" s="802" t="s">
        <v>1831</v>
      </c>
      <c r="I20" s="783" t="s">
        <v>660</v>
      </c>
      <c r="J20" s="3031">
        <f ca="1">ROUND(J8*M20/(1+'数据-取费表'!C42),1)</f>
        <v>0</v>
      </c>
      <c r="K20" s="1961" t="s">
        <v>661</v>
      </c>
      <c r="L20" s="783" t="s">
        <v>649</v>
      </c>
      <c r="M20" s="808">
        <f>'数据-取费表'!B41</f>
        <v>5.5000000000000007E-2</v>
      </c>
      <c r="N20" s="2047"/>
      <c r="O20" s="2047"/>
      <c r="P20" s="2047"/>
      <c r="Q20" s="2047"/>
      <c r="R20" s="2047"/>
      <c r="S20" s="2047"/>
      <c r="T20" s="2047"/>
      <c r="U20" s="2047"/>
      <c r="V20" s="2047"/>
      <c r="W20" s="2047"/>
      <c r="X20" s="2047"/>
      <c r="Y20" s="2047"/>
    </row>
    <row r="21" spans="1:25" ht="18" customHeight="1">
      <c r="A21" s="802" t="s">
        <v>1876</v>
      </c>
      <c r="B21" s="783" t="s">
        <v>662</v>
      </c>
      <c r="C21" s="53">
        <f ca="1">SUM(C16:C20)</f>
        <v>70084</v>
      </c>
      <c r="D21" s="260" t="s">
        <v>663</v>
      </c>
      <c r="E21" s="1966"/>
      <c r="F21" s="56"/>
      <c r="G21" s="1577"/>
      <c r="H21" s="1814" t="s">
        <v>1849</v>
      </c>
      <c r="I21" s="783" t="s">
        <v>664</v>
      </c>
      <c r="J21" s="3031">
        <f ca="1">IF(K21="按租金收入计税",ROUND(J8*M21/(1+'数据-取费表'!C42),1),ROUND(C31*F35*0.7,1))</f>
        <v>740</v>
      </c>
      <c r="K21" s="810" t="s">
        <v>665</v>
      </c>
      <c r="L21" s="783" t="s">
        <v>649</v>
      </c>
      <c r="M21" s="808">
        <f>IF(K21="按租金收入计税",'数据-取费表'!B51,'数据-取费表'!B50)</f>
        <v>1.2E-2</v>
      </c>
    </row>
    <row r="22" spans="1:25" s="2048" customFormat="1" ht="18" customHeight="1">
      <c r="A22" s="802" t="s">
        <v>1877</v>
      </c>
      <c r="B22" s="783" t="s">
        <v>666</v>
      </c>
      <c r="C22" s="53">
        <f ca="1">ROUND(C21*F22,0)</f>
        <v>1402</v>
      </c>
      <c r="D22" s="811" t="s">
        <v>667</v>
      </c>
      <c r="E22" s="783" t="s">
        <v>649</v>
      </c>
      <c r="F22" s="808">
        <f>'数据-取费表'!B37</f>
        <v>0.02</v>
      </c>
      <c r="G22" s="1578"/>
      <c r="H22" s="1816" t="s">
        <v>1850</v>
      </c>
      <c r="I22" s="1806" t="s">
        <v>668</v>
      </c>
      <c r="J22" s="54">
        <f ca="1">ROUND(M22*M23/10000,0)</f>
        <v>8</v>
      </c>
      <c r="K22" s="813" t="s">
        <v>669</v>
      </c>
      <c r="L22" s="783" t="s">
        <v>670</v>
      </c>
      <c r="M22" s="639">
        <f>'数据-取费表'!B52</f>
        <v>1.5</v>
      </c>
      <c r="N22" s="2047"/>
      <c r="O22" s="2047"/>
      <c r="P22" s="2047"/>
      <c r="Q22" s="2047"/>
      <c r="R22" s="2047"/>
      <c r="S22" s="2047"/>
      <c r="T22" s="2047"/>
      <c r="U22" s="2047"/>
      <c r="V22" s="2047"/>
      <c r="W22" s="2047"/>
      <c r="X22" s="2047"/>
      <c r="Y22" s="2047"/>
    </row>
    <row r="23" spans="1:25" s="2048" customFormat="1" ht="18" customHeight="1">
      <c r="A23" s="802" t="s">
        <v>1878</v>
      </c>
      <c r="B23" s="783" t="s">
        <v>671</v>
      </c>
      <c r="C23" s="53" t="s">
        <v>1</v>
      </c>
      <c r="D23" s="811" t="s">
        <v>672</v>
      </c>
      <c r="E23" s="783" t="s">
        <v>673</v>
      </c>
      <c r="F23" s="808">
        <f>'数据-取费表'!B38</f>
        <v>0.02</v>
      </c>
      <c r="G23" s="1578"/>
      <c r="H23" s="1817"/>
      <c r="I23" s="1808"/>
      <c r="J23" s="69"/>
      <c r="K23" s="815"/>
      <c r="L23" s="783" t="s">
        <v>674</v>
      </c>
      <c r="M23" s="784">
        <f ca="1">INDIRECT("'数据-取费表'!r"&amp;$G$1)</f>
        <v>55834.1</v>
      </c>
      <c r="N23" s="2047"/>
      <c r="O23" s="2047"/>
      <c r="P23" s="2047"/>
      <c r="Q23" s="2047"/>
      <c r="R23" s="2047"/>
      <c r="S23" s="2047"/>
      <c r="T23" s="2047"/>
      <c r="U23" s="2047"/>
      <c r="V23" s="2047"/>
      <c r="W23" s="2047"/>
      <c r="X23" s="2047"/>
      <c r="Y23" s="2047"/>
    </row>
    <row r="24" spans="1:25" ht="18" customHeight="1">
      <c r="A24" s="802" t="s">
        <v>1879</v>
      </c>
      <c r="B24" s="783" t="s">
        <v>675</v>
      </c>
      <c r="C24" s="53"/>
      <c r="D24" s="2535" t="str">
        <f>IF(F25&lt;=1,"单利计息。","复利计息。")&amp;"建造成本、管理费用、销售费用产生的利息。"</f>
        <v>复利计息。建造成本、管理费用、销售费用产生的利息。</v>
      </c>
      <c r="E24" s="1966"/>
      <c r="F24" s="56"/>
      <c r="G24" s="1577"/>
      <c r="H24" s="1815" t="s">
        <v>2068</v>
      </c>
      <c r="I24" s="783" t="s">
        <v>676</v>
      </c>
      <c r="J24" s="53">
        <f ca="1">ROUND(J16*M24,0)</f>
        <v>881</v>
      </c>
      <c r="K24" s="1961" t="s">
        <v>677</v>
      </c>
      <c r="L24" s="783" t="s">
        <v>649</v>
      </c>
      <c r="M24" s="816">
        <f ca="1">INDIRECT("'数据-取费表'!Ak"&amp;$G$1)</f>
        <v>0.01</v>
      </c>
    </row>
    <row r="25" spans="1:25" s="2048" customFormat="1" ht="18" customHeight="1">
      <c r="A25" s="802" t="s">
        <v>1875</v>
      </c>
      <c r="B25" s="783" t="s">
        <v>2434</v>
      </c>
      <c r="C25" s="53">
        <f ca="1">ROUND(IF('数据-取费表'!B22&lt;=1,(C21+C22)*F26*F25/2,(C21+C22)*(POWER((1+F26),F25/2)-1)),0)</f>
        <v>4269</v>
      </c>
      <c r="D25" s="2534" t="str">
        <f>IF(F25&lt;=1,"(建造成本+管理费用)×利率×(建设周期÷2)","(建造成本+管理费用)×((1+利率)^(建设周期÷2)-1)")</f>
        <v>(建造成本+管理费用)×((1+利率)^(建设周期÷2)-1)</v>
      </c>
      <c r="E25" s="783" t="s">
        <v>678</v>
      </c>
      <c r="F25" s="639">
        <f>'数据-取费表'!B20</f>
        <v>2.5</v>
      </c>
      <c r="G25" s="1578"/>
      <c r="H25" s="802" t="s">
        <v>1878</v>
      </c>
      <c r="I25" s="783" t="s">
        <v>679</v>
      </c>
      <c r="J25" s="53">
        <f ca="1">ROUND(J15*M25,0)</f>
        <v>88</v>
      </c>
      <c r="K25" s="1961" t="s">
        <v>680</v>
      </c>
      <c r="L25" s="783" t="s">
        <v>649</v>
      </c>
      <c r="M25" s="817">
        <f ca="1">INDIRECT("'数据-取费表'!Al"&amp;$G$1)</f>
        <v>1E-3</v>
      </c>
      <c r="N25" s="2047"/>
      <c r="O25" s="2047"/>
      <c r="P25" s="2047"/>
      <c r="Q25" s="2047"/>
      <c r="R25" s="2047"/>
      <c r="S25" s="2047"/>
      <c r="T25" s="2047"/>
      <c r="U25" s="2047"/>
      <c r="V25" s="2047"/>
      <c r="W25" s="2047"/>
      <c r="X25" s="2047"/>
      <c r="Y25" s="2047"/>
    </row>
    <row r="26" spans="1:25" s="2048" customFormat="1" ht="18" customHeight="1">
      <c r="A26" s="802" t="s">
        <v>1849</v>
      </c>
      <c r="B26" s="783" t="s">
        <v>681</v>
      </c>
      <c r="C26" s="53">
        <f ca="1">ROUND(IF('数据-取费表'!B22&lt;=1,F23*F26*F25/2,F23*(POWER((1+F26),F25/2)-1)),4)</f>
        <v>1.1999999999999999E-3</v>
      </c>
      <c r="D26" s="2534" t="str">
        <f>IF(F25&lt;=1,"销售费用×利率×(建设周期÷2)","销售费用×((1+利率)^(建设周期÷2)-1)")</f>
        <v>销售费用×((1+利率)^(建设周期÷2)-1)</v>
      </c>
      <c r="E26" s="783" t="s">
        <v>682</v>
      </c>
      <c r="F26" s="818">
        <f ca="1">'数据-取费表'!B40</f>
        <v>4.7500000000000001E-2</v>
      </c>
      <c r="G26" s="1578"/>
      <c r="H26" s="802" t="s">
        <v>1879</v>
      </c>
      <c r="I26" s="783" t="s">
        <v>666</v>
      </c>
      <c r="J26" s="53">
        <f ca="1">ROUND(J7*M26,0)</f>
        <v>0</v>
      </c>
      <c r="K26" s="1961" t="s">
        <v>683</v>
      </c>
      <c r="L26" s="783" t="s">
        <v>649</v>
      </c>
      <c r="M26" s="793">
        <f ca="1">INDIRECT("'数据-取费表'!Am"&amp;$G$1)</f>
        <v>0.01</v>
      </c>
      <c r="N26" s="2047"/>
      <c r="O26" s="2047"/>
      <c r="P26" s="2047"/>
      <c r="Q26" s="2047"/>
      <c r="R26" s="2047"/>
      <c r="S26" s="2047"/>
      <c r="T26" s="2047"/>
      <c r="U26" s="2047"/>
      <c r="V26" s="2047"/>
      <c r="W26" s="2047"/>
      <c r="X26" s="2047"/>
      <c r="Y26" s="2047"/>
    </row>
    <row r="27" spans="1:25" ht="18" customHeight="1">
      <c r="A27" s="802" t="s">
        <v>1881</v>
      </c>
      <c r="B27" s="783" t="s">
        <v>684</v>
      </c>
      <c r="C27" s="53"/>
      <c r="D27" s="260" t="s">
        <v>685</v>
      </c>
      <c r="E27" s="1966"/>
      <c r="F27" s="56"/>
      <c r="G27" s="1577"/>
      <c r="H27" s="796" t="s">
        <v>1828</v>
      </c>
      <c r="I27" s="2845" t="s">
        <v>2817</v>
      </c>
      <c r="J27" s="798">
        <f ca="1">J7-J18</f>
        <v>-1717</v>
      </c>
      <c r="K27" s="1963" t="s">
        <v>700</v>
      </c>
      <c r="L27" s="1965"/>
      <c r="M27" s="819"/>
    </row>
    <row r="28" spans="1:25" ht="18" customHeight="1">
      <c r="A28" s="802" t="s">
        <v>1875</v>
      </c>
      <c r="B28" s="783" t="s">
        <v>2435</v>
      </c>
      <c r="C28" s="53">
        <f ca="1">ROUND((C21+C22)*F28,0)</f>
        <v>5719</v>
      </c>
      <c r="D28" s="811" t="s">
        <v>701</v>
      </c>
      <c r="E28" s="794" t="s">
        <v>702</v>
      </c>
      <c r="F28" s="793">
        <f ca="1">INDIRECT("'数据-取费表'!q"&amp;$G$1)</f>
        <v>0.08</v>
      </c>
      <c r="G28" s="1577"/>
      <c r="H28" s="780" t="s">
        <v>1837</v>
      </c>
      <c r="I28" s="781" t="s">
        <v>703</v>
      </c>
      <c r="J28" s="782">
        <f ca="1">IF(J7&lt;&gt;0,ROUND(J27*(1-((1+M30)/(1+M28))^M29)/(M28-M30),0),0)</f>
        <v>0</v>
      </c>
      <c r="K28" s="813" t="s">
        <v>704</v>
      </c>
      <c r="L28" s="783" t="s">
        <v>705</v>
      </c>
      <c r="M28" s="793">
        <f ca="1">INDIRECT("'数据-取费表'!I"&amp;$G$1)</f>
        <v>0.04</v>
      </c>
    </row>
    <row r="29" spans="1:25" ht="18" customHeight="1">
      <c r="A29" s="802" t="s">
        <v>1849</v>
      </c>
      <c r="B29" s="783" t="s">
        <v>686</v>
      </c>
      <c r="C29" s="53">
        <f ca="1">ROUND(F23*F28,4)</f>
        <v>1.6000000000000001E-3</v>
      </c>
      <c r="D29" s="811" t="s">
        <v>706</v>
      </c>
      <c r="E29" s="805"/>
      <c r="F29" s="806"/>
      <c r="G29" s="1577"/>
      <c r="H29" s="785"/>
      <c r="I29" s="786"/>
      <c r="J29" s="787"/>
      <c r="K29" s="820" t="s">
        <v>707</v>
      </c>
      <c r="L29" s="783" t="s">
        <v>708</v>
      </c>
      <c r="M29" s="821">
        <f ca="1">INDIRECT("'数据-取费表'!ag"&amp;$G$1)</f>
        <v>0</v>
      </c>
    </row>
    <row r="30" spans="1:25" s="2048" customFormat="1" ht="18" customHeight="1">
      <c r="A30" s="802" t="s">
        <v>1882</v>
      </c>
      <c r="B30" s="783" t="s">
        <v>687</v>
      </c>
      <c r="C30" s="53">
        <f>ROUND(F30/(1+'数据-取费表'!C42),4)</f>
        <v>5.2400000000000002E-2</v>
      </c>
      <c r="D30" s="811" t="s">
        <v>709</v>
      </c>
      <c r="E30" s="783" t="s">
        <v>649</v>
      </c>
      <c r="F30" s="808">
        <f>'数据-取费表'!B41</f>
        <v>5.5000000000000007E-2</v>
      </c>
      <c r="G30" s="1578"/>
      <c r="H30" s="789"/>
      <c r="I30" s="790"/>
      <c r="J30" s="791"/>
      <c r="K30" s="815"/>
      <c r="L30" s="783" t="s">
        <v>710</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2818</v>
      </c>
      <c r="C31" s="2507">
        <f ca="1">ROUND((C21+C22+C25+C28)/(1-F23-C26-C29-C30),0)</f>
        <v>88099</v>
      </c>
      <c r="D31" s="2508"/>
      <c r="E31" s="2509"/>
      <c r="F31" s="2510"/>
      <c r="G31" s="1578"/>
      <c r="H31" s="822" t="s">
        <v>1872</v>
      </c>
      <c r="I31" s="2846" t="s">
        <v>2819</v>
      </c>
      <c r="J31" s="824">
        <f ca="1">ROUND(J28/(1+F45)^F46,0)</f>
        <v>0</v>
      </c>
      <c r="K31" s="825" t="s">
        <v>688</v>
      </c>
      <c r="L31" s="826"/>
      <c r="M31" s="827">
        <f ca="1">INDIRECT("'数据-取费表'!k"&amp;$G$1)</f>
        <v>164092.99</v>
      </c>
      <c r="N31" s="2047"/>
      <c r="O31" s="2047"/>
      <c r="P31" s="2047"/>
      <c r="Q31" s="2047"/>
      <c r="R31" s="2047"/>
      <c r="S31" s="2047"/>
      <c r="T31" s="2047"/>
      <c r="U31" s="2047"/>
      <c r="V31" s="2047"/>
      <c r="W31" s="2047"/>
      <c r="X31" s="2047"/>
      <c r="Y31" s="2047"/>
    </row>
    <row r="32" spans="1:25" ht="18" customHeight="1" thickTop="1">
      <c r="A32" s="1813" t="s">
        <v>7</v>
      </c>
      <c r="B32" s="1811" t="s">
        <v>689</v>
      </c>
      <c r="C32" s="791">
        <f ca="1">ROUND(C33+C38+C39+C40,0)</f>
        <v>1718</v>
      </c>
      <c r="D32" s="1805" t="s">
        <v>652</v>
      </c>
      <c r="E32" s="2450"/>
      <c r="F32" s="2454"/>
      <c r="G32" s="2046"/>
      <c r="H32" s="2049"/>
      <c r="I32" s="2050"/>
      <c r="J32" s="2051"/>
      <c r="K32" s="2052"/>
      <c r="L32" s="2053"/>
      <c r="M32" s="2054"/>
    </row>
    <row r="33" spans="1:18" ht="18" customHeight="1">
      <c r="A33" s="802" t="s">
        <v>1876</v>
      </c>
      <c r="B33" s="783" t="s">
        <v>656</v>
      </c>
      <c r="C33" s="3031">
        <f ca="1">ROUND(IF(项目基本情况!B11="自然人",C8*F33/(1+'数据-取费表'!C42),C34+C35+C36),1)</f>
        <v>748.4</v>
      </c>
      <c r="D33" s="1963" t="s">
        <v>657</v>
      </c>
      <c r="E33" s="1961" t="s">
        <v>690</v>
      </c>
      <c r="F33" s="809" t="str">
        <f ca="1">IF(项目基本情况!B11="企业","",IF(INDIRECT("'数据-取费表'!c"&amp;$G$1)="住宅",5%,IF(F8*F9*F10/12/(1+'数据-取费表'!C42)&gt;20000,12%,7%)))</f>
        <v/>
      </c>
      <c r="G33" s="2046"/>
      <c r="H33" s="2049"/>
      <c r="I33" s="2050"/>
      <c r="J33" s="2051"/>
      <c r="K33" s="2052"/>
      <c r="L33" s="2053"/>
      <c r="M33" s="2054"/>
    </row>
    <row r="34" spans="1:18" ht="18" customHeight="1">
      <c r="A34" s="802" t="s">
        <v>1875</v>
      </c>
      <c r="B34" s="783" t="s">
        <v>660</v>
      </c>
      <c r="C34" s="3031">
        <f ca="1">ROUND(C8*F34/(1+'数据-取费表'!C42),1)</f>
        <v>0</v>
      </c>
      <c r="D34" s="1961" t="s">
        <v>661</v>
      </c>
      <c r="E34" s="783" t="s">
        <v>649</v>
      </c>
      <c r="F34" s="808">
        <f>'数据-取费表'!B41</f>
        <v>5.5000000000000007E-2</v>
      </c>
      <c r="G34" s="2046"/>
      <c r="H34" s="2055"/>
      <c r="I34" s="2056"/>
      <c r="J34" s="2057"/>
      <c r="K34" s="2058"/>
      <c r="L34" s="2059"/>
      <c r="M34" s="2060"/>
    </row>
    <row r="35" spans="1:18" ht="18" customHeight="1">
      <c r="A35" s="802" t="s">
        <v>1849</v>
      </c>
      <c r="B35" s="783" t="s">
        <v>664</v>
      </c>
      <c r="C35" s="3031">
        <f ca="1">IF(D35="按租金收入计税",ROUND(C8*F35/(1+'数据-取费表'!C42),1),IF(D35="按房产原值计税",ROUND(C31*F35*0.7,1),INDIRECT("'数据-取费表'!Aj"&amp;$G$1)))</f>
        <v>740</v>
      </c>
      <c r="D35" s="810" t="s">
        <v>1680</v>
      </c>
      <c r="E35" s="783" t="s">
        <v>649</v>
      </c>
      <c r="F35" s="808">
        <f>IF(D35="按租金收入计税",'数据-取费表'!B51,'数据-取费表'!B50)</f>
        <v>1.2E-2</v>
      </c>
      <c r="G35" s="2046"/>
      <c r="H35" s="2061"/>
      <c r="I35" s="2061"/>
      <c r="J35" s="2061"/>
      <c r="K35" s="2062"/>
      <c r="L35" s="2061"/>
      <c r="M35" s="2061"/>
    </row>
    <row r="36" spans="1:18" ht="18" customHeight="1">
      <c r="A36" s="812" t="s">
        <v>1880</v>
      </c>
      <c r="B36" s="340" t="s">
        <v>668</v>
      </c>
      <c r="C36" s="54">
        <f ca="1">ROUND(F36*F37/10000,1)</f>
        <v>8.4</v>
      </c>
      <c r="D36" s="813" t="s">
        <v>669</v>
      </c>
      <c r="E36" s="783" t="s">
        <v>670</v>
      </c>
      <c r="F36" s="639">
        <f>'数据-取费表'!B52</f>
        <v>1.5</v>
      </c>
      <c r="G36" s="2046"/>
      <c r="H36" s="2049"/>
      <c r="I36" s="3541"/>
      <c r="J36" s="2063"/>
      <c r="K36" s="2064"/>
      <c r="L36" s="2063"/>
      <c r="M36" s="2063"/>
    </row>
    <row r="37" spans="1:18" ht="18" customHeight="1">
      <c r="A37" s="814"/>
      <c r="B37" s="792"/>
      <c r="C37" s="69"/>
      <c r="D37" s="815"/>
      <c r="E37" s="783" t="s">
        <v>674</v>
      </c>
      <c r="F37" s="784">
        <f ca="1">INDIRECT("'数据-取费表'!r"&amp;$G$1)</f>
        <v>55834.1</v>
      </c>
      <c r="G37" s="2046"/>
      <c r="H37" s="2049"/>
      <c r="I37" s="3541"/>
      <c r="J37" s="2061"/>
      <c r="K37" s="2062"/>
      <c r="L37" s="2061"/>
      <c r="M37" s="2061"/>
    </row>
    <row r="38" spans="1:18" ht="18" customHeight="1">
      <c r="A38" s="802" t="s">
        <v>1877</v>
      </c>
      <c r="B38" s="783" t="s">
        <v>676</v>
      </c>
      <c r="C38" s="53">
        <f ca="1">ROUND(C31*F38,1)</f>
        <v>881</v>
      </c>
      <c r="D38" s="1961" t="s">
        <v>691</v>
      </c>
      <c r="E38" s="783" t="s">
        <v>649</v>
      </c>
      <c r="F38" s="816">
        <f ca="1">INDIRECT("'数据-取费表'!Ak"&amp;$G$1)</f>
        <v>0.01</v>
      </c>
      <c r="G38" s="2046"/>
      <c r="H38" s="2061"/>
      <c r="I38" s="2065"/>
      <c r="J38" s="1972"/>
      <c r="K38" s="2066"/>
      <c r="L38" s="2061"/>
      <c r="M38" s="2061"/>
    </row>
    <row r="39" spans="1:18" ht="18" customHeight="1">
      <c r="A39" s="802" t="s">
        <v>1878</v>
      </c>
      <c r="B39" s="783" t="s">
        <v>679</v>
      </c>
      <c r="C39" s="53">
        <f ca="1">ROUND(C15*F39,1)</f>
        <v>88.1</v>
      </c>
      <c r="D39" s="1961" t="s">
        <v>680</v>
      </c>
      <c r="E39" s="783" t="s">
        <v>649</v>
      </c>
      <c r="F39" s="817">
        <f ca="1">INDIRECT("'数据-取费表'!Al"&amp;$G$1)</f>
        <v>1E-3</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0.01</v>
      </c>
      <c r="G40" s="2046"/>
      <c r="H40" s="2061"/>
      <c r="I40" s="2065"/>
      <c r="J40" s="1972"/>
      <c r="K40" s="2067"/>
      <c r="L40" s="2061"/>
      <c r="M40" s="2061"/>
    </row>
    <row r="41" spans="1:18" ht="18" customHeight="1" thickTop="1">
      <c r="A41" s="1813">
        <v>4</v>
      </c>
      <c r="B41" s="1811" t="s">
        <v>692</v>
      </c>
      <c r="C41" s="1348"/>
      <c r="D41" s="1349"/>
      <c r="E41" s="1349"/>
      <c r="F41" s="1350"/>
      <c r="G41" s="2046"/>
      <c r="H41" s="2046"/>
      <c r="I41" s="2046"/>
      <c r="J41" s="2046"/>
      <c r="K41" s="2067"/>
      <c r="L41" s="2046"/>
      <c r="M41" s="2046"/>
    </row>
    <row r="42" spans="1:18" ht="18" customHeight="1">
      <c r="A42" s="802" t="s">
        <v>1876</v>
      </c>
      <c r="B42" s="834" t="s">
        <v>693</v>
      </c>
      <c r="C42" s="828">
        <f ca="1">C7-C32</f>
        <v>-1718</v>
      </c>
      <c r="D42" s="1963" t="s">
        <v>694</v>
      </c>
      <c r="E42" s="1965"/>
      <c r="F42" s="819"/>
      <c r="G42" s="2046"/>
      <c r="H42" s="2046"/>
      <c r="I42" s="2046"/>
      <c r="J42" s="2046"/>
      <c r="K42" s="2067"/>
      <c r="L42" s="2046"/>
      <c r="M42" s="2046"/>
    </row>
    <row r="43" spans="1:18" ht="18" customHeight="1">
      <c r="A43" s="802" t="s">
        <v>1877</v>
      </c>
      <c r="B43" s="834" t="s">
        <v>711</v>
      </c>
      <c r="C43" s="835">
        <f ca="1">ROUND(C15*F43,0)</f>
        <v>4845</v>
      </c>
      <c r="D43" s="1351" t="s">
        <v>712</v>
      </c>
      <c r="E43" s="2943" t="s">
        <v>2958</v>
      </c>
      <c r="F43" s="2944">
        <f ca="1">INDIRECT("'数据-取费表'!j"&amp;$G$1)</f>
        <v>5.5E-2</v>
      </c>
      <c r="G43" s="2046"/>
      <c r="H43" s="2046"/>
      <c r="I43" s="2046"/>
      <c r="J43" s="2046"/>
      <c r="K43" s="2067"/>
      <c r="L43" s="2046"/>
      <c r="M43" s="2046"/>
    </row>
    <row r="44" spans="1:18" ht="18" customHeight="1">
      <c r="A44" s="802" t="s">
        <v>1878</v>
      </c>
      <c r="B44" s="834" t="s">
        <v>713</v>
      </c>
      <c r="C44" s="1352">
        <f ca="1">C42-C43</f>
        <v>-6563</v>
      </c>
      <c r="D44" s="462" t="s">
        <v>714</v>
      </c>
      <c r="E44" s="463"/>
      <c r="F44" s="464"/>
      <c r="G44" s="2046"/>
      <c r="H44" s="2046"/>
      <c r="I44" s="2046"/>
      <c r="J44" s="2046"/>
      <c r="K44" s="2067"/>
      <c r="L44" s="2046"/>
      <c r="M44" s="2046"/>
    </row>
    <row r="45" spans="1:18" ht="18" customHeight="1">
      <c r="A45" s="802" t="s">
        <v>1879</v>
      </c>
      <c r="B45" s="1351" t="s">
        <v>715</v>
      </c>
      <c r="C45" s="2872">
        <f ca="1">ROUND(-PV(F45,F46,C44,0),0)</f>
        <v>-140988</v>
      </c>
      <c r="D45" s="1353" t="s">
        <v>716</v>
      </c>
      <c r="E45" s="805" t="s">
        <v>717</v>
      </c>
      <c r="F45" s="829">
        <f ca="1">INDIRECT("'数据-取费表'!h"&amp;$G$1)</f>
        <v>0.04</v>
      </c>
      <c r="G45" s="2046"/>
      <c r="H45" s="2046"/>
      <c r="I45" s="2046"/>
      <c r="J45" s="2046"/>
      <c r="K45" s="2067"/>
      <c r="L45" s="2046"/>
      <c r="M45" s="2046"/>
    </row>
    <row r="46" spans="1:18" ht="18" customHeight="1" thickBot="1">
      <c r="A46" s="830"/>
      <c r="B46" s="1354"/>
      <c r="C46" s="1355"/>
      <c r="D46" s="1356"/>
      <c r="E46" s="2945" t="s">
        <v>2961</v>
      </c>
      <c r="F46" s="827">
        <f ca="1">IF(INDIRECT("'数据-取费表'!af"&amp;$G$1)=0,INDIRECT("'数据-取费表'!ae"&amp;$G$1),INDIRECT("'数据-取费表'!af"&amp;$G$1))</f>
        <v>50</v>
      </c>
      <c r="G46" s="2046"/>
      <c r="H46" s="2046"/>
      <c r="I46" s="2046"/>
      <c r="J46" s="2046"/>
      <c r="K46" s="2067"/>
      <c r="L46" s="2046"/>
      <c r="M46" s="2046"/>
    </row>
    <row r="47" spans="1:18" s="2043" customFormat="1" ht="18" customHeight="1" thickBot="1">
      <c r="A47" s="2068"/>
      <c r="D47" s="2069"/>
      <c r="E47" s="2069"/>
      <c r="F47" s="2069"/>
      <c r="I47" s="2341" t="s">
        <v>2340</v>
      </c>
      <c r="J47" s="2342"/>
      <c r="K47" s="2343"/>
      <c r="L47" s="2960" t="e">
        <f ca="1">IF(M48="住宅",0,IF(L49&gt;J52,L61,J61))</f>
        <v>#REF!</v>
      </c>
      <c r="O47" s="2357" t="s">
        <v>2407</v>
      </c>
      <c r="P47" s="1577"/>
      <c r="Q47" s="1588"/>
      <c r="R47" s="1577"/>
    </row>
    <row r="48" spans="1:18" s="2043" customFormat="1" ht="18" customHeight="1" thickBot="1">
      <c r="A48" s="2068"/>
      <c r="C48" s="2071"/>
      <c r="D48" s="2072"/>
      <c r="E48" s="2072"/>
      <c r="F48" s="2073"/>
      <c r="G48" s="2074"/>
      <c r="I48" s="2951" t="s">
        <v>2341</v>
      </c>
      <c r="J48" s="3199" t="s">
        <v>3043</v>
      </c>
      <c r="K48" s="2957" t="s">
        <v>2346</v>
      </c>
      <c r="L48" s="2961">
        <f ca="1">INDIRECT("'数据-取费表'!d"&amp;$G$1)</f>
        <v>50</v>
      </c>
      <c r="M48" s="2942" t="str">
        <f>IF(ISNUMBER(FIND("住宅",C1)),"住宅","非住宅")</f>
        <v>非住宅</v>
      </c>
      <c r="O48" s="2358" t="s">
        <v>2372</v>
      </c>
      <c r="P48" s="2359" t="s">
        <v>2373</v>
      </c>
      <c r="Q48" s="2360" t="s">
        <v>2374</v>
      </c>
      <c r="R48" s="2359" t="s">
        <v>2375</v>
      </c>
    </row>
    <row r="49" spans="1:18" s="2043" customFormat="1" ht="18" customHeight="1" thickBot="1">
      <c r="A49" s="2068"/>
      <c r="D49" s="2075"/>
      <c r="E49" s="2076"/>
      <c r="F49" s="2073"/>
      <c r="G49" s="2074"/>
      <c r="H49" s="2077"/>
      <c r="I49" s="2947" t="s">
        <v>2342</v>
      </c>
      <c r="J49" s="2344" t="s">
        <v>3042</v>
      </c>
      <c r="K49" s="2958" t="s">
        <v>2348</v>
      </c>
      <c r="L49" s="1892">
        <f ca="1">INDIRECT("'数据-取费表'!f"&amp;$G$1)</f>
        <v>50</v>
      </c>
      <c r="O49" s="2361" t="s">
        <v>2376</v>
      </c>
      <c r="P49" s="2362" t="s">
        <v>2402</v>
      </c>
      <c r="Q49" s="2363">
        <f ca="1">C41+J31</f>
        <v>0</v>
      </c>
      <c r="R49" s="2362" t="s">
        <v>2377</v>
      </c>
    </row>
    <row r="50" spans="1:18" s="2043" customFormat="1" ht="18" customHeight="1" thickBot="1">
      <c r="A50" s="2068"/>
      <c r="D50" s="2078"/>
      <c r="E50" s="2078"/>
      <c r="F50" s="2072"/>
      <c r="G50" s="2079"/>
      <c r="H50" s="2077"/>
      <c r="I50" s="2947" t="s">
        <v>2343</v>
      </c>
      <c r="J50" s="2346"/>
      <c r="K50" s="2959" t="s">
        <v>2349</v>
      </c>
      <c r="L50" s="2347"/>
      <c r="O50" s="2361" t="s">
        <v>2378</v>
      </c>
      <c r="P50" s="2362" t="s">
        <v>2403</v>
      </c>
      <c r="Q50" s="2363" t="e">
        <f ca="1">J61</f>
        <v>#REF!</v>
      </c>
      <c r="R50" s="2362" t="s">
        <v>2379</v>
      </c>
    </row>
    <row r="51" spans="1:18" s="2043" customFormat="1" ht="18" customHeight="1" thickBot="1">
      <c r="A51" s="2080"/>
      <c r="D51" s="2078"/>
      <c r="E51" s="2078"/>
      <c r="F51" s="2069"/>
      <c r="H51" s="2077"/>
      <c r="I51" s="2947" t="s">
        <v>2344</v>
      </c>
      <c r="J51" s="2955" t="e">
        <f>SUMPRODUCT((I64:I66=J49)*(J63:L63=#REF!)*(J64:L66))</f>
        <v>#REF!</v>
      </c>
      <c r="K51" s="2959" t="s">
        <v>2350</v>
      </c>
      <c r="L51" s="2347"/>
      <c r="O51" s="2364" t="s">
        <v>2380</v>
      </c>
      <c r="P51" s="2362" t="s">
        <v>2404</v>
      </c>
      <c r="Q51" s="2363">
        <f ca="1">C31</f>
        <v>88099</v>
      </c>
      <c r="R51" s="2362" t="s">
        <v>2377</v>
      </c>
    </row>
    <row r="52" spans="1:18" s="2043" customFormat="1" ht="18" customHeight="1" thickBot="1">
      <c r="A52" s="2080"/>
      <c r="F52" s="2069"/>
      <c r="I52" s="2952" t="s">
        <v>2345</v>
      </c>
      <c r="J52" s="2956" t="e">
        <f>IF(J50="",J51,J50+J51-YEAR('数据-取费表'!B3))</f>
        <v>#REF!</v>
      </c>
      <c r="K52" s="2947" t="s">
        <v>2351</v>
      </c>
      <c r="L52" s="2962">
        <f ca="1">C45</f>
        <v>-140988</v>
      </c>
      <c r="O52" s="2364" t="s">
        <v>2381</v>
      </c>
      <c r="P52" s="2362" t="s">
        <v>2382</v>
      </c>
      <c r="Q52" s="2365" t="e">
        <f ca="1">J59</f>
        <v>#REF!</v>
      </c>
      <c r="R52" s="2366"/>
    </row>
    <row r="53" spans="1:18" s="2043" customFormat="1" ht="18" customHeight="1" thickBot="1">
      <c r="A53" s="2080"/>
      <c r="F53" s="2069"/>
      <c r="I53" s="2953" t="s">
        <v>2418</v>
      </c>
      <c r="J53" s="2348">
        <v>8.5000000000000006E-2</v>
      </c>
      <c r="K53" s="2953" t="s">
        <v>2417</v>
      </c>
      <c r="L53" s="2348"/>
      <c r="O53" s="2364" t="s">
        <v>2383</v>
      </c>
      <c r="P53" s="2362" t="s">
        <v>2384</v>
      </c>
      <c r="Q53" s="2365">
        <f>J53</f>
        <v>8.5000000000000006E-2</v>
      </c>
      <c r="R53" s="2366"/>
    </row>
    <row r="54" spans="1:18" s="2043" customFormat="1" ht="29.25" thickBot="1">
      <c r="A54" s="2080"/>
      <c r="I54" s="2954" t="s">
        <v>2974</v>
      </c>
      <c r="J54" s="3032" t="e">
        <f>IF(M48="住宅",MAX(J52,L49),MIN(J52,L49))</f>
        <v>#REF!</v>
      </c>
      <c r="K54" s="3546"/>
      <c r="L54" s="3547"/>
      <c r="O54" s="2364" t="s">
        <v>2385</v>
      </c>
      <c r="P54" s="2362" t="s">
        <v>2386</v>
      </c>
      <c r="Q54" s="2363" t="e">
        <f>J54</f>
        <v>#REF!</v>
      </c>
      <c r="R54" s="2362" t="s">
        <v>2387</v>
      </c>
    </row>
    <row r="55" spans="1:18" s="2043" customFormat="1" ht="18" customHeight="1" thickBot="1">
      <c r="A55" s="2080"/>
      <c r="I55" s="2963"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#REF!</v>
      </c>
      <c r="J55" s="2963"/>
      <c r="K55" s="2964"/>
      <c r="O55" s="2361" t="s">
        <v>2388</v>
      </c>
      <c r="P55" s="2362" t="s">
        <v>2405</v>
      </c>
      <c r="Q55" s="2363" t="e">
        <f ca="1">Q49+Q50</f>
        <v>#REF!</v>
      </c>
      <c r="R55" s="2366" t="s">
        <v>2389</v>
      </c>
    </row>
    <row r="56" spans="1:18" s="2043" customFormat="1" ht="16.5" thickBot="1">
      <c r="A56" s="2080"/>
      <c r="B56" s="2081"/>
      <c r="C56" s="2081"/>
      <c r="I56" s="2965" t="s">
        <v>2352</v>
      </c>
      <c r="J56" s="2929" t="e">
        <f ca="1">ROUND(IF(J49="钢混",J58/J51,1-(1-2%)*(J51-J58)/J51),3)</f>
        <v>#REF!</v>
      </c>
      <c r="K56" s="2966" t="s">
        <v>2353</v>
      </c>
      <c r="L56" s="2349"/>
      <c r="O56" s="2367" t="s">
        <v>2408</v>
      </c>
      <c r="P56" s="1577"/>
      <c r="Q56" s="1588"/>
      <c r="R56" s="1577"/>
    </row>
    <row r="57" spans="1:18" s="2043" customFormat="1" ht="43.5" thickBot="1">
      <c r="A57" s="2080"/>
      <c r="B57" s="2081"/>
      <c r="C57" s="2081"/>
      <c r="I57" s="2967" t="s">
        <v>2354</v>
      </c>
      <c r="J57" s="2977" t="s">
        <v>3039</v>
      </c>
      <c r="K57" s="2947" t="s">
        <v>2359</v>
      </c>
      <c r="L57" s="1892" t="e">
        <f ca="1">IF(L49&lt;J52,"——",L49-J52)</f>
        <v>#REF!</v>
      </c>
      <c r="O57" s="2358" t="s">
        <v>2372</v>
      </c>
      <c r="P57" s="2359" t="s">
        <v>2373</v>
      </c>
      <c r="Q57" s="2360" t="s">
        <v>2374</v>
      </c>
      <c r="R57" s="2359" t="s">
        <v>2375</v>
      </c>
    </row>
    <row r="58" spans="1:18" s="2043" customFormat="1" ht="29.25" thickBot="1">
      <c r="A58" s="2080"/>
      <c r="B58" s="2081"/>
      <c r="C58" s="2081"/>
      <c r="I58" s="2968" t="s">
        <v>2355</v>
      </c>
      <c r="J58" s="2969" t="e">
        <f ca="1">IF(OR(M48="住宅",J52&lt;L49,J57="是"),"——",J52-L49)</f>
        <v>#REF!</v>
      </c>
      <c r="K58" s="2947" t="s">
        <v>2360</v>
      </c>
      <c r="L58" s="1892" t="e">
        <f ca="1">IF(L49&lt;J52,"——",IF(L56="比较法",L50,IF(L56="基准地价",L51,L52)))</f>
        <v>#REF!</v>
      </c>
      <c r="O58" s="2361" t="s">
        <v>2376</v>
      </c>
      <c r="P58" s="2362" t="s">
        <v>2402</v>
      </c>
      <c r="Q58" s="2363">
        <f ca="1">C41+J31</f>
        <v>0</v>
      </c>
      <c r="R58" s="2362" t="s">
        <v>2377</v>
      </c>
    </row>
    <row r="59" spans="1:18" s="2043" customFormat="1" ht="29.25" thickBot="1">
      <c r="A59" s="2080"/>
      <c r="B59" s="2081"/>
      <c r="C59" s="2081"/>
      <c r="I59" s="2968" t="s">
        <v>2356</v>
      </c>
      <c r="J59" s="2930" t="e">
        <f ca="1">IF(J56&lt;0.4,0.4,J56)</f>
        <v>#REF!</v>
      </c>
      <c r="K59" s="2947" t="s">
        <v>2361</v>
      </c>
      <c r="L59" s="1892">
        <f ca="1">IF(ISERROR(POWER(1+L53,L48-L49)*(POWER(1+L53,L49)-1)/(POWER(1+L53,L48)-1)),0,POWER(1+L53,L48-L49)*(POWER(1+L53,L49)-1)/(POWER(1+L53,L48)-1))</f>
        <v>0</v>
      </c>
      <c r="O59" s="2361" t="s">
        <v>2378</v>
      </c>
      <c r="P59" s="2362" t="s">
        <v>2409</v>
      </c>
      <c r="Q59" s="2363" t="e">
        <f ca="1">L61</f>
        <v>#REF!</v>
      </c>
      <c r="R59" s="2366" t="s">
        <v>2411</v>
      </c>
    </row>
    <row r="60" spans="1:18" s="2043" customFormat="1" ht="29.25" thickBot="1">
      <c r="A60" s="2080"/>
      <c r="B60" s="2081"/>
      <c r="C60" s="2081"/>
      <c r="I60" s="2968" t="s">
        <v>2357</v>
      </c>
      <c r="J60" s="2969" t="e">
        <f ca="1">IF(OR(M48="住宅",J52&lt;L49,J57="是"),"——",ROUND(C30*J59,0))</f>
        <v>#REF!</v>
      </c>
      <c r="K60" s="2947" t="s">
        <v>2362</v>
      </c>
      <c r="L60" s="1892">
        <f ca="1">IF(ISERROR(POWER(1+L53,L48-J52)*(POWER(1+L53,J52)-1)/(POWER(1+L53,L48)-1)),0,POWER(1+L53,L48-J52)*(POWER(1+L53,J52)-1)/(POWER(1+L53,L48)-1))</f>
        <v>0</v>
      </c>
      <c r="O60" s="2364" t="s">
        <v>2380</v>
      </c>
      <c r="P60" s="2362" t="s">
        <v>2410</v>
      </c>
      <c r="Q60" s="2363">
        <f>IF(L56="比较法",L50,IF(L56="基准地价",L51,0))</f>
        <v>0</v>
      </c>
      <c r="R60" s="2362" t="s">
        <v>2377</v>
      </c>
    </row>
    <row r="61" spans="1:18" s="2043" customFormat="1" ht="15.75" thickBot="1">
      <c r="A61" s="2080"/>
      <c r="B61" s="2081"/>
      <c r="C61" s="2081"/>
      <c r="I61" s="2970" t="s">
        <v>2358</v>
      </c>
      <c r="J61" s="2971" t="e">
        <f ca="1">IF(OR(M48="住宅",J52&lt;L49,J57="是"),"0",ROUND(J60/(1+J53)^J54,0))</f>
        <v>#REF!</v>
      </c>
      <c r="K61" s="2972" t="s">
        <v>2363</v>
      </c>
      <c r="L61" s="2971" t="e">
        <f ca="1">IF(OR(M48="住宅",L49&lt;J52),0,ROUND(L58*(L59/L60-1),0))</f>
        <v>#REF!</v>
      </c>
      <c r="O61" s="2364" t="s">
        <v>2381</v>
      </c>
      <c r="P61" s="2362" t="s">
        <v>2390</v>
      </c>
      <c r="Q61" s="2365">
        <f>L53</f>
        <v>0</v>
      </c>
      <c r="R61" s="2366"/>
    </row>
    <row r="62" spans="1:18" s="2043" customFormat="1" ht="20.25" thickBot="1">
      <c r="A62" s="2080"/>
      <c r="B62" s="2081"/>
      <c r="C62" s="2081"/>
      <c r="K62" s="2070"/>
      <c r="O62" s="2364" t="s">
        <v>2383</v>
      </c>
      <c r="P62" s="2362" t="s">
        <v>2391</v>
      </c>
      <c r="Q62" s="2363">
        <f ca="1">L59</f>
        <v>0</v>
      </c>
      <c r="R62" s="2366" t="s">
        <v>2392</v>
      </c>
    </row>
    <row r="63" spans="1:18" s="2043" customFormat="1" ht="20.25" thickBot="1">
      <c r="A63" s="2080"/>
      <c r="B63" s="2081"/>
      <c r="C63" s="2081"/>
      <c r="I63" s="2973" t="s">
        <v>2364</v>
      </c>
      <c r="J63" s="2974" t="s">
        <v>2365</v>
      </c>
      <c r="K63" s="2974" t="s">
        <v>2366</v>
      </c>
      <c r="L63" s="2974" t="s">
        <v>2347</v>
      </c>
      <c r="M63" s="2975" t="s">
        <v>2939</v>
      </c>
      <c r="O63" s="2364" t="s">
        <v>2385</v>
      </c>
      <c r="P63" s="2362" t="s">
        <v>2393</v>
      </c>
      <c r="Q63" s="2363">
        <f ca="1">L60</f>
        <v>0</v>
      </c>
      <c r="R63" s="2366" t="s">
        <v>2394</v>
      </c>
    </row>
    <row r="64" spans="1:18" s="2043" customFormat="1" ht="15.75" thickBot="1">
      <c r="A64" s="2080"/>
      <c r="B64" s="2081"/>
      <c r="C64" s="2081"/>
      <c r="I64" s="2973" t="s">
        <v>2367</v>
      </c>
      <c r="J64" s="2974">
        <v>70</v>
      </c>
      <c r="K64" s="2974">
        <v>50</v>
      </c>
      <c r="L64" s="2974">
        <v>80</v>
      </c>
      <c r="M64" s="2976">
        <v>0.02</v>
      </c>
      <c r="O64" s="2361" t="s">
        <v>2388</v>
      </c>
      <c r="P64" s="2362" t="s">
        <v>2405</v>
      </c>
      <c r="Q64" s="2363" t="e">
        <f ca="1">Q58+Q59</f>
        <v>#REF!</v>
      </c>
      <c r="R64" s="2366" t="s">
        <v>2389</v>
      </c>
    </row>
    <row r="65" spans="1:18" s="2043" customFormat="1" ht="16.5" thickBot="1">
      <c r="A65" s="2080"/>
      <c r="B65" s="2081"/>
      <c r="C65" s="2081"/>
      <c r="I65" s="2973" t="s">
        <v>2368</v>
      </c>
      <c r="J65" s="2974">
        <v>50</v>
      </c>
      <c r="K65" s="2974">
        <v>35</v>
      </c>
      <c r="L65" s="2974">
        <v>60</v>
      </c>
      <c r="M65" s="845">
        <v>0</v>
      </c>
      <c r="O65" s="2367" t="s">
        <v>2412</v>
      </c>
      <c r="P65" s="1577"/>
      <c r="Q65" s="1588"/>
      <c r="R65" s="1577"/>
    </row>
    <row r="66" spans="1:18" s="2043" customFormat="1" ht="15.75" thickBot="1">
      <c r="A66" s="2080"/>
      <c r="B66" s="2081"/>
      <c r="C66" s="2081"/>
      <c r="I66" s="2973" t="s">
        <v>2369</v>
      </c>
      <c r="J66" s="2974">
        <v>40</v>
      </c>
      <c r="K66" s="2974">
        <v>30</v>
      </c>
      <c r="L66" s="2974">
        <v>50</v>
      </c>
      <c r="M66" s="2976">
        <v>0.02</v>
      </c>
      <c r="O66" s="2358" t="s">
        <v>2372</v>
      </c>
      <c r="P66" s="2359" t="s">
        <v>2373</v>
      </c>
      <c r="Q66" s="2360" t="s">
        <v>2374</v>
      </c>
      <c r="R66" s="2359" t="s">
        <v>2375</v>
      </c>
    </row>
    <row r="67" spans="1:18" s="2043" customFormat="1" ht="15.75" thickBot="1">
      <c r="A67" s="2080"/>
      <c r="B67" s="2081"/>
      <c r="C67" s="2081"/>
      <c r="K67" s="2070"/>
      <c r="O67" s="2361" t="s">
        <v>2376</v>
      </c>
      <c r="P67" s="2362" t="s">
        <v>2402</v>
      </c>
      <c r="Q67" s="2363">
        <f ca="1">C41+J31</f>
        <v>0</v>
      </c>
      <c r="R67" s="2362" t="s">
        <v>2377</v>
      </c>
    </row>
    <row r="68" spans="1:18" s="2043" customFormat="1" ht="20.25" thickBot="1">
      <c r="A68" s="2080"/>
      <c r="B68" s="2081"/>
      <c r="C68" s="2081"/>
      <c r="K68" s="2070"/>
      <c r="O68" s="2361" t="s">
        <v>2378</v>
      </c>
      <c r="P68" s="2362" t="s">
        <v>2409</v>
      </c>
      <c r="Q68" s="2363" t="e">
        <f ca="1">L61</f>
        <v>#REF!</v>
      </c>
      <c r="R68" s="2366" t="s">
        <v>2411</v>
      </c>
    </row>
    <row r="69" spans="1:18" s="2043" customFormat="1" ht="21.75" thickBot="1">
      <c r="A69" s="2080"/>
      <c r="B69" s="2081"/>
      <c r="C69" s="2081"/>
      <c r="K69" s="2070"/>
      <c r="O69" s="2364" t="s">
        <v>2380</v>
      </c>
      <c r="P69" s="2362" t="s">
        <v>2410</v>
      </c>
      <c r="Q69" s="2368">
        <f ca="1">L52</f>
        <v>-140988</v>
      </c>
      <c r="R69" s="2369" t="s">
        <v>2413</v>
      </c>
    </row>
    <row r="70" spans="1:18" s="2043" customFormat="1" ht="20.25" thickBot="1">
      <c r="A70" s="2080"/>
      <c r="B70" s="2081"/>
      <c r="C70" s="2081"/>
      <c r="K70" s="2070"/>
      <c r="O70" s="2364" t="s">
        <v>2381</v>
      </c>
      <c r="P70" s="2370" t="s">
        <v>2395</v>
      </c>
      <c r="Q70" s="2363">
        <f ca="1">ROUND(Q71-Q72*Q73,0)</f>
        <v>-6563</v>
      </c>
      <c r="R70" s="2366"/>
    </row>
    <row r="71" spans="1:18" s="2043" customFormat="1" ht="15.75" thickBot="1">
      <c r="A71" s="2080"/>
      <c r="B71" s="2081"/>
      <c r="C71" s="2081"/>
      <c r="K71" s="2070"/>
      <c r="O71" s="2364" t="s">
        <v>2396</v>
      </c>
      <c r="P71" s="2370" t="s">
        <v>2397</v>
      </c>
      <c r="Q71" s="2363">
        <f ca="1">C42</f>
        <v>-1718</v>
      </c>
      <c r="R71" s="2362" t="s">
        <v>2377</v>
      </c>
    </row>
    <row r="72" spans="1:18" s="2043" customFormat="1" ht="15.75" thickBot="1">
      <c r="A72" s="2080"/>
      <c r="B72" s="2081"/>
      <c r="C72" s="2081"/>
      <c r="K72" s="2070"/>
      <c r="O72" s="2364" t="s">
        <v>2398</v>
      </c>
      <c r="P72" s="2370" t="s">
        <v>2399</v>
      </c>
      <c r="Q72" s="2363">
        <f ca="1">C15</f>
        <v>88099</v>
      </c>
      <c r="R72" s="2362" t="s">
        <v>2377</v>
      </c>
    </row>
    <row r="73" spans="1:18" s="2043" customFormat="1" ht="15.75" thickBot="1">
      <c r="A73" s="2080"/>
      <c r="B73" s="2081"/>
      <c r="C73" s="2081"/>
      <c r="K73" s="2070"/>
      <c r="O73" s="2364" t="s">
        <v>2400</v>
      </c>
      <c r="P73" s="2370" t="s">
        <v>2401</v>
      </c>
      <c r="Q73" s="2365">
        <f ca="1">F43</f>
        <v>5.5E-2</v>
      </c>
      <c r="R73" s="2366"/>
    </row>
    <row r="74" spans="1:18" s="2043" customFormat="1" ht="15.75" thickBot="1">
      <c r="A74" s="2080"/>
      <c r="B74" s="2081"/>
      <c r="C74" s="2081"/>
      <c r="K74" s="2070"/>
      <c r="O74" s="2364" t="s">
        <v>2383</v>
      </c>
      <c r="P74" s="2362" t="s">
        <v>2390</v>
      </c>
      <c r="Q74" s="2365">
        <f>L53</f>
        <v>0</v>
      </c>
      <c r="R74" s="2366"/>
    </row>
    <row r="75" spans="1:18" s="2043" customFormat="1" ht="20.25" thickBot="1">
      <c r="A75" s="2080"/>
      <c r="B75" s="2081"/>
      <c r="C75" s="2081"/>
      <c r="K75" s="2070"/>
      <c r="O75" s="2364" t="s">
        <v>2385</v>
      </c>
      <c r="P75" s="2362" t="s">
        <v>2391</v>
      </c>
      <c r="Q75" s="2363">
        <f ca="1">L59</f>
        <v>0</v>
      </c>
      <c r="R75" s="2366" t="s">
        <v>2392</v>
      </c>
    </row>
    <row r="76" spans="1:18" s="2043" customFormat="1" ht="20.25" thickBot="1">
      <c r="A76" s="2080"/>
      <c r="B76" s="2081"/>
      <c r="C76" s="2081"/>
      <c r="K76" s="2070"/>
      <c r="O76" s="2364" t="s">
        <v>2414</v>
      </c>
      <c r="P76" s="2362" t="s">
        <v>2393</v>
      </c>
      <c r="Q76" s="2363">
        <f ca="1">L60</f>
        <v>0</v>
      </c>
      <c r="R76" s="2366" t="s">
        <v>2394</v>
      </c>
    </row>
    <row r="77" spans="1:18" s="2043" customFormat="1" ht="15.75" thickBot="1">
      <c r="A77" s="2080"/>
      <c r="B77" s="2081"/>
      <c r="C77" s="2081"/>
      <c r="K77" s="2070"/>
      <c r="O77" s="2361" t="s">
        <v>2388</v>
      </c>
      <c r="P77" s="2362" t="s">
        <v>2405</v>
      </c>
      <c r="Q77" s="2363" t="e">
        <f ca="1">Q67+Q68</f>
        <v>#REF!</v>
      </c>
      <c r="R77" s="2366" t="s">
        <v>2389</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1" priority="6">
      <formula>$F$12="自定义"</formula>
    </cfRule>
  </conditionalFormatting>
  <conditionalFormatting sqref="J13">
    <cfRule type="expression" dxfId="90" priority="5">
      <formula>$M$10="自定义"</formula>
    </cfRule>
  </conditionalFormatting>
  <conditionalFormatting sqref="K56 K61">
    <cfRule type="expression" dxfId="89" priority="3">
      <formula>$L$48&gt;$J$51</formula>
    </cfRule>
  </conditionalFormatting>
  <conditionalFormatting sqref="I56 I61">
    <cfRule type="expression" dxfId="88" priority="4">
      <formula>$J$51&gt;$L$48</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受贵公司委托，我公司对北京市划拨国有建设用地使用权市场价格进行了预评估。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798900平方米。根据《建设工程规划许可证》[]、《出让合同》[]，估价对象规划建筑面积为2347917.99平方米。</v>
      </c>
    </row>
    <row r="7" spans="1:4" ht="93.75">
      <c r="A7" s="2711" t="s">
        <v>2744</v>
      </c>
    </row>
    <row r="8" spans="1:4" ht="18.75">
      <c r="A8" s="1778" t="s">
        <v>1906</v>
      </c>
    </row>
    <row r="9" spans="1:4" ht="37.5">
      <c r="A9" s="1780"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81" t="s">
        <v>2024</v>
      </c>
    </row>
    <row r="11" spans="1:4" ht="18.75">
      <c r="A11" s="1764" t="str">
        <f>TEXT(项目基本情况!D3,"yyyy年m月d日;;")&amp;IF(项目基本情况!B3=项目基本情况!D3,"（评估专业人员勘察现场之日）","")</f>
        <v>2020年9月4日</v>
      </c>
    </row>
    <row r="12" spans="1:4" ht="18.75">
      <c r="A12" s="1781" t="s">
        <v>2023</v>
      </c>
    </row>
    <row r="13" spans="1:4" ht="18.75">
      <c r="A13" s="1775" t="s">
        <v>2069</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2070</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2071</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根据《国有土地使用证》[]，估价对象（分摊）出让国有建设用地使用权面积为798900平方米。根据《建设工程规划许可证》[]、《出让合同》[]，估价对象规划建筑面积为2347917.99平方米。</v>
      </c>
    </row>
    <row r="21" spans="1:1" ht="93.75">
      <c r="A21" s="271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2072</v>
      </c>
    </row>
    <row r="23" spans="1:1" ht="18.75">
      <c r="A23" s="2713" t="s">
        <v>2745</v>
      </c>
    </row>
    <row r="24" spans="1:1" ht="18.75">
      <c r="A24" s="1775" t="s">
        <v>2073</v>
      </c>
    </row>
    <row r="25" spans="1:1" ht="75">
      <c r="A25" s="1775" t="str">
        <f>定义!C53</f>
        <v>本次估价的“划拨国有建设用地使用权价格”是指在估价对象土地所有权为国家所有，使用权性质为划拨，在公开市场条件下，于估价期日2020年9月4日在规划利用条件下、设定土地开发程度为红线外“七通”、宗地内场地，设定用途为的划拨国有建设用地使用权价格。</v>
      </c>
    </row>
    <row r="26" spans="1:1" ht="93.75">
      <c r="A26" s="1775"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2025</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782"/>
    </row>
    <row r="32" spans="1:1" ht="18.75">
      <c r="A32" s="1783"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I17" sqref="I17"/>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5"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777</v>
      </c>
      <c r="C1" s="503" t="s">
        <v>720</v>
      </c>
      <c r="D1" s="848" t="s">
        <v>1677</v>
      </c>
      <c r="E1" s="505"/>
      <c r="F1" s="2645" t="s">
        <v>3008</v>
      </c>
      <c r="G1" s="1585" t="s">
        <v>721</v>
      </c>
      <c r="H1" s="505"/>
      <c r="I1" s="505"/>
      <c r="J1" s="505"/>
      <c r="K1" s="506"/>
      <c r="L1" s="1547"/>
      <c r="M1" s="1548"/>
      <c r="N1" s="1548"/>
      <c r="O1" s="1548"/>
      <c r="P1" s="2191"/>
      <c r="Q1" s="1549"/>
      <c r="R1" s="1549"/>
      <c r="S1" s="1549"/>
      <c r="T1" s="1549"/>
      <c r="U1" s="1549"/>
      <c r="V1" s="1549"/>
      <c r="W1" s="1549"/>
      <c r="X1" s="1549"/>
      <c r="Y1" s="1549"/>
      <c r="Z1" s="1549"/>
      <c r="AA1" s="1549"/>
      <c r="AB1" s="1549"/>
      <c r="AC1" s="1550"/>
    </row>
    <row r="2" spans="1:29" s="1331" customFormat="1" ht="28.5" customHeight="1">
      <c r="A2" s="422" t="s">
        <v>467</v>
      </c>
      <c r="B2" s="849">
        <f>ROUND(B3*D3/10000,0)</f>
        <v>42</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1" customFormat="1" ht="28.5" customHeight="1" thickBot="1">
      <c r="A3" s="508" t="s">
        <v>519</v>
      </c>
      <c r="B3" s="509">
        <f>C50</f>
        <v>2.56</v>
      </c>
      <c r="C3" s="851" t="s">
        <v>722</v>
      </c>
      <c r="D3" s="850">
        <f>SUMIF('数据-汇总表'!$C19:$C33,D1,'数据-汇总表'!$E19:$E33)</f>
        <v>164092.99</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1" t="s">
        <v>521</v>
      </c>
      <c r="B4" s="512"/>
      <c r="C4" s="3481" t="s">
        <v>522</v>
      </c>
      <c r="D4" s="3482"/>
      <c r="E4" s="3483" t="s">
        <v>523</v>
      </c>
      <c r="F4" s="3484"/>
      <c r="G4" s="3481" t="s">
        <v>524</v>
      </c>
      <c r="H4" s="3482"/>
      <c r="I4" s="3481" t="s">
        <v>525</v>
      </c>
      <c r="J4" s="3482"/>
      <c r="K4" s="513" t="s">
        <v>526</v>
      </c>
      <c r="L4" s="2117"/>
      <c r="M4" s="2118"/>
      <c r="N4" s="2118"/>
      <c r="O4" s="2118"/>
      <c r="P4" s="3537" t="s">
        <v>527</v>
      </c>
      <c r="Q4" s="3486"/>
      <c r="R4" s="3491" t="s">
        <v>523</v>
      </c>
      <c r="S4" s="3492"/>
      <c r="T4" s="3491" t="s">
        <v>524</v>
      </c>
      <c r="U4" s="3492"/>
      <c r="V4" s="3471" t="s">
        <v>525</v>
      </c>
      <c r="W4" s="3471"/>
      <c r="X4" s="3048"/>
      <c r="Y4" s="3491" t="s">
        <v>527</v>
      </c>
      <c r="Z4" s="3492"/>
      <c r="AA4" s="3478" t="s">
        <v>523</v>
      </c>
      <c r="AB4" s="3478" t="s">
        <v>524</v>
      </c>
      <c r="AC4" s="3478" t="s">
        <v>525</v>
      </c>
    </row>
    <row r="5" spans="1:29" ht="15">
      <c r="A5" s="514"/>
      <c r="B5" s="515"/>
      <c r="C5" s="3499" t="s">
        <v>2926</v>
      </c>
      <c r="D5" s="3500"/>
      <c r="E5" s="3497" t="str">
        <f>不动产比较法住宅!E5:F5</f>
        <v>金融街园中园</v>
      </c>
      <c r="F5" s="3498"/>
      <c r="G5" s="3548" t="s">
        <v>3059</v>
      </c>
      <c r="H5" s="3500"/>
      <c r="I5" s="3549" t="s">
        <v>3058</v>
      </c>
      <c r="J5" s="3500"/>
      <c r="K5" s="513"/>
      <c r="L5" s="2117"/>
      <c r="M5" s="2118"/>
      <c r="N5" s="2118"/>
      <c r="O5" s="2118"/>
      <c r="P5" s="3538"/>
      <c r="Q5" s="3488"/>
      <c r="R5" s="3493"/>
      <c r="S5" s="3494"/>
      <c r="T5" s="3493"/>
      <c r="U5" s="3494"/>
      <c r="V5" s="3471"/>
      <c r="W5" s="3471"/>
      <c r="X5" s="3048"/>
      <c r="Y5" s="3493"/>
      <c r="Z5" s="3494"/>
      <c r="AA5" s="3479"/>
      <c r="AB5" s="3479"/>
      <c r="AC5" s="3479"/>
    </row>
    <row r="6" spans="1:29" ht="15.75" thickBot="1">
      <c r="A6" s="516"/>
      <c r="B6" s="517"/>
      <c r="C6" s="3501" t="str">
        <f>不动产比较法住宅!C6:D6</f>
        <v>通州区东夏园</v>
      </c>
      <c r="D6" s="3502"/>
      <c r="E6" s="3504" t="s">
        <v>2930</v>
      </c>
      <c r="F6" s="3505"/>
      <c r="G6" s="3550"/>
      <c r="H6" s="3502"/>
      <c r="I6" s="3501" t="s">
        <v>2930</v>
      </c>
      <c r="J6" s="3502"/>
      <c r="K6" s="513" t="s">
        <v>528</v>
      </c>
      <c r="L6" s="2117"/>
      <c r="M6" s="2118"/>
      <c r="N6" s="2118"/>
      <c r="O6" s="2118"/>
      <c r="P6" s="3539"/>
      <c r="Q6" s="3490"/>
      <c r="R6" s="3493"/>
      <c r="S6" s="3494"/>
      <c r="T6" s="3495"/>
      <c r="U6" s="3496"/>
      <c r="V6" s="3471"/>
      <c r="W6" s="3471"/>
      <c r="X6" s="3048"/>
      <c r="Y6" s="3495"/>
      <c r="Z6" s="3496"/>
      <c r="AA6" s="3480"/>
      <c r="AB6" s="3480"/>
      <c r="AC6" s="3480"/>
    </row>
    <row r="7" spans="1:29" s="1215" customFormat="1" ht="15.75" thickBot="1">
      <c r="A7" s="2750"/>
      <c r="B7" s="2757" t="s">
        <v>529</v>
      </c>
      <c r="C7" s="518">
        <f>'数据-取费表'!B2</f>
        <v>44078</v>
      </c>
      <c r="D7" s="519">
        <v>100</v>
      </c>
      <c r="E7" s="520">
        <f>C7</f>
        <v>44078</v>
      </c>
      <c r="F7" s="521">
        <f>SUMIF(59:59,YEAR(E7)&amp;"-"&amp;MONTH(E7),60:60)</f>
        <v>100</v>
      </c>
      <c r="G7" s="520">
        <f>C7</f>
        <v>44078</v>
      </c>
      <c r="H7" s="519">
        <f>SUMIF(59:59,YEAR(G7)&amp;"-"&amp;MONTH(G7),60:60)</f>
        <v>100</v>
      </c>
      <c r="I7" s="520">
        <f>C7</f>
        <v>44078</v>
      </c>
      <c r="J7" s="519">
        <f>SUMIF(59:59,YEAR(I7)&amp;"-"&amp;MONTH(I7),60:60)</f>
        <v>100</v>
      </c>
      <c r="K7" s="523"/>
      <c r="L7" s="2119"/>
      <c r="M7" s="2120"/>
      <c r="N7" s="2120"/>
      <c r="O7" s="2120"/>
      <c r="P7" s="3503" t="s">
        <v>530</v>
      </c>
      <c r="Q7" s="3503"/>
      <c r="R7" s="1553" t="s">
        <v>8</v>
      </c>
      <c r="S7" s="1554">
        <f t="shared" ref="S7:S15" si="0">F7</f>
        <v>100</v>
      </c>
      <c r="T7" s="1553" t="s">
        <v>8</v>
      </c>
      <c r="U7" s="1554">
        <f t="shared" ref="U7:U15" si="1">H7</f>
        <v>100</v>
      </c>
      <c r="V7" s="1553" t="s">
        <v>8</v>
      </c>
      <c r="W7" s="1554">
        <f t="shared" ref="W7:W15" si="2">J7</f>
        <v>100</v>
      </c>
      <c r="X7" s="1555"/>
      <c r="Y7" s="3476" t="s">
        <v>530</v>
      </c>
      <c r="Z7" s="3477"/>
      <c r="AA7" s="1556">
        <f>D7/F7</f>
        <v>1</v>
      </c>
      <c r="AB7" s="1556">
        <f>D7/H7</f>
        <v>1</v>
      </c>
      <c r="AC7" s="1556">
        <f>D7/J7</f>
        <v>1</v>
      </c>
    </row>
    <row r="8" spans="1:29" s="1215" customFormat="1" ht="15.75" thickBot="1">
      <c r="A8" s="2751"/>
      <c r="B8" s="2758" t="s">
        <v>531</v>
      </c>
      <c r="C8" s="524" t="s">
        <v>576</v>
      </c>
      <c r="D8" s="519">
        <v>100</v>
      </c>
      <c r="E8" s="524" t="s">
        <v>3055</v>
      </c>
      <c r="F8" s="521">
        <f>SUMIF(62:62,E8,63:63)-SUMIF(62:62,C8,63:63)+100</f>
        <v>102</v>
      </c>
      <c r="G8" s="524" t="s">
        <v>3055</v>
      </c>
      <c r="H8" s="519">
        <f>SUMIF(62:62,G8,63:63)-SUMIF(62:62,C8,63:63)+100</f>
        <v>102</v>
      </c>
      <c r="I8" s="524" t="s">
        <v>3055</v>
      </c>
      <c r="J8" s="519">
        <f>SUMIF(62:62,I8,63:63)-SUMIF(62:62,C8,63:63)+100</f>
        <v>102</v>
      </c>
      <c r="K8" s="523"/>
      <c r="L8" s="2119"/>
      <c r="M8" s="2120"/>
      <c r="N8" s="2120"/>
      <c r="O8" s="2120"/>
      <c r="P8" s="3503" t="s">
        <v>533</v>
      </c>
      <c r="Q8" s="3477"/>
      <c r="R8" s="1553" t="s">
        <v>8</v>
      </c>
      <c r="S8" s="1554">
        <f t="shared" si="0"/>
        <v>102</v>
      </c>
      <c r="T8" s="1553" t="s">
        <v>8</v>
      </c>
      <c r="U8" s="1554">
        <f t="shared" si="1"/>
        <v>102</v>
      </c>
      <c r="V8" s="1553" t="s">
        <v>8</v>
      </c>
      <c r="W8" s="1554">
        <f t="shared" si="2"/>
        <v>102</v>
      </c>
      <c r="X8" s="1555"/>
      <c r="Y8" s="3476" t="s">
        <v>533</v>
      </c>
      <c r="Z8" s="3477"/>
      <c r="AA8" s="1556">
        <f t="shared" ref="AA8:AA47" si="3">D8/F8</f>
        <v>0.98039215686274506</v>
      </c>
      <c r="AB8" s="1556">
        <f t="shared" ref="AB8:AB47" si="4">D8/H8</f>
        <v>0.98039215686274506</v>
      </c>
      <c r="AC8" s="1556">
        <f t="shared" ref="AC8:AC47" si="5">D8/J8</f>
        <v>0.98039215686274506</v>
      </c>
    </row>
    <row r="9" spans="1:29" s="1215" customFormat="1" ht="15">
      <c r="A9" s="2752"/>
      <c r="B9" s="2759" t="s">
        <v>2752</v>
      </c>
      <c r="C9" s="3190" t="s">
        <v>3057</v>
      </c>
      <c r="D9" s="253">
        <v>100</v>
      </c>
      <c r="E9" s="859" t="s">
        <v>1677</v>
      </c>
      <c r="F9" s="253">
        <f>SUMIF(64:64,E9,65:65)-SUMIF(64:64,C9,65:65)+100</f>
        <v>100</v>
      </c>
      <c r="G9" s="859" t="s">
        <v>1677</v>
      </c>
      <c r="H9" s="253">
        <f>SUMIF(64:64,G9,65:65)-SUMIF(64:64,C9,65:65)+100</f>
        <v>100</v>
      </c>
      <c r="I9" s="859" t="s">
        <v>1677</v>
      </c>
      <c r="J9" s="253">
        <f>SUMIF(64:64,I9,65:65)-SUMIF(64:64,C9,65:65)+100</f>
        <v>100</v>
      </c>
      <c r="K9" s="523"/>
      <c r="L9" s="2119"/>
      <c r="M9" s="2120"/>
      <c r="N9" s="2120"/>
      <c r="O9" s="2120"/>
      <c r="P9" s="3469" t="s">
        <v>535</v>
      </c>
      <c r="Q9" s="3043" t="str">
        <f t="shared" ref="Q9:Q15" si="6">B9</f>
        <v>用途</v>
      </c>
      <c r="R9" s="1553" t="s">
        <v>8</v>
      </c>
      <c r="S9" s="1554">
        <f t="shared" si="0"/>
        <v>100</v>
      </c>
      <c r="T9" s="1553" t="s">
        <v>8</v>
      </c>
      <c r="U9" s="1554">
        <f t="shared" si="1"/>
        <v>100</v>
      </c>
      <c r="V9" s="1553" t="s">
        <v>8</v>
      </c>
      <c r="W9" s="1554">
        <f t="shared" si="2"/>
        <v>100</v>
      </c>
      <c r="X9" s="1555"/>
      <c r="Y9" s="3413" t="s">
        <v>536</v>
      </c>
      <c r="Z9" s="3042" t="str">
        <f t="shared" ref="Z9:Z15" si="7">Q9</f>
        <v>用途</v>
      </c>
      <c r="AA9" s="1556">
        <f t="shared" si="3"/>
        <v>1</v>
      </c>
      <c r="AB9" s="1556">
        <f t="shared" si="4"/>
        <v>1</v>
      </c>
      <c r="AC9" s="1556">
        <f t="shared" si="5"/>
        <v>1</v>
      </c>
    </row>
    <row r="10" spans="1:29" s="1333" customFormat="1" ht="27.75" thickBot="1">
      <c r="A10" s="2753"/>
      <c r="B10" s="2758" t="s">
        <v>2753</v>
      </c>
      <c r="C10" s="860" t="s">
        <v>3025</v>
      </c>
      <c r="D10" s="254">
        <v>100</v>
      </c>
      <c r="E10" s="860" t="s">
        <v>3025</v>
      </c>
      <c r="F10" s="254">
        <f>SUMIF(66:66,E10,67:67)-SUMIF(66:66,C10,67:67)+100</f>
        <v>100</v>
      </c>
      <c r="G10" s="861" t="s">
        <v>3025</v>
      </c>
      <c r="H10" s="254">
        <f>SUMIF(66:66,G10,67:67)-SUMIF(66:66,C10,67:67)+100</f>
        <v>100</v>
      </c>
      <c r="I10" s="860" t="s">
        <v>3025</v>
      </c>
      <c r="J10" s="254">
        <f>SUMIF(66:66,I10,67:67)-SUMIF(66:66,C10,67:67)+100</f>
        <v>100</v>
      </c>
      <c r="K10" s="583">
        <v>1</v>
      </c>
      <c r="L10" s="2122"/>
      <c r="M10" s="2162"/>
      <c r="N10" s="2162"/>
      <c r="O10" s="2162"/>
      <c r="P10" s="3469"/>
      <c r="Q10" s="3043" t="str">
        <f t="shared" si="6"/>
        <v>土地使用年限（年）</v>
      </c>
      <c r="R10" s="1553" t="s">
        <v>8</v>
      </c>
      <c r="S10" s="1554">
        <f t="shared" si="0"/>
        <v>100</v>
      </c>
      <c r="T10" s="1553" t="s">
        <v>8</v>
      </c>
      <c r="U10" s="1554">
        <f t="shared" si="1"/>
        <v>100</v>
      </c>
      <c r="V10" s="1553" t="s">
        <v>8</v>
      </c>
      <c r="W10" s="1554">
        <f t="shared" si="2"/>
        <v>100</v>
      </c>
      <c r="X10" s="1555"/>
      <c r="Y10" s="3413"/>
      <c r="Z10" s="3042" t="str">
        <f t="shared" si="7"/>
        <v>土地使用年限（年）</v>
      </c>
      <c r="AA10" s="1556">
        <f t="shared" si="3"/>
        <v>1</v>
      </c>
      <c r="AB10" s="1556">
        <f t="shared" si="4"/>
        <v>1</v>
      </c>
      <c r="AC10" s="1556">
        <f t="shared" si="5"/>
        <v>1</v>
      </c>
    </row>
    <row r="11" spans="1:29" ht="15" hidden="1">
      <c r="A11" s="2754"/>
      <c r="B11" s="2758" t="s">
        <v>2754</v>
      </c>
      <c r="C11" s="532">
        <v>1</v>
      </c>
      <c r="D11" s="254">
        <v>100</v>
      </c>
      <c r="E11" s="532">
        <v>1</v>
      </c>
      <c r="F11" s="254">
        <f>LOOKUP(E11,69:69,70:70)-LOOKUP(C11,69:69,70:70)+100</f>
        <v>100</v>
      </c>
      <c r="G11" s="533">
        <v>1</v>
      </c>
      <c r="H11" s="254">
        <f>LOOKUP(G11,69:69,70:70)-LOOKUP(C11,69:69,70:70)+100</f>
        <v>100</v>
      </c>
      <c r="I11" s="532">
        <v>1</v>
      </c>
      <c r="J11" s="254">
        <f>LOOKUP(I11,69:69,70:70)-LOOKUP(C11,69:69,70:70)+100</f>
        <v>100</v>
      </c>
      <c r="K11" s="583"/>
      <c r="L11" s="2124"/>
      <c r="M11" s="2118"/>
      <c r="N11" s="2118"/>
      <c r="O11" s="2118"/>
      <c r="P11" s="3469"/>
      <c r="Q11" s="3043" t="str">
        <f t="shared" si="6"/>
        <v>容积率</v>
      </c>
      <c r="R11" s="1553" t="s">
        <v>8</v>
      </c>
      <c r="S11" s="1554">
        <f t="shared" si="0"/>
        <v>100</v>
      </c>
      <c r="T11" s="1553" t="s">
        <v>8</v>
      </c>
      <c r="U11" s="1554">
        <f t="shared" si="1"/>
        <v>100</v>
      </c>
      <c r="V11" s="1553" t="s">
        <v>8</v>
      </c>
      <c r="W11" s="1554">
        <f t="shared" si="2"/>
        <v>100</v>
      </c>
      <c r="X11" s="1555"/>
      <c r="Y11" s="3413"/>
      <c r="Z11" s="3042" t="str">
        <f t="shared" si="7"/>
        <v>容积率</v>
      </c>
      <c r="AA11" s="1556">
        <f t="shared" si="3"/>
        <v>1</v>
      </c>
      <c r="AB11" s="1556">
        <f t="shared" si="4"/>
        <v>1</v>
      </c>
      <c r="AC11" s="1556">
        <f t="shared" si="5"/>
        <v>1</v>
      </c>
    </row>
    <row r="12" spans="1:29" s="1215" customFormat="1" ht="15" hidden="1">
      <c r="A12" s="2755"/>
      <c r="B12" s="2761">
        <v>111</v>
      </c>
      <c r="C12" s="527"/>
      <c r="D12" s="537">
        <v>100</v>
      </c>
      <c r="E12" s="527"/>
      <c r="F12" s="254">
        <f>SUMIF(71:71,E12,72:72)-SUMIF(71:71,C12,72:72)+100</f>
        <v>100</v>
      </c>
      <c r="G12" s="909"/>
      <c r="H12" s="254">
        <f>SUMIF(71:71,G12,72:72)-SUMIF(71:71,C12,72:72)+100</f>
        <v>100</v>
      </c>
      <c r="I12" s="527"/>
      <c r="J12" s="254">
        <f>SUMIF(71:71,I12,72:72)-SUMIF(71:71,C12,72:72)+100</f>
        <v>100</v>
      </c>
      <c r="K12" s="580"/>
      <c r="L12" s="2119"/>
      <c r="M12" s="2120"/>
      <c r="N12" s="2120"/>
      <c r="O12" s="2120"/>
      <c r="P12" s="3469"/>
      <c r="Q12" s="3043">
        <f t="shared" si="6"/>
        <v>111</v>
      </c>
      <c r="R12" s="1553" t="s">
        <v>8</v>
      </c>
      <c r="S12" s="1554">
        <f t="shared" si="0"/>
        <v>100</v>
      </c>
      <c r="T12" s="1553" t="s">
        <v>8</v>
      </c>
      <c r="U12" s="1554">
        <f t="shared" si="1"/>
        <v>100</v>
      </c>
      <c r="V12" s="1553" t="s">
        <v>8</v>
      </c>
      <c r="W12" s="1554">
        <f t="shared" si="2"/>
        <v>100</v>
      </c>
      <c r="X12" s="1555"/>
      <c r="Y12" s="3413"/>
      <c r="Z12" s="3042">
        <f t="shared" si="7"/>
        <v>111</v>
      </c>
      <c r="AA12" s="1556">
        <f>D12/F12</f>
        <v>1</v>
      </c>
      <c r="AB12" s="1556">
        <f>D12/H12</f>
        <v>1</v>
      </c>
      <c r="AC12" s="1556">
        <f>D12/J12</f>
        <v>1</v>
      </c>
    </row>
    <row r="13" spans="1:29" ht="15" hidden="1">
      <c r="A13" s="2755"/>
      <c r="B13" s="2761">
        <v>111</v>
      </c>
      <c r="C13" s="538"/>
      <c r="D13" s="539">
        <v>100</v>
      </c>
      <c r="E13" s="527"/>
      <c r="F13" s="254">
        <f>SUMIF(73:73,E13,74:74)-SUMIF(73:73,C13,74:74)+100</f>
        <v>100</v>
      </c>
      <c r="G13" s="909"/>
      <c r="H13" s="539">
        <f>SUMIF(73:73,G13,74:74)-SUMIF(73:73,C13,74:74)+100</f>
        <v>100</v>
      </c>
      <c r="I13" s="527"/>
      <c r="J13" s="539">
        <f>SUMIF(73:73,I13,74:74)-SUMIF(73:73,C13,74:74)+100</f>
        <v>100</v>
      </c>
      <c r="K13" s="580"/>
      <c r="L13" s="2126"/>
      <c r="M13" s="2118"/>
      <c r="N13" s="2118"/>
      <c r="O13" s="2118"/>
      <c r="P13" s="3469"/>
      <c r="Q13" s="3043">
        <f t="shared" si="6"/>
        <v>111</v>
      </c>
      <c r="R13" s="1553" t="s">
        <v>8</v>
      </c>
      <c r="S13" s="1554">
        <f t="shared" si="0"/>
        <v>100</v>
      </c>
      <c r="T13" s="1553" t="s">
        <v>8</v>
      </c>
      <c r="U13" s="1554">
        <f t="shared" si="1"/>
        <v>100</v>
      </c>
      <c r="V13" s="1553" t="s">
        <v>8</v>
      </c>
      <c r="W13" s="1554">
        <f t="shared" si="2"/>
        <v>100</v>
      </c>
      <c r="X13" s="1555"/>
      <c r="Y13" s="3413"/>
      <c r="Z13" s="3042">
        <f t="shared" si="7"/>
        <v>111</v>
      </c>
      <c r="AA13" s="1556">
        <f t="shared" si="3"/>
        <v>1</v>
      </c>
      <c r="AB13" s="1556">
        <f t="shared" si="4"/>
        <v>1</v>
      </c>
      <c r="AC13" s="1556">
        <f t="shared" si="5"/>
        <v>1</v>
      </c>
    </row>
    <row r="14" spans="1:29" ht="15.75" hidden="1" thickBot="1">
      <c r="A14" s="2756"/>
      <c r="B14" s="2762">
        <v>111</v>
      </c>
      <c r="C14" s="544"/>
      <c r="D14" s="545">
        <v>100</v>
      </c>
      <c r="E14" s="910"/>
      <c r="F14" s="545">
        <f>SUMIF(75:75,E14,76:76)-SUMIF(75:75,C14,76:76)+100</f>
        <v>100</v>
      </c>
      <c r="G14" s="909"/>
      <c r="H14" s="545">
        <f>SUMIF(75:75,G14,76:76)-SUMIF(75:75,C14,76:76)+100</f>
        <v>100</v>
      </c>
      <c r="I14" s="527"/>
      <c r="J14" s="545">
        <f>SUMIF(75:75,I14,76:76)-SUMIF(75:75,C14,76:76)+100</f>
        <v>100</v>
      </c>
      <c r="K14" s="580"/>
      <c r="L14" s="2126"/>
      <c r="M14" s="2118"/>
      <c r="N14" s="2118"/>
      <c r="O14" s="2118"/>
      <c r="P14" s="3469"/>
      <c r="Q14" s="3043">
        <f t="shared" si="6"/>
        <v>111</v>
      </c>
      <c r="R14" s="1553" t="s">
        <v>8</v>
      </c>
      <c r="S14" s="1554">
        <f t="shared" si="0"/>
        <v>100</v>
      </c>
      <c r="T14" s="1553" t="s">
        <v>8</v>
      </c>
      <c r="U14" s="1554">
        <f t="shared" si="1"/>
        <v>100</v>
      </c>
      <c r="V14" s="1553" t="s">
        <v>8</v>
      </c>
      <c r="W14" s="1554">
        <f t="shared" si="2"/>
        <v>100</v>
      </c>
      <c r="X14" s="1555"/>
      <c r="Y14" s="3413"/>
      <c r="Z14" s="3042">
        <f t="shared" si="7"/>
        <v>111</v>
      </c>
      <c r="AA14" s="1556">
        <f t="shared" si="3"/>
        <v>1</v>
      </c>
      <c r="AB14" s="1556">
        <f t="shared" si="4"/>
        <v>1</v>
      </c>
      <c r="AC14" s="1556">
        <f t="shared" si="5"/>
        <v>1</v>
      </c>
    </row>
    <row r="15" spans="1:29" ht="71.25">
      <c r="A15" s="2748" t="s">
        <v>2750</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102</v>
      </c>
      <c r="I15" s="549"/>
      <c r="J15" s="548">
        <f>SUMIF(77:77,I16,78:78)-SUMIF(77:77,C16,78:78)+100</f>
        <v>102</v>
      </c>
      <c r="K15" s="897">
        <v>2</v>
      </c>
      <c r="L15" s="2126"/>
      <c r="M15" s="2118"/>
      <c r="N15" s="2118"/>
      <c r="O15" s="2118"/>
      <c r="P15" s="3472" t="s">
        <v>540</v>
      </c>
      <c r="Q15" s="3046" t="str">
        <f t="shared" si="6"/>
        <v>办公集聚程度</v>
      </c>
      <c r="R15" s="1558" t="s">
        <v>8</v>
      </c>
      <c r="S15" s="1559">
        <f t="shared" si="0"/>
        <v>100</v>
      </c>
      <c r="T15" s="1558" t="s">
        <v>8</v>
      </c>
      <c r="U15" s="1559">
        <f t="shared" si="1"/>
        <v>102</v>
      </c>
      <c r="V15" s="1558" t="s">
        <v>8</v>
      </c>
      <c r="W15" s="1559">
        <f t="shared" si="2"/>
        <v>102</v>
      </c>
      <c r="X15" s="3048"/>
      <c r="Y15" s="3472" t="s">
        <v>540</v>
      </c>
      <c r="Z15" s="3047" t="str">
        <f t="shared" si="7"/>
        <v>办公集聚程度</v>
      </c>
      <c r="AA15" s="3049">
        <f t="shared" si="3"/>
        <v>1</v>
      </c>
      <c r="AB15" s="3049">
        <f t="shared" si="4"/>
        <v>0.98039215686274506</v>
      </c>
      <c r="AC15" s="3049">
        <f t="shared" si="5"/>
        <v>0.98039215686274506</v>
      </c>
    </row>
    <row r="16" spans="1:29" ht="15">
      <c r="A16" s="531"/>
      <c r="B16" s="552"/>
      <c r="C16" s="553" t="s">
        <v>3016</v>
      </c>
      <c r="D16" s="554"/>
      <c r="E16" s="575" t="s">
        <v>3016</v>
      </c>
      <c r="F16" s="554"/>
      <c r="G16" s="553" t="s">
        <v>3017</v>
      </c>
      <c r="H16" s="558"/>
      <c r="I16" s="575" t="s">
        <v>3017</v>
      </c>
      <c r="J16" s="554"/>
      <c r="K16" s="898"/>
      <c r="L16" s="2126"/>
      <c r="M16" s="2118"/>
      <c r="N16" s="2118"/>
      <c r="O16" s="2118"/>
      <c r="P16" s="3473"/>
      <c r="Q16" s="3046"/>
      <c r="R16" s="1558"/>
      <c r="S16" s="1559"/>
      <c r="T16" s="1558"/>
      <c r="U16" s="1559"/>
      <c r="V16" s="1558"/>
      <c r="W16" s="1559"/>
      <c r="X16" s="3048"/>
      <c r="Y16" s="3473"/>
      <c r="Z16" s="3047"/>
      <c r="AA16" s="3049">
        <v>1</v>
      </c>
      <c r="AB16" s="3049">
        <v>1</v>
      </c>
      <c r="AC16" s="3049">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101</v>
      </c>
      <c r="I17" s="561"/>
      <c r="J17" s="564">
        <f>SUMIF(79:79,I18,80:80)-SUMIF(79:79,C18,80:80)+100</f>
        <v>101</v>
      </c>
      <c r="K17" s="897">
        <v>1</v>
      </c>
      <c r="L17" s="2126"/>
      <c r="M17" s="2118"/>
      <c r="N17" s="2118"/>
      <c r="O17" s="2118"/>
      <c r="P17" s="3473"/>
      <c r="Q17" s="3046" t="str">
        <f>B17</f>
        <v>交通便捷度</v>
      </c>
      <c r="R17" s="1558" t="s">
        <v>8</v>
      </c>
      <c r="S17" s="1559">
        <f>F17</f>
        <v>100</v>
      </c>
      <c r="T17" s="1558" t="s">
        <v>8</v>
      </c>
      <c r="U17" s="1559">
        <f>H17</f>
        <v>101</v>
      </c>
      <c r="V17" s="1558" t="s">
        <v>8</v>
      </c>
      <c r="W17" s="1559">
        <f>J17</f>
        <v>101</v>
      </c>
      <c r="X17" s="3048"/>
      <c r="Y17" s="3473"/>
      <c r="Z17" s="3047" t="str">
        <f>Q17</f>
        <v>交通便捷度</v>
      </c>
      <c r="AA17" s="3049">
        <f t="shared" si="3"/>
        <v>1</v>
      </c>
      <c r="AB17" s="3049">
        <f t="shared" si="4"/>
        <v>0.99009900990099009</v>
      </c>
      <c r="AC17" s="3049">
        <f t="shared" si="5"/>
        <v>0.99009900990099009</v>
      </c>
    </row>
    <row r="18" spans="1:29" ht="15">
      <c r="A18" s="531"/>
      <c r="B18" s="565"/>
      <c r="C18" s="566" t="s">
        <v>3016</v>
      </c>
      <c r="D18" s="558"/>
      <c r="E18" s="568" t="s">
        <v>3016</v>
      </c>
      <c r="F18" s="558"/>
      <c r="G18" s="567" t="s">
        <v>3017</v>
      </c>
      <c r="H18" s="554"/>
      <c r="I18" s="567" t="s">
        <v>3017</v>
      </c>
      <c r="J18" s="554"/>
      <c r="K18" s="898"/>
      <c r="L18" s="2126"/>
      <c r="M18" s="2118"/>
      <c r="N18" s="2118"/>
      <c r="O18" s="2118"/>
      <c r="P18" s="3473"/>
      <c r="Q18" s="3046"/>
      <c r="R18" s="1558"/>
      <c r="S18" s="1559"/>
      <c r="T18" s="1558"/>
      <c r="U18" s="1559"/>
      <c r="V18" s="1558"/>
      <c r="W18" s="1559"/>
      <c r="X18" s="3048"/>
      <c r="Y18" s="3473"/>
      <c r="Z18" s="3047"/>
      <c r="AA18" s="3049">
        <v>1</v>
      </c>
      <c r="AB18" s="3049">
        <v>1</v>
      </c>
      <c r="AC18" s="3049">
        <v>1</v>
      </c>
    </row>
    <row r="19" spans="1:29" ht="42.75">
      <c r="A19" s="531"/>
      <c r="B19" s="2566" t="s">
        <v>2543</v>
      </c>
      <c r="C19" s="572" t="str">
        <f>估价对象房地状况!C7</f>
        <v>估价对象所在区域公共配套设施齐备情况</v>
      </c>
      <c r="D19" s="564">
        <v>100</v>
      </c>
      <c r="E19" s="571"/>
      <c r="F19" s="564">
        <f>SUMIF(81:81,E20,82:82)-SUMIF(81:81,C20,82:82)+100</f>
        <v>100</v>
      </c>
      <c r="G19" s="569"/>
      <c r="H19" s="558">
        <f>SUMIF(81:81,G20,82:82)-SUMIF(81:81,C20,82:82)+100</f>
        <v>101</v>
      </c>
      <c r="I19" s="569"/>
      <c r="J19" s="558">
        <f>SUMIF(81:81,I20,82:82)-SUMIF(81:81,C20,82:82)+100</f>
        <v>101</v>
      </c>
      <c r="K19" s="897">
        <v>1</v>
      </c>
      <c r="L19" s="2126"/>
      <c r="M19" s="2118"/>
      <c r="N19" s="2118"/>
      <c r="O19" s="2118"/>
      <c r="P19" s="3473"/>
      <c r="Q19" s="3046" t="str">
        <f>B19</f>
        <v>公共配套设施</v>
      </c>
      <c r="R19" s="1558" t="s">
        <v>8</v>
      </c>
      <c r="S19" s="1559">
        <f>F19</f>
        <v>100</v>
      </c>
      <c r="T19" s="1558" t="s">
        <v>8</v>
      </c>
      <c r="U19" s="1559">
        <f>H19</f>
        <v>101</v>
      </c>
      <c r="V19" s="1558" t="s">
        <v>8</v>
      </c>
      <c r="W19" s="1559">
        <f>J19</f>
        <v>101</v>
      </c>
      <c r="X19" s="3048"/>
      <c r="Y19" s="3473"/>
      <c r="Z19" s="3047" t="str">
        <f>Q19</f>
        <v>公共配套设施</v>
      </c>
      <c r="AA19" s="3049">
        <f t="shared" si="3"/>
        <v>1</v>
      </c>
      <c r="AB19" s="3049">
        <f t="shared" si="4"/>
        <v>0.99009900990099009</v>
      </c>
      <c r="AC19" s="3049">
        <f t="shared" si="5"/>
        <v>0.99009900990099009</v>
      </c>
    </row>
    <row r="20" spans="1:29" ht="15">
      <c r="A20" s="531"/>
      <c r="B20" s="565"/>
      <c r="C20" s="553" t="s">
        <v>3016</v>
      </c>
      <c r="D20" s="554"/>
      <c r="E20" s="557" t="s">
        <v>3016</v>
      </c>
      <c r="F20" s="554"/>
      <c r="G20" s="555" t="s">
        <v>3017</v>
      </c>
      <c r="H20" s="554"/>
      <c r="I20" s="555" t="s">
        <v>3017</v>
      </c>
      <c r="J20" s="554"/>
      <c r="K20" s="898"/>
      <c r="L20" s="2126"/>
      <c r="M20" s="2118"/>
      <c r="N20" s="2118"/>
      <c r="O20" s="2118"/>
      <c r="P20" s="3473"/>
      <c r="Q20" s="3046"/>
      <c r="R20" s="1558"/>
      <c r="S20" s="1559"/>
      <c r="T20" s="1558"/>
      <c r="U20" s="1559"/>
      <c r="V20" s="1558"/>
      <c r="W20" s="1559"/>
      <c r="X20" s="3048"/>
      <c r="Y20" s="3473"/>
      <c r="Z20" s="3047"/>
      <c r="AA20" s="3049">
        <v>1</v>
      </c>
      <c r="AB20" s="3049">
        <v>1</v>
      </c>
      <c r="AC20" s="3049">
        <v>1</v>
      </c>
    </row>
    <row r="21" spans="1:29" ht="28.5">
      <c r="A21" s="531"/>
      <c r="B21" s="2554" t="s">
        <v>2544</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v>1</v>
      </c>
      <c r="L21" s="2126"/>
      <c r="M21" s="2118"/>
      <c r="N21" s="2118"/>
      <c r="O21" s="2118"/>
      <c r="P21" s="3473"/>
      <c r="Q21" s="3046" t="str">
        <f>B21</f>
        <v>基础设施水平</v>
      </c>
      <c r="R21" s="1558" t="s">
        <v>8</v>
      </c>
      <c r="S21" s="1559">
        <f>F21</f>
        <v>100</v>
      </c>
      <c r="T21" s="1558" t="s">
        <v>8</v>
      </c>
      <c r="U21" s="1559">
        <f>H21</f>
        <v>100</v>
      </c>
      <c r="V21" s="1558" t="s">
        <v>8</v>
      </c>
      <c r="W21" s="1559">
        <f>J21</f>
        <v>100</v>
      </c>
      <c r="X21" s="3048"/>
      <c r="Y21" s="3473"/>
      <c r="Z21" s="3047" t="str">
        <f>Q21</f>
        <v>基础设施水平</v>
      </c>
      <c r="AA21" s="3049">
        <f t="shared" ref="AA21" si="8">D21/F21</f>
        <v>1</v>
      </c>
      <c r="AB21" s="3049">
        <f t="shared" ref="AB21" si="9">D21/H21</f>
        <v>1</v>
      </c>
      <c r="AC21" s="3049">
        <f t="shared" ref="AC21" si="10">D21/J21</f>
        <v>1</v>
      </c>
    </row>
    <row r="22" spans="1:29" ht="15">
      <c r="A22" s="531"/>
      <c r="B22" s="577"/>
      <c r="C22" s="566" t="s">
        <v>3026</v>
      </c>
      <c r="D22" s="554"/>
      <c r="E22" s="575" t="s">
        <v>3026</v>
      </c>
      <c r="F22" s="554"/>
      <c r="G22" s="575" t="s">
        <v>3026</v>
      </c>
      <c r="H22" s="554"/>
      <c r="I22" s="575" t="s">
        <v>3026</v>
      </c>
      <c r="J22" s="554"/>
      <c r="K22" s="2565"/>
      <c r="L22" s="2126"/>
      <c r="M22" s="2118"/>
      <c r="N22" s="2118"/>
      <c r="O22" s="2118"/>
      <c r="P22" s="3473"/>
      <c r="Q22" s="3046"/>
      <c r="R22" s="1558"/>
      <c r="S22" s="1559"/>
      <c r="T22" s="1558"/>
      <c r="U22" s="1559"/>
      <c r="V22" s="1558"/>
      <c r="W22" s="1559"/>
      <c r="X22" s="3048"/>
      <c r="Y22" s="3473"/>
      <c r="Z22" s="3047"/>
      <c r="AA22" s="3049">
        <v>1</v>
      </c>
      <c r="AB22" s="3049">
        <v>1</v>
      </c>
      <c r="AC22" s="3049">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v>1</v>
      </c>
      <c r="L23" s="2126"/>
      <c r="M23" s="2118"/>
      <c r="N23" s="2118"/>
      <c r="O23" s="2118"/>
      <c r="P23" s="3473"/>
      <c r="Q23" s="3046" t="str">
        <f>B23</f>
        <v>环境质量</v>
      </c>
      <c r="R23" s="1558" t="s">
        <v>8</v>
      </c>
      <c r="S23" s="1559">
        <f>F23</f>
        <v>100</v>
      </c>
      <c r="T23" s="1558" t="s">
        <v>8</v>
      </c>
      <c r="U23" s="1559">
        <f>H23</f>
        <v>100</v>
      </c>
      <c r="V23" s="1558" t="s">
        <v>8</v>
      </c>
      <c r="W23" s="1559">
        <f>J23</f>
        <v>100</v>
      </c>
      <c r="X23" s="3048"/>
      <c r="Y23" s="3473"/>
      <c r="Z23" s="3047" t="str">
        <f>Q23</f>
        <v>环境质量</v>
      </c>
      <c r="AA23" s="3049">
        <f t="shared" si="3"/>
        <v>1</v>
      </c>
      <c r="AB23" s="3049">
        <f t="shared" si="4"/>
        <v>1</v>
      </c>
      <c r="AC23" s="3049">
        <f t="shared" si="5"/>
        <v>1</v>
      </c>
    </row>
    <row r="24" spans="1:29" ht="15">
      <c r="A24" s="531"/>
      <c r="B24" s="577"/>
      <c r="C24" s="553" t="s">
        <v>3017</v>
      </c>
      <c r="D24" s="554"/>
      <c r="E24" s="557" t="s">
        <v>3017</v>
      </c>
      <c r="F24" s="554"/>
      <c r="G24" s="555" t="s">
        <v>3017</v>
      </c>
      <c r="H24" s="554"/>
      <c r="I24" s="555" t="s">
        <v>3017</v>
      </c>
      <c r="J24" s="554"/>
      <c r="K24" s="898"/>
      <c r="L24" s="2126"/>
      <c r="M24" s="2118"/>
      <c r="N24" s="2118"/>
      <c r="O24" s="2118"/>
      <c r="P24" s="3473"/>
      <c r="Q24" s="3046"/>
      <c r="R24" s="1558"/>
      <c r="S24" s="1559"/>
      <c r="T24" s="1558"/>
      <c r="U24" s="1559"/>
      <c r="V24" s="1558"/>
      <c r="W24" s="1559"/>
      <c r="X24" s="3048"/>
      <c r="Y24" s="3473"/>
      <c r="Z24" s="3047"/>
      <c r="AA24" s="3049">
        <v>1</v>
      </c>
      <c r="AB24" s="3049">
        <v>1</v>
      </c>
      <c r="AC24" s="3049">
        <v>1</v>
      </c>
    </row>
    <row r="25" spans="1:29" ht="27">
      <c r="A25" s="514"/>
      <c r="B25" s="559" t="s">
        <v>548</v>
      </c>
      <c r="C25" s="911"/>
      <c r="D25" s="539">
        <v>100</v>
      </c>
      <c r="E25" s="538"/>
      <c r="F25" s="539">
        <f>SUMIF(87:87,E26,88:88)-SUMIF(87:87,C26,88:88)+100</f>
        <v>98</v>
      </c>
      <c r="G25" s="911"/>
      <c r="H25" s="539">
        <f>SUMIF(87:87,G26,88:88)-SUMIF(87:87,C26,88:88)+100</f>
        <v>100</v>
      </c>
      <c r="I25" s="538"/>
      <c r="J25" s="539">
        <f>SUMIF(87:87,I26,88:88)-SUMIF(87:87,C26,88:88)+100</f>
        <v>100</v>
      </c>
      <c r="K25" s="897">
        <v>2</v>
      </c>
      <c r="L25" s="2126"/>
      <c r="M25" s="2118"/>
      <c r="N25" s="2118"/>
      <c r="O25" s="2118"/>
      <c r="P25" s="3473"/>
      <c r="Q25" s="3046" t="str">
        <f>B25</f>
        <v>毗邻道路的类型与等级</v>
      </c>
      <c r="R25" s="1558" t="s">
        <v>8</v>
      </c>
      <c r="S25" s="1559">
        <f>F25</f>
        <v>98</v>
      </c>
      <c r="T25" s="1558" t="s">
        <v>8</v>
      </c>
      <c r="U25" s="1559">
        <f>H25</f>
        <v>100</v>
      </c>
      <c r="V25" s="1558" t="s">
        <v>8</v>
      </c>
      <c r="W25" s="1559">
        <f>J25</f>
        <v>100</v>
      </c>
      <c r="X25" s="3048"/>
      <c r="Y25" s="3473"/>
      <c r="Z25" s="3047" t="str">
        <f>Q25</f>
        <v>毗邻道路的类型与等级</v>
      </c>
      <c r="AA25" s="3049">
        <f t="shared" si="3"/>
        <v>1.0204081632653061</v>
      </c>
      <c r="AB25" s="3049">
        <f t="shared" si="4"/>
        <v>1</v>
      </c>
      <c r="AC25" s="3049">
        <f t="shared" si="5"/>
        <v>1</v>
      </c>
    </row>
    <row r="26" spans="1:29" ht="15">
      <c r="A26" s="514"/>
      <c r="B26" s="565"/>
      <c r="C26" s="579" t="s">
        <v>3028</v>
      </c>
      <c r="D26" s="539"/>
      <c r="E26" s="582" t="s">
        <v>3029</v>
      </c>
      <c r="F26" s="539"/>
      <c r="G26" s="579" t="s">
        <v>3028</v>
      </c>
      <c r="H26" s="539"/>
      <c r="I26" s="582" t="s">
        <v>3028</v>
      </c>
      <c r="J26" s="539"/>
      <c r="K26" s="898"/>
      <c r="L26" s="2126"/>
      <c r="M26" s="2118"/>
      <c r="N26" s="2118"/>
      <c r="O26" s="2118"/>
      <c r="P26" s="3473"/>
      <c r="Q26" s="3046"/>
      <c r="R26" s="1558"/>
      <c r="S26" s="1559"/>
      <c r="T26" s="1558"/>
      <c r="U26" s="1559"/>
      <c r="V26" s="1558"/>
      <c r="W26" s="1559"/>
      <c r="X26" s="3048"/>
      <c r="Y26" s="3473"/>
      <c r="Z26" s="3047"/>
      <c r="AA26" s="3049">
        <v>1</v>
      </c>
      <c r="AB26" s="3049">
        <v>1</v>
      </c>
      <c r="AC26" s="3049">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6"/>
      <c r="M27" s="2118"/>
      <c r="N27" s="2118"/>
      <c r="O27" s="2118"/>
      <c r="P27" s="3473"/>
      <c r="Q27" s="3046" t="str">
        <f t="shared" ref="Q27:Q47" si="11">B27</f>
        <v>楼层</v>
      </c>
      <c r="R27" s="1558" t="s">
        <v>8</v>
      </c>
      <c r="S27" s="1559">
        <f>F27</f>
        <v>100</v>
      </c>
      <c r="T27" s="1558" t="s">
        <v>8</v>
      </c>
      <c r="U27" s="1559">
        <f>H27</f>
        <v>100</v>
      </c>
      <c r="V27" s="1558" t="s">
        <v>8</v>
      </c>
      <c r="W27" s="1559">
        <f>J27</f>
        <v>100</v>
      </c>
      <c r="X27" s="3048"/>
      <c r="Y27" s="3473"/>
      <c r="Z27" s="3047" t="str">
        <f>Q27</f>
        <v>楼层</v>
      </c>
      <c r="AA27" s="3049">
        <f t="shared" si="3"/>
        <v>1</v>
      </c>
      <c r="AB27" s="3049">
        <f t="shared" si="4"/>
        <v>1</v>
      </c>
      <c r="AC27" s="3049">
        <f t="shared" si="5"/>
        <v>1</v>
      </c>
    </row>
    <row r="28" spans="1:29" s="1215"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19"/>
      <c r="M28" s="2120"/>
      <c r="N28" s="2120"/>
      <c r="O28" s="2120"/>
      <c r="P28" s="3473"/>
      <c r="Q28" s="3043" t="str">
        <f t="shared" si="11"/>
        <v>朝向</v>
      </c>
      <c r="R28" s="1553" t="s">
        <v>8</v>
      </c>
      <c r="S28" s="1554">
        <f>F28</f>
        <v>100</v>
      </c>
      <c r="T28" s="1553" t="s">
        <v>8</v>
      </c>
      <c r="U28" s="1554">
        <f>H28</f>
        <v>100</v>
      </c>
      <c r="V28" s="1553" t="s">
        <v>8</v>
      </c>
      <c r="W28" s="1554">
        <f>J28</f>
        <v>100</v>
      </c>
      <c r="X28" s="1555"/>
      <c r="Y28" s="3473"/>
      <c r="Z28" s="3042" t="str">
        <f>Q28</f>
        <v>朝向</v>
      </c>
      <c r="AA28" s="3049">
        <f>D28/F28</f>
        <v>1</v>
      </c>
      <c r="AB28" s="3049">
        <f>D28/H28</f>
        <v>1</v>
      </c>
      <c r="AC28" s="3049">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6"/>
      <c r="M29" s="2118"/>
      <c r="N29" s="2118"/>
      <c r="O29" s="2118"/>
      <c r="P29" s="3473"/>
      <c r="Q29" s="3046">
        <f t="shared" si="11"/>
        <v>111</v>
      </c>
      <c r="R29" s="1558" t="s">
        <v>8</v>
      </c>
      <c r="S29" s="1559">
        <f t="shared" ref="S29:S47" si="12">F29</f>
        <v>100</v>
      </c>
      <c r="T29" s="1558" t="s">
        <v>8</v>
      </c>
      <c r="U29" s="1559">
        <f t="shared" ref="U29:U47" si="13">H29</f>
        <v>100</v>
      </c>
      <c r="V29" s="1558" t="s">
        <v>8</v>
      </c>
      <c r="W29" s="1559">
        <f t="shared" ref="W29:W47" si="14">J29</f>
        <v>100</v>
      </c>
      <c r="X29" s="3048"/>
      <c r="Y29" s="3473"/>
      <c r="Z29" s="3047">
        <f t="shared" ref="Z29:Z47" si="15">Q29</f>
        <v>111</v>
      </c>
      <c r="AA29" s="3049">
        <f t="shared" si="3"/>
        <v>1</v>
      </c>
      <c r="AB29" s="3049">
        <f t="shared" si="4"/>
        <v>1</v>
      </c>
      <c r="AC29" s="3049">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6"/>
      <c r="M30" s="2118"/>
      <c r="N30" s="2118"/>
      <c r="O30" s="2118"/>
      <c r="P30" s="3473"/>
      <c r="Q30" s="3046">
        <f t="shared" si="11"/>
        <v>111</v>
      </c>
      <c r="R30" s="1558" t="s">
        <v>8</v>
      </c>
      <c r="S30" s="1559">
        <f t="shared" si="12"/>
        <v>100</v>
      </c>
      <c r="T30" s="1558" t="s">
        <v>8</v>
      </c>
      <c r="U30" s="1559">
        <f t="shared" si="13"/>
        <v>100</v>
      </c>
      <c r="V30" s="1558" t="s">
        <v>8</v>
      </c>
      <c r="W30" s="1559">
        <f t="shared" si="14"/>
        <v>100</v>
      </c>
      <c r="X30" s="3048"/>
      <c r="Y30" s="3473"/>
      <c r="Z30" s="3047">
        <f t="shared" si="15"/>
        <v>111</v>
      </c>
      <c r="AA30" s="3049">
        <f t="shared" si="3"/>
        <v>1</v>
      </c>
      <c r="AB30" s="3049">
        <f t="shared" si="4"/>
        <v>1</v>
      </c>
      <c r="AC30" s="3049">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6"/>
      <c r="M31" s="2118"/>
      <c r="N31" s="2118"/>
      <c r="O31" s="2118"/>
      <c r="P31" s="3473"/>
      <c r="Q31" s="3046">
        <f t="shared" si="11"/>
        <v>111</v>
      </c>
      <c r="R31" s="1558" t="s">
        <v>8</v>
      </c>
      <c r="S31" s="1559">
        <f t="shared" si="12"/>
        <v>100</v>
      </c>
      <c r="T31" s="1558" t="s">
        <v>8</v>
      </c>
      <c r="U31" s="1559">
        <f t="shared" si="13"/>
        <v>100</v>
      </c>
      <c r="V31" s="1558" t="s">
        <v>8</v>
      </c>
      <c r="W31" s="1559">
        <f t="shared" si="14"/>
        <v>100</v>
      </c>
      <c r="X31" s="3048"/>
      <c r="Y31" s="3473"/>
      <c r="Z31" s="3047">
        <f t="shared" si="15"/>
        <v>111</v>
      </c>
      <c r="AA31" s="3049">
        <f t="shared" si="3"/>
        <v>1</v>
      </c>
      <c r="AB31" s="3049">
        <f t="shared" si="4"/>
        <v>1</v>
      </c>
      <c r="AC31" s="3049">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6"/>
      <c r="M32" s="2118"/>
      <c r="N32" s="2118"/>
      <c r="O32" s="2118"/>
      <c r="P32" s="3473"/>
      <c r="Q32" s="3046">
        <f t="shared" si="11"/>
        <v>111</v>
      </c>
      <c r="R32" s="1558" t="s">
        <v>8</v>
      </c>
      <c r="S32" s="1559">
        <f t="shared" si="12"/>
        <v>100</v>
      </c>
      <c r="T32" s="1558" t="s">
        <v>8</v>
      </c>
      <c r="U32" s="1559">
        <f t="shared" si="13"/>
        <v>100</v>
      </c>
      <c r="V32" s="1558" t="s">
        <v>8</v>
      </c>
      <c r="W32" s="1559">
        <f t="shared" si="14"/>
        <v>100</v>
      </c>
      <c r="X32" s="3048"/>
      <c r="Y32" s="3473"/>
      <c r="Z32" s="3047">
        <f t="shared" si="15"/>
        <v>111</v>
      </c>
      <c r="AA32" s="3049">
        <f t="shared" si="3"/>
        <v>1</v>
      </c>
      <c r="AB32" s="3049">
        <f t="shared" si="4"/>
        <v>1</v>
      </c>
      <c r="AC32" s="3049">
        <f t="shared" si="5"/>
        <v>1</v>
      </c>
    </row>
    <row r="33" spans="1:29" ht="15">
      <c r="A33" s="2745" t="s">
        <v>2751</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6"/>
      <c r="M33" s="2118"/>
      <c r="N33" s="2118"/>
      <c r="O33" s="2118"/>
      <c r="P33" s="3474" t="s">
        <v>550</v>
      </c>
      <c r="Q33" s="3046" t="str">
        <f t="shared" si="11"/>
        <v>建筑类型</v>
      </c>
      <c r="R33" s="1558" t="s">
        <v>8</v>
      </c>
      <c r="S33" s="1559">
        <f t="shared" si="12"/>
        <v>100</v>
      </c>
      <c r="T33" s="1558" t="s">
        <v>8</v>
      </c>
      <c r="U33" s="1559">
        <f t="shared" si="13"/>
        <v>100</v>
      </c>
      <c r="V33" s="1558" t="s">
        <v>8</v>
      </c>
      <c r="W33" s="1559">
        <f t="shared" si="14"/>
        <v>100</v>
      </c>
      <c r="X33" s="3048"/>
      <c r="Y33" s="3475" t="s">
        <v>550</v>
      </c>
      <c r="Z33" s="3047" t="str">
        <f t="shared" si="15"/>
        <v>建筑类型</v>
      </c>
      <c r="AA33" s="3049">
        <f t="shared" si="3"/>
        <v>1</v>
      </c>
      <c r="AB33" s="3049">
        <f t="shared" si="4"/>
        <v>1</v>
      </c>
      <c r="AC33" s="3049">
        <f t="shared" si="5"/>
        <v>1</v>
      </c>
    </row>
    <row r="34" spans="1:29" s="1334" customFormat="1" ht="15">
      <c r="A34" s="602"/>
      <c r="B34" s="526" t="s">
        <v>726</v>
      </c>
      <c r="C34" s="879">
        <f>'数据-汇总表'!F19</f>
        <v>986259</v>
      </c>
      <c r="D34" s="254">
        <v>100</v>
      </c>
      <c r="E34" s="533">
        <v>600</v>
      </c>
      <c r="F34" s="862">
        <f>LOOKUP(E34,104:104,105:105)-LOOKUP(C34,104:104,105:105)+100</f>
        <v>106</v>
      </c>
      <c r="G34" s="532">
        <v>654</v>
      </c>
      <c r="H34" s="254">
        <f>LOOKUP(G34,104:104,105:105)-LOOKUP(C34,104:104,105:105)+100</f>
        <v>106</v>
      </c>
      <c r="I34" s="532">
        <v>380</v>
      </c>
      <c r="J34" s="254">
        <f>LOOKUP(I34,104:104,105:105)-LOOKUP(C34,104:104,105:105)+100</f>
        <v>104</v>
      </c>
      <c r="K34" s="580"/>
      <c r="L34" s="2124"/>
      <c r="M34" s="2155"/>
      <c r="N34" s="2155"/>
      <c r="O34" s="2155"/>
      <c r="P34" s="3475"/>
      <c r="Q34" s="1589" t="str">
        <f t="shared" si="11"/>
        <v>项目建筑规模</v>
      </c>
      <c r="R34" s="1562" t="s">
        <v>8</v>
      </c>
      <c r="S34" s="1563">
        <f t="shared" si="12"/>
        <v>106</v>
      </c>
      <c r="T34" s="1562" t="s">
        <v>8</v>
      </c>
      <c r="U34" s="1563">
        <f t="shared" si="13"/>
        <v>106</v>
      </c>
      <c r="V34" s="1562" t="s">
        <v>8</v>
      </c>
      <c r="W34" s="1563">
        <f t="shared" si="14"/>
        <v>104</v>
      </c>
      <c r="X34" s="1564"/>
      <c r="Y34" s="3475"/>
      <c r="Z34" s="1565" t="str">
        <f t="shared" si="15"/>
        <v>项目建筑规模</v>
      </c>
      <c r="AA34" s="3049">
        <f t="shared" si="3"/>
        <v>0.94339622641509435</v>
      </c>
      <c r="AB34" s="3049">
        <f t="shared" si="4"/>
        <v>0.94339622641509435</v>
      </c>
      <c r="AC34" s="3049">
        <f t="shared" si="5"/>
        <v>0.96153846153846156</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6"/>
      <c r="M35" s="2118"/>
      <c r="N35" s="2118"/>
      <c r="O35" s="2118"/>
      <c r="P35" s="3475"/>
      <c r="Q35" s="3046" t="str">
        <f t="shared" si="11"/>
        <v>建筑结构</v>
      </c>
      <c r="R35" s="1558" t="s">
        <v>8</v>
      </c>
      <c r="S35" s="1559">
        <f t="shared" si="12"/>
        <v>100</v>
      </c>
      <c r="T35" s="1558" t="s">
        <v>8</v>
      </c>
      <c r="U35" s="1559">
        <f t="shared" si="13"/>
        <v>100</v>
      </c>
      <c r="V35" s="1558" t="s">
        <v>8</v>
      </c>
      <c r="W35" s="1559">
        <f t="shared" si="14"/>
        <v>100</v>
      </c>
      <c r="X35" s="3048"/>
      <c r="Y35" s="3475"/>
      <c r="Z35" s="3047" t="str">
        <f t="shared" si="15"/>
        <v>建筑结构</v>
      </c>
      <c r="AA35" s="3049">
        <f t="shared" si="3"/>
        <v>1</v>
      </c>
      <c r="AB35" s="3049">
        <f t="shared" si="4"/>
        <v>1</v>
      </c>
      <c r="AC35" s="3049">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6"/>
      <c r="M36" s="2118"/>
      <c r="N36" s="2118"/>
      <c r="O36" s="2118"/>
      <c r="P36" s="3475"/>
      <c r="Q36" s="3046" t="str">
        <f t="shared" si="11"/>
        <v>公共部分装修</v>
      </c>
      <c r="R36" s="1558" t="s">
        <v>8</v>
      </c>
      <c r="S36" s="1559">
        <f t="shared" si="12"/>
        <v>100</v>
      </c>
      <c r="T36" s="1558" t="s">
        <v>8</v>
      </c>
      <c r="U36" s="1559">
        <f t="shared" si="13"/>
        <v>100</v>
      </c>
      <c r="V36" s="1558" t="s">
        <v>8</v>
      </c>
      <c r="W36" s="1559">
        <f t="shared" si="14"/>
        <v>100</v>
      </c>
      <c r="X36" s="3048"/>
      <c r="Y36" s="3475"/>
      <c r="Z36" s="3047" t="str">
        <f t="shared" si="15"/>
        <v>公共部分装修</v>
      </c>
      <c r="AA36" s="3049">
        <f t="shared" si="3"/>
        <v>1</v>
      </c>
      <c r="AB36" s="3049">
        <f t="shared" si="4"/>
        <v>1</v>
      </c>
      <c r="AC36" s="3049">
        <f t="shared" si="5"/>
        <v>1</v>
      </c>
    </row>
    <row r="37" spans="1:29" ht="15" hidden="1">
      <c r="A37" s="593"/>
      <c r="B37" s="526" t="s">
        <v>764</v>
      </c>
      <c r="C37" s="882">
        <v>1</v>
      </c>
      <c r="D37" s="539">
        <v>100</v>
      </c>
      <c r="E37" s="882">
        <v>1</v>
      </c>
      <c r="F37" s="574">
        <f>LOOKUP(E37,111:111,112:112)-LOOKUP(C37,111:111,112:112)+100</f>
        <v>100</v>
      </c>
      <c r="G37" s="882">
        <v>1</v>
      </c>
      <c r="H37" s="574">
        <f>LOOKUP(G37,111:111,112:112)-LOOKUP(C37,111:111,112:112)+100</f>
        <v>100</v>
      </c>
      <c r="I37" s="882">
        <v>1</v>
      </c>
      <c r="J37" s="539">
        <f>LOOKUP(I37,111:111,112:112)-LOOKUP(C37,111:111,112:112)+100</f>
        <v>100</v>
      </c>
      <c r="K37" s="583"/>
      <c r="L37" s="2126"/>
      <c r="M37" s="2118"/>
      <c r="N37" s="2118"/>
      <c r="O37" s="2118"/>
      <c r="P37" s="3475"/>
      <c r="Q37" s="3046" t="str">
        <f t="shared" si="11"/>
        <v>成新度</v>
      </c>
      <c r="R37" s="1558" t="s">
        <v>8</v>
      </c>
      <c r="S37" s="1559">
        <f t="shared" si="12"/>
        <v>100</v>
      </c>
      <c r="T37" s="1558" t="s">
        <v>8</v>
      </c>
      <c r="U37" s="1559">
        <f t="shared" si="13"/>
        <v>100</v>
      </c>
      <c r="V37" s="1558" t="s">
        <v>8</v>
      </c>
      <c r="W37" s="1559">
        <f t="shared" si="14"/>
        <v>100</v>
      </c>
      <c r="X37" s="3048"/>
      <c r="Y37" s="3475"/>
      <c r="Z37" s="3047" t="str">
        <f t="shared" si="15"/>
        <v>成新度</v>
      </c>
      <c r="AA37" s="3049">
        <f t="shared" si="3"/>
        <v>1</v>
      </c>
      <c r="AB37" s="3049">
        <f t="shared" si="4"/>
        <v>1</v>
      </c>
      <c r="AC37" s="3049">
        <f t="shared" si="5"/>
        <v>1</v>
      </c>
    </row>
    <row r="38" spans="1:29" s="1215"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9"/>
      <c r="M38" s="2120"/>
      <c r="N38" s="2120"/>
      <c r="O38" s="2120"/>
      <c r="P38" s="3475"/>
      <c r="Q38" s="3043" t="str">
        <f t="shared" si="11"/>
        <v>写字楼等级</v>
      </c>
      <c r="R38" s="1553" t="s">
        <v>8</v>
      </c>
      <c r="S38" s="1554">
        <f t="shared" si="12"/>
        <v>100</v>
      </c>
      <c r="T38" s="1553" t="s">
        <v>8</v>
      </c>
      <c r="U38" s="1554">
        <f t="shared" si="13"/>
        <v>100</v>
      </c>
      <c r="V38" s="1553" t="s">
        <v>8</v>
      </c>
      <c r="W38" s="1554">
        <f t="shared" si="14"/>
        <v>100</v>
      </c>
      <c r="X38" s="1555"/>
      <c r="Y38" s="3475"/>
      <c r="Z38" s="3042" t="str">
        <f t="shared" si="15"/>
        <v>写字楼等级</v>
      </c>
      <c r="AA38" s="1556">
        <f t="shared" si="3"/>
        <v>1</v>
      </c>
      <c r="AB38" s="1556">
        <f t="shared" si="4"/>
        <v>1</v>
      </c>
      <c r="AC38" s="1556">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6"/>
      <c r="M39" s="2118"/>
      <c r="N39" s="2118"/>
      <c r="O39" s="2118"/>
      <c r="P39" s="3475" t="s">
        <v>550</v>
      </c>
      <c r="Q39" s="3046" t="str">
        <f t="shared" si="11"/>
        <v>物业管理</v>
      </c>
      <c r="R39" s="1558" t="s">
        <v>8</v>
      </c>
      <c r="S39" s="1559">
        <f t="shared" si="12"/>
        <v>100</v>
      </c>
      <c r="T39" s="1558" t="s">
        <v>8</v>
      </c>
      <c r="U39" s="1559">
        <f t="shared" si="13"/>
        <v>100</v>
      </c>
      <c r="V39" s="1558" t="s">
        <v>8</v>
      </c>
      <c r="W39" s="1559">
        <f t="shared" si="14"/>
        <v>100</v>
      </c>
      <c r="X39" s="3048"/>
      <c r="Y39" s="3475" t="s">
        <v>550</v>
      </c>
      <c r="Z39" s="3047" t="str">
        <f t="shared" si="15"/>
        <v>物业管理</v>
      </c>
      <c r="AA39" s="3049">
        <f t="shared" si="3"/>
        <v>1</v>
      </c>
      <c r="AB39" s="3049">
        <f t="shared" si="4"/>
        <v>1</v>
      </c>
      <c r="AC39" s="3049">
        <f t="shared" si="5"/>
        <v>1</v>
      </c>
    </row>
    <row r="40" spans="1:29" ht="15">
      <c r="A40" s="593"/>
      <c r="B40" s="1879" t="s">
        <v>2562</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6"/>
      <c r="M40" s="2118"/>
      <c r="N40" s="2118"/>
      <c r="O40" s="2118"/>
      <c r="P40" s="3475"/>
      <c r="Q40" s="3046" t="str">
        <f t="shared" si="11"/>
        <v>市政基础设施</v>
      </c>
      <c r="R40" s="1558" t="s">
        <v>8</v>
      </c>
      <c r="S40" s="1559">
        <f t="shared" si="12"/>
        <v>100</v>
      </c>
      <c r="T40" s="1558" t="s">
        <v>8</v>
      </c>
      <c r="U40" s="1559">
        <f t="shared" si="13"/>
        <v>100</v>
      </c>
      <c r="V40" s="1558" t="s">
        <v>8</v>
      </c>
      <c r="W40" s="1559">
        <f t="shared" si="14"/>
        <v>100</v>
      </c>
      <c r="X40" s="3048"/>
      <c r="Y40" s="3475"/>
      <c r="Z40" s="3047" t="str">
        <f t="shared" si="15"/>
        <v>市政基础设施</v>
      </c>
      <c r="AA40" s="3049">
        <f t="shared" si="3"/>
        <v>1</v>
      </c>
      <c r="AB40" s="3049">
        <f t="shared" si="4"/>
        <v>1</v>
      </c>
      <c r="AC40" s="3049">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6"/>
      <c r="M41" s="2118"/>
      <c r="N41" s="2118"/>
      <c r="O41" s="2118"/>
      <c r="P41" s="3475"/>
      <c r="Q41" s="3046" t="str">
        <f t="shared" si="11"/>
        <v>层高</v>
      </c>
      <c r="R41" s="1558" t="s">
        <v>8</v>
      </c>
      <c r="S41" s="1559">
        <f t="shared" si="12"/>
        <v>100</v>
      </c>
      <c r="T41" s="1558" t="s">
        <v>8</v>
      </c>
      <c r="U41" s="1559">
        <f t="shared" si="13"/>
        <v>100</v>
      </c>
      <c r="V41" s="1558" t="s">
        <v>8</v>
      </c>
      <c r="W41" s="1559">
        <f t="shared" si="14"/>
        <v>100</v>
      </c>
      <c r="X41" s="3048"/>
      <c r="Y41" s="3475"/>
      <c r="Z41" s="3047" t="str">
        <f t="shared" si="15"/>
        <v>层高</v>
      </c>
      <c r="AA41" s="3049">
        <f t="shared" si="3"/>
        <v>1</v>
      </c>
      <c r="AB41" s="3049">
        <f t="shared" si="4"/>
        <v>1</v>
      </c>
      <c r="AC41" s="3049">
        <f t="shared" si="5"/>
        <v>1</v>
      </c>
    </row>
    <row r="42" spans="1:29" s="1334" customFormat="1" ht="15" hidden="1">
      <c r="A42" s="602"/>
      <c r="B42" s="3045"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4"/>
      <c r="M42" s="2155"/>
      <c r="N42" s="2155"/>
      <c r="O42" s="2155"/>
      <c r="P42" s="3475"/>
      <c r="Q42" s="1589" t="str">
        <f t="shared" si="11"/>
        <v>单套建筑面积</v>
      </c>
      <c r="R42" s="1562" t="s">
        <v>8</v>
      </c>
      <c r="S42" s="1563">
        <f t="shared" si="12"/>
        <v>100</v>
      </c>
      <c r="T42" s="1562" t="s">
        <v>8</v>
      </c>
      <c r="U42" s="1563">
        <f t="shared" si="13"/>
        <v>100</v>
      </c>
      <c r="V42" s="1562" t="s">
        <v>8</v>
      </c>
      <c r="W42" s="1563">
        <f t="shared" si="14"/>
        <v>100</v>
      </c>
      <c r="X42" s="1564"/>
      <c r="Y42" s="3475"/>
      <c r="Z42" s="1565" t="str">
        <f t="shared" si="15"/>
        <v>单套建筑面积</v>
      </c>
      <c r="AA42" s="3049">
        <f t="shared" si="3"/>
        <v>1</v>
      </c>
      <c r="AB42" s="3049">
        <f t="shared" si="4"/>
        <v>1</v>
      </c>
      <c r="AC42" s="3049">
        <f t="shared" si="5"/>
        <v>1</v>
      </c>
    </row>
    <row r="43" spans="1:29" ht="15">
      <c r="A43" s="593"/>
      <c r="B43" s="526" t="s">
        <v>770</v>
      </c>
      <c r="C43" s="573" t="s">
        <v>3035</v>
      </c>
      <c r="D43" s="539">
        <v>100</v>
      </c>
      <c r="E43" s="573" t="s">
        <v>3032</v>
      </c>
      <c r="F43" s="574">
        <f>SUMIF(123:123,E43,124:124)-SUMIF(123:123,C43,124:124)+100</f>
        <v>100</v>
      </c>
      <c r="G43" s="573" t="s">
        <v>3034</v>
      </c>
      <c r="H43" s="539">
        <f>SUMIF(123:123,G43,124:124)-SUMIF(123:123,C43,124:124)+100</f>
        <v>100</v>
      </c>
      <c r="I43" s="573" t="s">
        <v>3032</v>
      </c>
      <c r="J43" s="539">
        <f>SUMIF(123:123,I43,124:124)-SUMIF(123:123,C43,124:124)+100</f>
        <v>100</v>
      </c>
      <c r="K43" s="583"/>
      <c r="L43" s="2126"/>
      <c r="M43" s="2118"/>
      <c r="N43" s="2118"/>
      <c r="O43" s="2118"/>
      <c r="P43" s="3475"/>
      <c r="Q43" s="3046" t="str">
        <f t="shared" si="11"/>
        <v>内部装修</v>
      </c>
      <c r="R43" s="1558" t="s">
        <v>8</v>
      </c>
      <c r="S43" s="1559">
        <f t="shared" si="12"/>
        <v>100</v>
      </c>
      <c r="T43" s="1558" t="s">
        <v>8</v>
      </c>
      <c r="U43" s="1559">
        <f t="shared" si="13"/>
        <v>100</v>
      </c>
      <c r="V43" s="1558" t="s">
        <v>8</v>
      </c>
      <c r="W43" s="1559">
        <f t="shared" si="14"/>
        <v>100</v>
      </c>
      <c r="X43" s="3048"/>
      <c r="Y43" s="3475"/>
      <c r="Z43" s="3047" t="str">
        <f t="shared" si="15"/>
        <v>内部装修</v>
      </c>
      <c r="AA43" s="3049">
        <f t="shared" si="3"/>
        <v>1</v>
      </c>
      <c r="AB43" s="3049">
        <f t="shared" si="4"/>
        <v>1</v>
      </c>
      <c r="AC43" s="3049">
        <f t="shared" si="5"/>
        <v>1</v>
      </c>
    </row>
    <row r="44" spans="1:29" ht="27">
      <c r="A44" s="593"/>
      <c r="B44" s="526" t="s">
        <v>735</v>
      </c>
      <c r="C44" s="573" t="s">
        <v>3017</v>
      </c>
      <c r="D44" s="539">
        <v>100</v>
      </c>
      <c r="E44" s="573" t="s">
        <v>3017</v>
      </c>
      <c r="F44" s="574">
        <f>SUMIF(125:125,E44,126:126)-SUMIF(125:125,C44,126:126)+100</f>
        <v>100</v>
      </c>
      <c r="G44" s="573" t="s">
        <v>3017</v>
      </c>
      <c r="H44" s="539">
        <f>SUMIF(125:125,G44,126:126)-SUMIF(125:125,C44,126:126)+100</f>
        <v>100</v>
      </c>
      <c r="I44" s="573" t="s">
        <v>3017</v>
      </c>
      <c r="J44" s="539">
        <f>SUMIF(125:125,I44,126:126)-SUMIF(125:125,C44,126:126)+100</f>
        <v>100</v>
      </c>
      <c r="K44" s="583"/>
      <c r="L44" s="2126"/>
      <c r="M44" s="2118"/>
      <c r="N44" s="2118"/>
      <c r="O44" s="2118"/>
      <c r="P44" s="3475"/>
      <c r="Q44" s="3046" t="str">
        <f t="shared" si="11"/>
        <v>内部装修维护情况</v>
      </c>
      <c r="R44" s="1558" t="s">
        <v>8</v>
      </c>
      <c r="S44" s="1559">
        <f t="shared" si="12"/>
        <v>100</v>
      </c>
      <c r="T44" s="1558" t="s">
        <v>8</v>
      </c>
      <c r="U44" s="1559">
        <f t="shared" si="13"/>
        <v>100</v>
      </c>
      <c r="V44" s="1558" t="s">
        <v>8</v>
      </c>
      <c r="W44" s="1559">
        <f t="shared" si="14"/>
        <v>100</v>
      </c>
      <c r="X44" s="3048"/>
      <c r="Y44" s="3475"/>
      <c r="Z44" s="3047" t="str">
        <f t="shared" si="15"/>
        <v>内部装修维护情况</v>
      </c>
      <c r="AA44" s="3049">
        <f t="shared" si="3"/>
        <v>1</v>
      </c>
      <c r="AB44" s="3049">
        <f t="shared" si="4"/>
        <v>1</v>
      </c>
      <c r="AC44" s="3049">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9"/>
      <c r="M45" s="2120"/>
      <c r="N45" s="2120"/>
      <c r="O45" s="2120"/>
      <c r="P45" s="3475"/>
      <c r="Q45" s="3043">
        <f t="shared" si="11"/>
        <v>111</v>
      </c>
      <c r="R45" s="1553" t="s">
        <v>8</v>
      </c>
      <c r="S45" s="1554">
        <f t="shared" si="12"/>
        <v>100</v>
      </c>
      <c r="T45" s="1553" t="s">
        <v>8</v>
      </c>
      <c r="U45" s="1554">
        <f t="shared" si="13"/>
        <v>100</v>
      </c>
      <c r="V45" s="1553" t="s">
        <v>8</v>
      </c>
      <c r="W45" s="1554">
        <f t="shared" si="14"/>
        <v>100</v>
      </c>
      <c r="X45" s="1555"/>
      <c r="Y45" s="3475"/>
      <c r="Z45" s="3042">
        <f t="shared" si="15"/>
        <v>111</v>
      </c>
      <c r="AA45" s="1556">
        <f t="shared" si="3"/>
        <v>1</v>
      </c>
      <c r="AB45" s="1556">
        <f t="shared" si="4"/>
        <v>1</v>
      </c>
      <c r="AC45" s="1556">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6"/>
      <c r="M46" s="2118"/>
      <c r="N46" s="2118"/>
      <c r="O46" s="2118"/>
      <c r="P46" s="3475"/>
      <c r="Q46" s="3046">
        <f t="shared" si="11"/>
        <v>111</v>
      </c>
      <c r="R46" s="1558" t="s">
        <v>8</v>
      </c>
      <c r="S46" s="1559">
        <f t="shared" si="12"/>
        <v>100</v>
      </c>
      <c r="T46" s="1558" t="s">
        <v>8</v>
      </c>
      <c r="U46" s="1559">
        <f t="shared" si="13"/>
        <v>100</v>
      </c>
      <c r="V46" s="1558" t="s">
        <v>8</v>
      </c>
      <c r="W46" s="1559">
        <f t="shared" si="14"/>
        <v>100</v>
      </c>
      <c r="X46" s="3048"/>
      <c r="Y46" s="3475"/>
      <c r="Z46" s="3047">
        <f t="shared" si="15"/>
        <v>111</v>
      </c>
      <c r="AA46" s="3049">
        <f t="shared" si="3"/>
        <v>1</v>
      </c>
      <c r="AB46" s="3049">
        <f t="shared" si="4"/>
        <v>1</v>
      </c>
      <c r="AC46" s="3049">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6"/>
      <c r="M47" s="2118"/>
      <c r="N47" s="2118"/>
      <c r="O47" s="2118"/>
      <c r="P47" s="3534"/>
      <c r="Q47" s="3046">
        <f t="shared" si="11"/>
        <v>111</v>
      </c>
      <c r="R47" s="1558" t="s">
        <v>8</v>
      </c>
      <c r="S47" s="1559">
        <f t="shared" si="12"/>
        <v>100</v>
      </c>
      <c r="T47" s="1558" t="s">
        <v>8</v>
      </c>
      <c r="U47" s="1559">
        <f t="shared" si="13"/>
        <v>100</v>
      </c>
      <c r="V47" s="1558" t="s">
        <v>8</v>
      </c>
      <c r="W47" s="1559">
        <f t="shared" si="14"/>
        <v>100</v>
      </c>
      <c r="X47" s="3048"/>
      <c r="Y47" s="3534"/>
      <c r="Z47" s="3047">
        <f t="shared" si="15"/>
        <v>111</v>
      </c>
      <c r="AA47" s="3049">
        <f t="shared" si="3"/>
        <v>1</v>
      </c>
      <c r="AB47" s="3049">
        <f t="shared" si="4"/>
        <v>1</v>
      </c>
      <c r="AC47" s="3049">
        <f t="shared" si="5"/>
        <v>1</v>
      </c>
    </row>
    <row r="48" spans="1:29" ht="15">
      <c r="A48" s="606" t="s">
        <v>736</v>
      </c>
      <c r="B48" s="886"/>
      <c r="C48" s="2590" t="s">
        <v>1</v>
      </c>
      <c r="D48" s="2591"/>
      <c r="E48" s="2592">
        <v>2.8</v>
      </c>
      <c r="F48" s="2593"/>
      <c r="G48" s="2594">
        <v>2.8</v>
      </c>
      <c r="H48" s="2595"/>
      <c r="I48" s="2592">
        <v>2.8</v>
      </c>
      <c r="J48" s="2595"/>
      <c r="K48" s="1595"/>
      <c r="L48" s="2128"/>
      <c r="M48" s="2118"/>
      <c r="N48" s="2118"/>
      <c r="O48" s="2118"/>
      <c r="P48" s="3467" t="str">
        <f>A48</f>
        <v>成交单价（元/平方米）</v>
      </c>
      <c r="Q48" s="3469"/>
      <c r="R48" s="3533">
        <f>E48</f>
        <v>2.8</v>
      </c>
      <c r="S48" s="3533"/>
      <c r="T48" s="3533">
        <f>G48</f>
        <v>2.8</v>
      </c>
      <c r="U48" s="3533"/>
      <c r="V48" s="3533">
        <f>I48</f>
        <v>2.8</v>
      </c>
      <c r="W48" s="3533"/>
      <c r="X48" s="1544"/>
      <c r="Y48" s="1566"/>
      <c r="Z48" s="1544"/>
      <c r="AA48" s="1544"/>
      <c r="AB48" s="1544"/>
      <c r="AC48" s="1544"/>
    </row>
    <row r="49" spans="1:29" ht="15.75" thickBot="1">
      <c r="A49" s="614" t="s">
        <v>2756</v>
      </c>
      <c r="B49" s="887"/>
      <c r="C49" s="2596">
        <f>R50</f>
        <v>2.56</v>
      </c>
      <c r="D49" s="2597"/>
      <c r="E49" s="2598">
        <f>R49</f>
        <v>2.64</v>
      </c>
      <c r="F49" s="2598"/>
      <c r="G49" s="2596">
        <f>T49</f>
        <v>2.4900000000000002</v>
      </c>
      <c r="H49" s="2597"/>
      <c r="I49" s="2598">
        <f>V49</f>
        <v>2.54</v>
      </c>
      <c r="J49" s="2597"/>
      <c r="K49" s="1596"/>
      <c r="L49" s="2128"/>
      <c r="M49" s="2118"/>
      <c r="N49" s="2118"/>
      <c r="O49" s="2118"/>
      <c r="P49" s="3467" t="str">
        <f>A49</f>
        <v>比较价格（元/平方米）</v>
      </c>
      <c r="Q49" s="3469"/>
      <c r="R49" s="3533">
        <f>IF(F1="售价",ROUND(PRODUCT(R48,AA7:AA47),2),ROUND(PRODUCT(R48,AA7:AA47),1))</f>
        <v>2.64</v>
      </c>
      <c r="S49" s="3533"/>
      <c r="T49" s="3533">
        <f>IF(F1="售价",ROUND(PRODUCT(T48,AB7:AB47),2),ROUND(PRODUCT(T48,AB7:AB47),1))</f>
        <v>2.4900000000000002</v>
      </c>
      <c r="U49" s="3533"/>
      <c r="V49" s="3533">
        <f>IF(F1="售价",ROUND(PRODUCT(V48,AC7:AC47),2),ROUND(PRODUCT(V48,AC7:AC47),1))</f>
        <v>2.54</v>
      </c>
      <c r="W49" s="3533"/>
      <c r="X49" s="1544"/>
      <c r="Y49" s="1544"/>
      <c r="Z49" s="1544"/>
      <c r="AA49" s="1544"/>
      <c r="AB49" s="1544"/>
      <c r="AC49" s="1544"/>
    </row>
    <row r="50" spans="1:29" ht="15.75" thickBot="1">
      <c r="A50" s="620" t="s">
        <v>2932</v>
      </c>
      <c r="B50" s="621"/>
      <c r="C50" s="2599">
        <f>R50</f>
        <v>2.56</v>
      </c>
      <c r="D50" s="2599"/>
      <c r="E50" s="2599"/>
      <c r="F50" s="2599"/>
      <c r="G50" s="2599"/>
      <c r="H50" s="2599"/>
      <c r="I50" s="2599"/>
      <c r="J50" s="2599"/>
      <c r="K50" s="1597"/>
      <c r="L50" s="2128"/>
      <c r="M50" s="2118"/>
      <c r="N50" s="2118"/>
      <c r="O50" s="2118"/>
      <c r="P50" s="3540" t="str">
        <f>A50</f>
        <v>估价对象XX用房的比较价格（楼面单价，元/平方米）</v>
      </c>
      <c r="Q50" s="3467"/>
      <c r="R50" s="3532">
        <f>IF(F1="售价",ROUND(AVERAGE(R49:V49),2),ROUND(AVERAGE(R49:V49),1))</f>
        <v>2.56</v>
      </c>
      <c r="S50" s="3532"/>
      <c r="T50" s="3532"/>
      <c r="U50" s="3532"/>
      <c r="V50" s="3532"/>
      <c r="W50" s="3532"/>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f>IF(E48&lt;E49,E49/E48-1,E48/E49-1)</f>
        <v>6.0606060606060552E-2</v>
      </c>
      <c r="F53" s="626" t="str">
        <f>IF(OR(E53&gt;=0.3,E53&lt;=-0.3),"超过30%","")</f>
        <v/>
      </c>
      <c r="G53" s="625">
        <f>IF(G48&lt;G49,G49/G48-1,G48/G49-1)</f>
        <v>0.12449799196787126</v>
      </c>
      <c r="H53" s="626" t="str">
        <f>IF(OR(G53&gt;=0.3,G53&lt;=-0.3),"超过30%","")</f>
        <v/>
      </c>
      <c r="I53" s="625">
        <f>IF(I48&lt;I49,I49/I48-1,I48/I49-1)</f>
        <v>0.10236220472440927</v>
      </c>
      <c r="J53" s="626" t="str">
        <f>IF(OR(I53&gt;=0.3,I53&lt;=-0.3),"超过30%","")</f>
        <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f>IF(E49&lt;G49,G49/E49-1,E49/G49-1)</f>
        <v>6.0240963855421548E-2</v>
      </c>
      <c r="F54" s="626" t="str">
        <f>IF(OR(E54&gt;=0.2,E54&lt;=-0.2),"超过20%","")</f>
        <v/>
      </c>
      <c r="G54" s="625">
        <f>IF(G49&lt;I49,I49/G49-1,G49/I49-1)</f>
        <v>2.008032128514059E-2</v>
      </c>
      <c r="H54" s="626" t="str">
        <f>IF(OR(G54&gt;=0.2,G54&lt;=-0.2),"超过20%","")</f>
        <v/>
      </c>
      <c r="I54" s="625">
        <f>IF(I49&lt;E49,E49/I49-1,I49/E49-1)</f>
        <v>3.937007874015741E-2</v>
      </c>
      <c r="J54" s="626" t="str">
        <f>IF(OR(I54&gt;=0.2,I54&lt;=-0.2),"超过20%","")</f>
        <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f>IF(E48&lt;G48,G48/E48-1,E48/G48-1)</f>
        <v>0</v>
      </c>
      <c r="F55" s="626" t="str">
        <f>IF(OR(E55&gt;=0.3,E55&lt;=-0.3),"超过30%","")</f>
        <v/>
      </c>
      <c r="G55" s="625">
        <f>IF(G48&lt;I48,I48/G48-1,G48/I48-1)</f>
        <v>0</v>
      </c>
      <c r="H55" s="626" t="str">
        <f>IF(OR(G55&gt;=0.3,G55&lt;=-0.3),"超过30%","")</f>
        <v/>
      </c>
      <c r="I55" s="625">
        <f>IF(I48&lt;E48,E48/I48-1,I48/E48-1)</f>
        <v>0</v>
      </c>
      <c r="J55" s="626" t="str">
        <f>IF(OR(I55&gt;=0.3,I55&lt;=-0.3),"超过30%","")</f>
        <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2" customFormat="1" ht="15">
      <c r="A59" s="644" t="s">
        <v>529</v>
      </c>
      <c r="B59" s="645"/>
      <c r="C59" s="2640" t="str">
        <f>YEAR(C7)&amp;"-"&amp;MONTH(C7)</f>
        <v>2020-9</v>
      </c>
      <c r="D59" s="2642">
        <f>EDATE(C59,-1)</f>
        <v>44044</v>
      </c>
      <c r="E59" s="2642">
        <f t="shared" ref="E59:O59" si="16">EDATE(D59,-1)</f>
        <v>44013</v>
      </c>
      <c r="F59" s="2642">
        <f t="shared" si="16"/>
        <v>43983</v>
      </c>
      <c r="G59" s="2642">
        <f t="shared" si="16"/>
        <v>43952</v>
      </c>
      <c r="H59" s="2642">
        <f t="shared" si="16"/>
        <v>43922</v>
      </c>
      <c r="I59" s="2642">
        <f t="shared" si="16"/>
        <v>43891</v>
      </c>
      <c r="J59" s="2642">
        <f t="shared" si="16"/>
        <v>43862</v>
      </c>
      <c r="K59" s="2642">
        <f t="shared" si="16"/>
        <v>43831</v>
      </c>
      <c r="L59" s="2642">
        <f t="shared" si="16"/>
        <v>43800</v>
      </c>
      <c r="M59" s="2642">
        <f t="shared" si="16"/>
        <v>43770</v>
      </c>
      <c r="N59" s="2642">
        <f t="shared" si="16"/>
        <v>43739</v>
      </c>
      <c r="O59" s="2642">
        <f t="shared" si="16"/>
        <v>43709</v>
      </c>
      <c r="P59" s="2195"/>
      <c r="Q59" s="2145"/>
      <c r="R59" s="2145"/>
      <c r="S59" s="2145"/>
      <c r="T59" s="2145"/>
      <c r="U59" s="2145"/>
      <c r="V59" s="2145"/>
      <c r="W59" s="2145"/>
      <c r="X59" s="2145"/>
      <c r="Y59" s="2145"/>
      <c r="Z59" s="2145"/>
      <c r="AA59" s="2145"/>
      <c r="AB59" s="2145"/>
      <c r="AC59" s="2145"/>
    </row>
    <row r="60" spans="1:29" s="1215" customFormat="1" ht="15">
      <c r="A60" s="646"/>
      <c r="B60" s="647"/>
      <c r="C60" s="648">
        <v>100</v>
      </c>
      <c r="D60" s="649"/>
      <c r="E60" s="649"/>
      <c r="F60" s="649"/>
      <c r="G60" s="649"/>
      <c r="H60" s="649"/>
      <c r="I60" s="649"/>
      <c r="J60" s="649"/>
      <c r="K60" s="649"/>
      <c r="L60" s="649"/>
      <c r="M60" s="650"/>
      <c r="N60" s="649"/>
      <c r="O60" s="650"/>
      <c r="P60" s="2196"/>
      <c r="Q60" s="1977"/>
      <c r="R60" s="1977"/>
      <c r="S60" s="1977"/>
      <c r="T60" s="1977"/>
      <c r="U60" s="1977"/>
      <c r="V60" s="1977"/>
      <c r="W60" s="1977"/>
      <c r="X60" s="1977"/>
      <c r="Y60" s="1977"/>
      <c r="Z60" s="1977"/>
      <c r="AA60" s="1977"/>
      <c r="AB60" s="1977"/>
      <c r="AC60" s="1977"/>
    </row>
    <row r="61" spans="1:29" s="1215" customFormat="1" ht="15.75" thickBot="1">
      <c r="A61" s="652" t="s">
        <v>575</v>
      </c>
      <c r="B61" s="653"/>
      <c r="C61" s="654"/>
      <c r="D61" s="655"/>
      <c r="E61" s="655"/>
      <c r="F61" s="655"/>
      <c r="G61" s="655"/>
      <c r="H61" s="655"/>
      <c r="I61" s="655"/>
      <c r="J61" s="655"/>
      <c r="K61" s="655"/>
      <c r="L61" s="655"/>
      <c r="M61" s="656"/>
      <c r="N61" s="655"/>
      <c r="O61" s="656"/>
      <c r="P61" s="2196"/>
      <c r="Q61" s="2142"/>
      <c r="R61" s="1977"/>
      <c r="S61" s="1977"/>
      <c r="T61" s="1977"/>
      <c r="U61" s="1977"/>
      <c r="V61" s="1977"/>
      <c r="W61" s="1977"/>
      <c r="X61" s="1977"/>
      <c r="Y61" s="1977"/>
      <c r="Z61" s="1977"/>
      <c r="AA61" s="1977"/>
      <c r="AB61" s="1977"/>
      <c r="AC61" s="1977"/>
    </row>
    <row r="62" spans="1:29" s="1215" customFormat="1" ht="15">
      <c r="A62" s="658" t="s">
        <v>531</v>
      </c>
      <c r="B62" s="647"/>
      <c r="C62" s="659" t="s">
        <v>576</v>
      </c>
      <c r="D62" s="3211" t="s">
        <v>3056</v>
      </c>
      <c r="E62" s="660"/>
      <c r="F62" s="660"/>
      <c r="G62" s="660"/>
      <c r="H62" s="660"/>
      <c r="I62" s="660"/>
      <c r="J62" s="660"/>
      <c r="K62" s="660"/>
      <c r="L62" s="661"/>
      <c r="M62" s="662"/>
      <c r="N62" s="2146"/>
      <c r="O62" s="2146"/>
      <c r="P62" s="2197"/>
      <c r="Q62" s="2142"/>
      <c r="R62" s="1977"/>
      <c r="S62" s="1977"/>
      <c r="T62" s="1977"/>
      <c r="U62" s="1977"/>
      <c r="V62" s="1977"/>
      <c r="W62" s="1977"/>
      <c r="X62" s="1977"/>
      <c r="Y62" s="1977"/>
      <c r="Z62" s="1977"/>
      <c r="AA62" s="1977"/>
      <c r="AB62" s="1977"/>
      <c r="AC62" s="1977"/>
    </row>
    <row r="63" spans="1:29" s="1215" customFormat="1" ht="15.75" thickBot="1">
      <c r="A63" s="658"/>
      <c r="B63" s="647"/>
      <c r="C63" s="888">
        <v>100</v>
      </c>
      <c r="D63" s="649">
        <v>102</v>
      </c>
      <c r="E63" s="649"/>
      <c r="F63" s="649"/>
      <c r="G63" s="649"/>
      <c r="H63" s="649"/>
      <c r="I63" s="649"/>
      <c r="J63" s="649"/>
      <c r="K63" s="649"/>
      <c r="L63" s="649"/>
      <c r="M63" s="651"/>
      <c r="N63" s="2146"/>
      <c r="O63" s="2146"/>
      <c r="P63" s="2196"/>
      <c r="Q63" s="2142"/>
      <c r="R63" s="1977"/>
      <c r="S63" s="1977"/>
      <c r="T63" s="1977"/>
      <c r="U63" s="1977"/>
      <c r="V63" s="1977"/>
      <c r="W63" s="1977"/>
      <c r="X63" s="1977"/>
      <c r="Y63" s="1977"/>
      <c r="Z63" s="1977"/>
      <c r="AA63" s="1977"/>
      <c r="AB63" s="1977"/>
      <c r="AC63" s="1977"/>
    </row>
    <row r="64" spans="1:29">
      <c r="A64" s="663" t="s">
        <v>577</v>
      </c>
      <c r="B64" s="664" t="s">
        <v>534</v>
      </c>
      <c r="C64" s="703" t="str">
        <f>C9</f>
        <v>办公</v>
      </c>
      <c r="D64" s="597"/>
      <c r="E64" s="597"/>
      <c r="F64" s="597"/>
      <c r="G64" s="597"/>
      <c r="H64" s="597"/>
      <c r="I64" s="597"/>
      <c r="J64" s="597"/>
      <c r="K64" s="665"/>
      <c r="L64" s="666"/>
      <c r="M64" s="667"/>
      <c r="N64" s="2148"/>
      <c r="O64" s="2148"/>
      <c r="P64" s="2198"/>
      <c r="Q64" s="2142"/>
      <c r="R64" s="2129"/>
      <c r="S64" s="2129"/>
      <c r="T64" s="2129"/>
      <c r="U64" s="2129"/>
      <c r="V64" s="2129"/>
      <c r="W64" s="2129"/>
      <c r="X64" s="2129"/>
      <c r="Y64" s="2129"/>
      <c r="Z64" s="2129"/>
      <c r="AA64" s="2129"/>
      <c r="AB64" s="2129"/>
      <c r="AC64" s="2129"/>
    </row>
    <row r="65" spans="1:29" ht="15.75" thickBot="1">
      <c r="A65" s="668"/>
      <c r="B65" s="669"/>
      <c r="C65" s="670"/>
      <c r="D65" s="670"/>
      <c r="E65" s="670"/>
      <c r="F65" s="670"/>
      <c r="G65" s="670"/>
      <c r="H65" s="670"/>
      <c r="I65" s="670"/>
      <c r="J65" s="670"/>
      <c r="K65" s="670"/>
      <c r="L65" s="670"/>
      <c r="M65" s="671"/>
      <c r="N65" s="2150"/>
      <c r="O65" s="2150"/>
      <c r="P65" s="2198"/>
      <c r="Q65" s="2142"/>
      <c r="R65" s="2129"/>
      <c r="S65" s="2129"/>
      <c r="T65" s="2129"/>
      <c r="U65" s="2129"/>
      <c r="V65" s="2129"/>
      <c r="W65" s="2129"/>
      <c r="X65" s="2129"/>
      <c r="Y65" s="2129"/>
      <c r="Z65" s="2129"/>
      <c r="AA65" s="2129"/>
      <c r="AB65" s="2129"/>
      <c r="AC65" s="2129"/>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8"/>
      <c r="O66" s="2148"/>
      <c r="P66" s="2198"/>
      <c r="Q66" s="2142"/>
      <c r="R66" s="2129"/>
      <c r="S66" s="2129"/>
      <c r="T66" s="2129"/>
      <c r="U66" s="2129"/>
      <c r="V66" s="2129"/>
      <c r="W66" s="2129"/>
      <c r="X66" s="2129"/>
      <c r="Y66" s="2129"/>
      <c r="Z66" s="2129"/>
      <c r="AA66" s="2129"/>
      <c r="AB66" s="2129"/>
      <c r="AC66" s="2129"/>
    </row>
    <row r="67" spans="1:29" ht="15.75" thickBot="1">
      <c r="A67" s="668"/>
      <c r="B67" s="677"/>
      <c r="C67" s="678" t="s">
        <v>14</v>
      </c>
      <c r="D67" s="678" t="s">
        <v>15</v>
      </c>
      <c r="E67" s="678">
        <v>100</v>
      </c>
      <c r="F67" s="678">
        <f>E67-$K10</f>
        <v>99</v>
      </c>
      <c r="G67" s="678">
        <f>F67-$K10</f>
        <v>98</v>
      </c>
      <c r="H67" s="678">
        <f>G67-$K10</f>
        <v>97</v>
      </c>
      <c r="I67" s="678">
        <f>H67-$K10</f>
        <v>96</v>
      </c>
      <c r="J67" s="678"/>
      <c r="K67" s="678"/>
      <c r="L67" s="678"/>
      <c r="M67" s="679"/>
      <c r="N67" s="2150"/>
      <c r="O67" s="2150"/>
      <c r="P67" s="2198"/>
      <c r="Q67" s="2142"/>
      <c r="R67" s="2129"/>
      <c r="S67" s="2129"/>
      <c r="T67" s="2129"/>
      <c r="U67" s="2129"/>
      <c r="V67" s="2129"/>
      <c r="W67" s="2129"/>
      <c r="X67" s="2129"/>
      <c r="Y67" s="2129"/>
      <c r="Z67" s="2129"/>
      <c r="AA67" s="2129"/>
      <c r="AB67" s="2129"/>
      <c r="AC67" s="2129"/>
    </row>
    <row r="68" spans="1:29" ht="15.75" thickTop="1">
      <c r="A68" s="668"/>
      <c r="B68" s="680" t="s">
        <v>538</v>
      </c>
      <c r="C68" s="681" t="str">
        <f>C69&amp;"（含）"&amp;"-"&amp;D69</f>
        <v>1（含）-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8"/>
      <c r="B69" s="682"/>
      <c r="C69" s="540">
        <v>1</v>
      </c>
      <c r="D69" s="540"/>
      <c r="E69" s="540"/>
      <c r="F69" s="540"/>
      <c r="G69" s="540"/>
      <c r="H69" s="540"/>
      <c r="I69" s="540"/>
      <c r="J69" s="540"/>
      <c r="K69" s="683"/>
      <c r="L69" s="684"/>
      <c r="M69" s="685"/>
      <c r="N69" s="2148"/>
      <c r="O69" s="2148"/>
      <c r="P69" s="2198"/>
      <c r="Q69" s="2142"/>
      <c r="R69" s="2129"/>
      <c r="S69" s="2129"/>
      <c r="T69" s="2129"/>
      <c r="U69" s="2129"/>
      <c r="V69" s="2129"/>
      <c r="W69" s="2129"/>
      <c r="X69" s="2129"/>
      <c r="Y69" s="2129"/>
      <c r="Z69" s="2129"/>
      <c r="AA69" s="2129"/>
      <c r="AB69" s="2129"/>
      <c r="AC69" s="2129"/>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0"/>
      <c r="O70" s="2150"/>
      <c r="P70" s="2198"/>
      <c r="Q70" s="2142"/>
      <c r="R70" s="2129"/>
      <c r="S70" s="2129"/>
      <c r="T70" s="2129"/>
      <c r="U70" s="2129"/>
      <c r="V70" s="2129"/>
      <c r="W70" s="2129"/>
      <c r="X70" s="2129"/>
      <c r="Y70" s="2129"/>
      <c r="Z70" s="2129"/>
      <c r="AA70" s="2129"/>
      <c r="AB70" s="2129"/>
      <c r="AC70" s="2129"/>
    </row>
    <row r="71" spans="1:29" s="1334" customFormat="1" ht="15.75" thickTop="1">
      <c r="A71" s="686"/>
      <c r="B71" s="672">
        <f>B12</f>
        <v>111</v>
      </c>
      <c r="C71" s="687"/>
      <c r="D71" s="687"/>
      <c r="E71" s="687"/>
      <c r="F71" s="687"/>
      <c r="G71" s="687"/>
      <c r="H71" s="688"/>
      <c r="I71" s="688"/>
      <c r="J71" s="688"/>
      <c r="K71" s="688"/>
      <c r="L71" s="689"/>
      <c r="M71" s="690"/>
      <c r="N71" s="2151"/>
      <c r="O71" s="2151"/>
      <c r="P71" s="2199"/>
      <c r="Q71" s="2153"/>
      <c r="R71" s="2154"/>
      <c r="S71" s="2154"/>
      <c r="T71" s="2154"/>
      <c r="U71" s="2154"/>
      <c r="V71" s="2154"/>
      <c r="W71" s="2154"/>
      <c r="X71" s="2154"/>
      <c r="Y71" s="2154"/>
      <c r="Z71" s="2154"/>
      <c r="AA71" s="2154"/>
      <c r="AB71" s="2154"/>
      <c r="AC71" s="2154"/>
    </row>
    <row r="72" spans="1:29" s="1334" customFormat="1" ht="15.75" thickBot="1">
      <c r="A72" s="686"/>
      <c r="B72" s="677"/>
      <c r="C72" s="691"/>
      <c r="D72" s="670"/>
      <c r="E72" s="670"/>
      <c r="F72" s="670"/>
      <c r="G72" s="670"/>
      <c r="H72" s="670"/>
      <c r="I72" s="670"/>
      <c r="J72" s="670"/>
      <c r="K72" s="670"/>
      <c r="L72" s="670"/>
      <c r="M72" s="671"/>
      <c r="N72" s="2150"/>
      <c r="O72" s="2150"/>
      <c r="P72" s="2199"/>
      <c r="Q72" s="2153"/>
      <c r="R72" s="2154"/>
      <c r="S72" s="2154"/>
      <c r="T72" s="2154"/>
      <c r="U72" s="2154"/>
      <c r="V72" s="2154"/>
      <c r="W72" s="2154"/>
      <c r="X72" s="2154"/>
      <c r="Y72" s="2154"/>
      <c r="Z72" s="2154"/>
      <c r="AA72" s="2154"/>
      <c r="AB72" s="2154"/>
      <c r="AC72" s="2154"/>
    </row>
    <row r="73" spans="1:29" s="1334" customFormat="1" ht="15.75" thickTop="1">
      <c r="A73" s="686"/>
      <c r="B73" s="672">
        <f>B13</f>
        <v>111</v>
      </c>
      <c r="C73" s="687"/>
      <c r="D73" s="687"/>
      <c r="E73" s="687"/>
      <c r="F73" s="687"/>
      <c r="G73" s="687"/>
      <c r="H73" s="688"/>
      <c r="I73" s="688"/>
      <c r="J73" s="688"/>
      <c r="K73" s="688"/>
      <c r="L73" s="689"/>
      <c r="M73" s="690"/>
      <c r="N73" s="2151"/>
      <c r="O73" s="2151"/>
      <c r="P73" s="2200"/>
      <c r="Q73" s="2156"/>
      <c r="R73" s="2154"/>
      <c r="S73" s="2154"/>
      <c r="T73" s="2154"/>
      <c r="U73" s="2154"/>
      <c r="V73" s="2154"/>
      <c r="W73" s="2154"/>
      <c r="X73" s="2154"/>
      <c r="Y73" s="2154"/>
      <c r="Z73" s="2154"/>
      <c r="AA73" s="2154"/>
      <c r="AB73" s="2154"/>
      <c r="AC73" s="2154"/>
    </row>
    <row r="74" spans="1:29" s="1334" customFormat="1" ht="15.75" thickBot="1">
      <c r="A74" s="686"/>
      <c r="B74" s="677"/>
      <c r="C74" s="691"/>
      <c r="D74" s="691"/>
      <c r="E74" s="691"/>
      <c r="F74" s="691"/>
      <c r="G74" s="691"/>
      <c r="H74" s="692"/>
      <c r="I74" s="692"/>
      <c r="J74" s="692"/>
      <c r="K74" s="692"/>
      <c r="L74" s="692"/>
      <c r="M74" s="693"/>
      <c r="N74" s="2151"/>
      <c r="O74" s="2151"/>
      <c r="P74" s="2199"/>
      <c r="Q74" s="2153"/>
      <c r="R74" s="2154"/>
      <c r="S74" s="2154"/>
      <c r="T74" s="2154"/>
      <c r="U74" s="2154"/>
      <c r="V74" s="2154"/>
      <c r="W74" s="2154"/>
      <c r="X74" s="2154"/>
      <c r="Y74" s="2154"/>
      <c r="Z74" s="2154"/>
      <c r="AA74" s="2154"/>
      <c r="AB74" s="2154"/>
      <c r="AC74" s="2154"/>
    </row>
    <row r="75" spans="1:29" s="1334" customFormat="1" ht="15.75" thickTop="1">
      <c r="A75" s="686"/>
      <c r="B75" s="680">
        <f>B14</f>
        <v>111</v>
      </c>
      <c r="C75" s="660"/>
      <c r="D75" s="660"/>
      <c r="E75" s="660"/>
      <c r="F75" s="660"/>
      <c r="G75" s="660"/>
      <c r="H75" s="694"/>
      <c r="I75" s="694"/>
      <c r="J75" s="694"/>
      <c r="K75" s="694"/>
      <c r="L75" s="695"/>
      <c r="M75" s="696"/>
      <c r="N75" s="2151"/>
      <c r="O75" s="2151"/>
      <c r="P75" s="2201"/>
      <c r="Q75" s="2153"/>
      <c r="R75" s="2154"/>
      <c r="S75" s="2154"/>
      <c r="T75" s="2154"/>
      <c r="U75" s="2154"/>
      <c r="V75" s="2154"/>
      <c r="W75" s="2154"/>
      <c r="X75" s="2154"/>
      <c r="Y75" s="2154"/>
      <c r="Z75" s="2154"/>
      <c r="AA75" s="2154"/>
      <c r="AB75" s="2154"/>
      <c r="AC75" s="2154"/>
    </row>
    <row r="76" spans="1:29" s="1334" customFormat="1" ht="15.75" thickBot="1">
      <c r="A76" s="697"/>
      <c r="B76" s="698"/>
      <c r="C76" s="699"/>
      <c r="D76" s="699"/>
      <c r="E76" s="699"/>
      <c r="F76" s="699"/>
      <c r="G76" s="699"/>
      <c r="H76" s="700"/>
      <c r="I76" s="700"/>
      <c r="J76" s="700"/>
      <c r="K76" s="700"/>
      <c r="L76" s="700"/>
      <c r="M76" s="701"/>
      <c r="N76" s="2151"/>
      <c r="O76" s="2151"/>
      <c r="P76" s="2199"/>
      <c r="Q76" s="2153"/>
      <c r="R76" s="2154"/>
      <c r="S76" s="2154"/>
      <c r="T76" s="2154"/>
      <c r="U76" s="2154"/>
      <c r="V76" s="2154"/>
      <c r="W76" s="2154"/>
      <c r="X76" s="2154"/>
      <c r="Y76" s="2154"/>
      <c r="Z76" s="2154"/>
      <c r="AA76" s="2154"/>
      <c r="AB76" s="2154"/>
      <c r="AC76" s="2154"/>
    </row>
    <row r="77" spans="1:29">
      <c r="A77" s="663" t="s">
        <v>539</v>
      </c>
      <c r="B77" s="664" t="s">
        <v>585</v>
      </c>
      <c r="C77" s="702" t="s">
        <v>579</v>
      </c>
      <c r="D77" s="702" t="s">
        <v>580</v>
      </c>
      <c r="E77" s="702" t="s">
        <v>581</v>
      </c>
      <c r="F77" s="702" t="s">
        <v>582</v>
      </c>
      <c r="G77" s="702" t="s">
        <v>583</v>
      </c>
      <c r="H77" s="703"/>
      <c r="I77" s="703"/>
      <c r="J77" s="703"/>
      <c r="K77" s="704"/>
      <c r="L77" s="705"/>
      <c r="M77" s="706"/>
      <c r="N77" s="2148"/>
      <c r="O77" s="2148"/>
      <c r="P77" s="2202"/>
      <c r="Q77" s="2142"/>
      <c r="R77" s="2129"/>
      <c r="S77" s="2129"/>
      <c r="T77" s="2129"/>
      <c r="U77" s="2129"/>
      <c r="V77" s="2129"/>
      <c r="W77" s="2129"/>
      <c r="X77" s="2129"/>
      <c r="Y77" s="2129"/>
      <c r="Z77" s="2129"/>
      <c r="AA77" s="2129"/>
      <c r="AB77" s="2129"/>
      <c r="AC77" s="2129"/>
    </row>
    <row r="78" spans="1:29" ht="15.75" thickBot="1">
      <c r="A78" s="668"/>
      <c r="B78" s="677"/>
      <c r="C78" s="678">
        <v>100</v>
      </c>
      <c r="D78" s="678">
        <f>C78-$K15</f>
        <v>98</v>
      </c>
      <c r="E78" s="678">
        <f>D78-$K15</f>
        <v>96</v>
      </c>
      <c r="F78" s="678">
        <f>E78-$K15</f>
        <v>94</v>
      </c>
      <c r="G78" s="678">
        <f>F78-$K15</f>
        <v>92</v>
      </c>
      <c r="H78" s="678"/>
      <c r="I78" s="678"/>
      <c r="J78" s="678"/>
      <c r="K78" s="678"/>
      <c r="L78" s="678"/>
      <c r="M78" s="679"/>
      <c r="N78" s="2150"/>
      <c r="O78" s="2150"/>
      <c r="P78" s="2198"/>
      <c r="Q78" s="2142"/>
      <c r="R78" s="2129"/>
      <c r="S78" s="2129"/>
      <c r="T78" s="2129"/>
      <c r="U78" s="2129"/>
      <c r="V78" s="2129"/>
      <c r="W78" s="2129"/>
      <c r="X78" s="2129"/>
      <c r="Y78" s="2129"/>
      <c r="Z78" s="2129"/>
      <c r="AA78" s="2129"/>
      <c r="AB78" s="2129"/>
      <c r="AC78" s="2129"/>
    </row>
    <row r="79" spans="1:29" ht="15.75" thickTop="1">
      <c r="A79" s="668"/>
      <c r="B79" s="672" t="s">
        <v>586</v>
      </c>
      <c r="C79" s="707" t="s">
        <v>579</v>
      </c>
      <c r="D79" s="707" t="s">
        <v>580</v>
      </c>
      <c r="E79" s="707" t="s">
        <v>581</v>
      </c>
      <c r="F79" s="707" t="s">
        <v>582</v>
      </c>
      <c r="G79" s="707" t="s">
        <v>583</v>
      </c>
      <c r="H79" s="673"/>
      <c r="I79" s="673"/>
      <c r="J79" s="673"/>
      <c r="K79" s="674"/>
      <c r="L79" s="675"/>
      <c r="M79" s="676"/>
      <c r="N79" s="2148"/>
      <c r="O79" s="2148"/>
      <c r="P79" s="2198"/>
      <c r="Q79" s="2142"/>
      <c r="R79" s="2129"/>
      <c r="S79" s="2129"/>
      <c r="T79" s="2129"/>
      <c r="U79" s="2129"/>
      <c r="V79" s="2129"/>
      <c r="W79" s="2129"/>
      <c r="X79" s="2129"/>
      <c r="Y79" s="2129"/>
      <c r="Z79" s="2129"/>
      <c r="AA79" s="2129"/>
      <c r="AB79" s="2129"/>
      <c r="AC79" s="2129"/>
    </row>
    <row r="80" spans="1:29" ht="15.75" thickBot="1">
      <c r="A80" s="668"/>
      <c r="B80" s="677"/>
      <c r="C80" s="678">
        <v>100</v>
      </c>
      <c r="D80" s="678">
        <f>C80-$K17</f>
        <v>99</v>
      </c>
      <c r="E80" s="678">
        <f>D80-$K17</f>
        <v>98</v>
      </c>
      <c r="F80" s="678">
        <f>E80-$K17</f>
        <v>97</v>
      </c>
      <c r="G80" s="678">
        <f>F80-$K17</f>
        <v>96</v>
      </c>
      <c r="H80" s="678"/>
      <c r="I80" s="678"/>
      <c r="J80" s="678"/>
      <c r="K80" s="678"/>
      <c r="L80" s="678"/>
      <c r="M80" s="679"/>
      <c r="N80" s="2150"/>
      <c r="O80" s="2150"/>
      <c r="P80" s="2198"/>
      <c r="Q80" s="2142"/>
      <c r="R80" s="2129"/>
      <c r="S80" s="2129"/>
      <c r="T80" s="2129"/>
      <c r="U80" s="2129"/>
      <c r="V80" s="2129"/>
      <c r="W80" s="2129"/>
      <c r="X80" s="2129"/>
      <c r="Y80" s="2129"/>
      <c r="Z80" s="2129"/>
      <c r="AA80" s="2129"/>
      <c r="AB80" s="2129"/>
      <c r="AC80" s="2129"/>
    </row>
    <row r="81" spans="1:29" ht="15.75" thickTop="1">
      <c r="A81" s="668"/>
      <c r="B81" s="1880" t="s">
        <v>2554</v>
      </c>
      <c r="C81" s="707" t="s">
        <v>579</v>
      </c>
      <c r="D81" s="707" t="s">
        <v>580</v>
      </c>
      <c r="E81" s="707" t="s">
        <v>581</v>
      </c>
      <c r="F81" s="707" t="s">
        <v>582</v>
      </c>
      <c r="G81" s="707" t="s">
        <v>583</v>
      </c>
      <c r="H81" s="673"/>
      <c r="I81" s="673"/>
      <c r="J81" s="673"/>
      <c r="K81" s="674"/>
      <c r="L81" s="675"/>
      <c r="M81" s="676"/>
      <c r="N81" s="2148"/>
      <c r="O81" s="2148"/>
      <c r="P81" s="2198"/>
      <c r="Q81" s="2142"/>
      <c r="R81" s="2129"/>
      <c r="S81" s="2129"/>
      <c r="T81" s="2129"/>
      <c r="U81" s="2129"/>
      <c r="V81" s="2129"/>
      <c r="W81" s="2129"/>
      <c r="X81" s="2129"/>
      <c r="Y81" s="2129"/>
      <c r="Z81" s="2129"/>
      <c r="AA81" s="2129"/>
      <c r="AB81" s="2129"/>
      <c r="AC81" s="2129"/>
    </row>
    <row r="82" spans="1:29" ht="15.75" thickBot="1">
      <c r="A82" s="668"/>
      <c r="B82" s="677"/>
      <c r="C82" s="678">
        <v>100</v>
      </c>
      <c r="D82" s="678">
        <f>C82-$K19</f>
        <v>99</v>
      </c>
      <c r="E82" s="678">
        <f>D82-$K19</f>
        <v>98</v>
      </c>
      <c r="F82" s="678">
        <f>E82-$K19</f>
        <v>97</v>
      </c>
      <c r="G82" s="678">
        <f>F82-$K19</f>
        <v>96</v>
      </c>
      <c r="H82" s="678"/>
      <c r="I82" s="678"/>
      <c r="J82" s="678"/>
      <c r="K82" s="678"/>
      <c r="L82" s="678"/>
      <c r="M82" s="679"/>
      <c r="N82" s="2150"/>
      <c r="O82" s="2150"/>
      <c r="P82" s="2198"/>
      <c r="Q82" s="2142"/>
      <c r="R82" s="2129"/>
      <c r="S82" s="2129"/>
      <c r="T82" s="2129"/>
      <c r="U82" s="2129"/>
      <c r="V82" s="2129"/>
      <c r="W82" s="2129"/>
      <c r="X82" s="2129"/>
      <c r="Y82" s="2129"/>
      <c r="Z82" s="2129"/>
      <c r="AA82" s="2129"/>
      <c r="AB82" s="2129"/>
      <c r="AC82" s="2129"/>
    </row>
    <row r="83" spans="1:29" ht="15.75" thickTop="1">
      <c r="A83" s="668"/>
      <c r="B83" s="2560" t="s">
        <v>2544</v>
      </c>
      <c r="C83" s="2561" t="s">
        <v>2556</v>
      </c>
      <c r="D83" s="2561" t="s">
        <v>2557</v>
      </c>
      <c r="E83" s="2561" t="s">
        <v>2558</v>
      </c>
      <c r="F83" s="2561" t="s">
        <v>2559</v>
      </c>
      <c r="G83" s="2561" t="s">
        <v>2560</v>
      </c>
      <c r="H83" s="673"/>
      <c r="I83" s="673"/>
      <c r="J83" s="673"/>
      <c r="K83" s="673"/>
      <c r="L83" s="673"/>
      <c r="M83" s="2564"/>
      <c r="N83" s="2150"/>
      <c r="O83" s="2150"/>
      <c r="P83" s="2198"/>
      <c r="Q83" s="2142"/>
      <c r="R83" s="2129"/>
      <c r="S83" s="2129"/>
      <c r="T83" s="2129"/>
      <c r="U83" s="2129"/>
      <c r="V83" s="2129"/>
      <c r="W83" s="2129"/>
      <c r="X83" s="2129"/>
      <c r="Y83" s="2129"/>
      <c r="Z83" s="2129"/>
      <c r="AA83" s="2129"/>
      <c r="AB83" s="2129"/>
      <c r="AC83" s="2129"/>
    </row>
    <row r="84" spans="1:29" ht="15.75" thickBot="1">
      <c r="A84" s="668"/>
      <c r="B84" s="680"/>
      <c r="C84" s="678">
        <v>100</v>
      </c>
      <c r="D84" s="678">
        <f>C84-$K21</f>
        <v>99</v>
      </c>
      <c r="E84" s="678">
        <f>D84-$K21</f>
        <v>98</v>
      </c>
      <c r="F84" s="678">
        <f>E84-$K21</f>
        <v>97</v>
      </c>
      <c r="G84" s="678">
        <f>F84-$K21</f>
        <v>96</v>
      </c>
      <c r="H84" s="934"/>
      <c r="I84" s="934"/>
      <c r="J84" s="934"/>
      <c r="K84" s="934"/>
      <c r="L84" s="934"/>
      <c r="M84" s="558"/>
      <c r="N84" s="2150"/>
      <c r="O84" s="2150"/>
      <c r="P84" s="2198"/>
      <c r="Q84" s="2142"/>
      <c r="R84" s="2129"/>
      <c r="S84" s="2129"/>
      <c r="T84" s="2129"/>
      <c r="U84" s="2129"/>
      <c r="V84" s="2129"/>
      <c r="W84" s="2129"/>
      <c r="X84" s="2129"/>
      <c r="Y84" s="2129"/>
      <c r="Z84" s="2129"/>
      <c r="AA84" s="2129"/>
      <c r="AB84" s="2129"/>
      <c r="AC84" s="2129"/>
    </row>
    <row r="85" spans="1:29" ht="15.75" thickTop="1">
      <c r="A85" s="668"/>
      <c r="B85" s="672" t="s">
        <v>784</v>
      </c>
      <c r="C85" s="707" t="s">
        <v>579</v>
      </c>
      <c r="D85" s="707" t="s">
        <v>580</v>
      </c>
      <c r="E85" s="707" t="s">
        <v>581</v>
      </c>
      <c r="F85" s="707" t="s">
        <v>582</v>
      </c>
      <c r="G85" s="707" t="s">
        <v>583</v>
      </c>
      <c r="H85" s="673"/>
      <c r="I85" s="673"/>
      <c r="J85" s="673"/>
      <c r="K85" s="674"/>
      <c r="L85" s="675"/>
      <c r="M85" s="676"/>
      <c r="N85" s="2148"/>
      <c r="O85" s="2148"/>
      <c r="P85" s="2198"/>
      <c r="Q85" s="2142"/>
      <c r="R85" s="2129"/>
      <c r="S85" s="2129"/>
      <c r="T85" s="2129"/>
      <c r="U85" s="2129"/>
      <c r="V85" s="2129"/>
      <c r="W85" s="2129"/>
      <c r="X85" s="2129"/>
      <c r="Y85" s="2129"/>
      <c r="Z85" s="2129"/>
      <c r="AA85" s="2129"/>
      <c r="AB85" s="2129"/>
      <c r="AC85" s="2129"/>
    </row>
    <row r="86" spans="1:29" ht="15.75" thickBot="1">
      <c r="A86" s="668"/>
      <c r="B86" s="677"/>
      <c r="C86" s="678">
        <v>100</v>
      </c>
      <c r="D86" s="678">
        <f>C86-$K23</f>
        <v>99</v>
      </c>
      <c r="E86" s="678">
        <f>D86-$K23</f>
        <v>98</v>
      </c>
      <c r="F86" s="678">
        <f>E86-$K23</f>
        <v>97</v>
      </c>
      <c r="G86" s="678">
        <f>F86-$K23</f>
        <v>96</v>
      </c>
      <c r="H86" s="678"/>
      <c r="I86" s="678"/>
      <c r="J86" s="678"/>
      <c r="K86" s="678"/>
      <c r="L86" s="678"/>
      <c r="M86" s="679"/>
      <c r="N86" s="2150"/>
      <c r="O86" s="2150"/>
      <c r="P86" s="2198"/>
      <c r="Q86" s="2142"/>
      <c r="R86" s="2129"/>
      <c r="S86" s="2129"/>
      <c r="T86" s="2129"/>
      <c r="U86" s="2129"/>
      <c r="V86" s="2129"/>
      <c r="W86" s="2129"/>
      <c r="X86" s="2129"/>
      <c r="Y86" s="2129"/>
      <c r="Z86" s="2129"/>
      <c r="AA86" s="2129"/>
      <c r="AB86" s="2129"/>
      <c r="AC86" s="2129"/>
    </row>
    <row r="87" spans="1:29" s="1215" customFormat="1" ht="27.75" thickTop="1">
      <c r="A87" s="708"/>
      <c r="B87" s="672" t="s">
        <v>785</v>
      </c>
      <c r="C87" s="3191" t="s">
        <v>3027</v>
      </c>
      <c r="D87" s="3191" t="s">
        <v>3028</v>
      </c>
      <c r="E87" s="3191" t="s">
        <v>3029</v>
      </c>
      <c r="F87" s="3191" t="s">
        <v>3030</v>
      </c>
      <c r="G87" s="687"/>
      <c r="H87" s="687"/>
      <c r="I87" s="687"/>
      <c r="J87" s="687"/>
      <c r="K87" s="687"/>
      <c r="L87" s="889"/>
      <c r="M87" s="890"/>
      <c r="N87" s="2146"/>
      <c r="O87" s="2146"/>
      <c r="P87" s="2198"/>
      <c r="Q87" s="2142"/>
      <c r="R87" s="1977"/>
      <c r="S87" s="1977"/>
      <c r="T87" s="1977"/>
      <c r="U87" s="1977"/>
      <c r="V87" s="1977"/>
      <c r="W87" s="1977"/>
      <c r="X87" s="1977"/>
      <c r="Y87" s="1977"/>
      <c r="Z87" s="1977"/>
      <c r="AA87" s="1977"/>
      <c r="AB87" s="1977"/>
      <c r="AC87" s="1977"/>
    </row>
    <row r="88" spans="1:29" s="1215" customFormat="1" ht="15.75" thickBot="1">
      <c r="A88" s="708"/>
      <c r="B88" s="677"/>
      <c r="C88" s="711">
        <v>100</v>
      </c>
      <c r="D88" s="678">
        <f t="shared" ref="D88:M88" si="19">C88-$K25</f>
        <v>98</v>
      </c>
      <c r="E88" s="678">
        <f t="shared" si="19"/>
        <v>96</v>
      </c>
      <c r="F88" s="678">
        <f t="shared" si="19"/>
        <v>94</v>
      </c>
      <c r="G88" s="678">
        <f t="shared" si="19"/>
        <v>92</v>
      </c>
      <c r="H88" s="678">
        <f t="shared" si="19"/>
        <v>90</v>
      </c>
      <c r="I88" s="678">
        <f t="shared" si="19"/>
        <v>88</v>
      </c>
      <c r="J88" s="678">
        <f t="shared" si="19"/>
        <v>86</v>
      </c>
      <c r="K88" s="678">
        <f t="shared" si="19"/>
        <v>84</v>
      </c>
      <c r="L88" s="678">
        <f t="shared" si="19"/>
        <v>82</v>
      </c>
      <c r="M88" s="678">
        <f t="shared" si="19"/>
        <v>80</v>
      </c>
      <c r="N88" s="2150"/>
      <c r="O88" s="2150"/>
      <c r="P88" s="2198"/>
      <c r="Q88" s="2142"/>
      <c r="R88" s="1977"/>
      <c r="S88" s="1977"/>
      <c r="T88" s="1977"/>
      <c r="U88" s="1977"/>
      <c r="V88" s="1977"/>
      <c r="W88" s="1977"/>
      <c r="X88" s="1977"/>
      <c r="Y88" s="1977"/>
      <c r="Z88" s="1977"/>
      <c r="AA88" s="1977"/>
      <c r="AB88" s="1977"/>
      <c r="AC88" s="1977"/>
    </row>
    <row r="89" spans="1:29" s="1215" customFormat="1" ht="15.75" thickTop="1">
      <c r="A89" s="708"/>
      <c r="B89" s="672" t="str">
        <f>B27</f>
        <v>楼层</v>
      </c>
      <c r="C89" s="687"/>
      <c r="D89" s="687"/>
      <c r="E89" s="687"/>
      <c r="F89" s="891"/>
      <c r="G89" s="687"/>
      <c r="H89" s="687"/>
      <c r="I89" s="687"/>
      <c r="J89" s="687"/>
      <c r="K89" s="687"/>
      <c r="L89" s="687"/>
      <c r="M89" s="890"/>
      <c r="N89" s="2146"/>
      <c r="O89" s="2146"/>
      <c r="P89" s="2198"/>
      <c r="Q89" s="2142"/>
      <c r="R89" s="1977"/>
      <c r="S89" s="1977"/>
      <c r="T89" s="1977"/>
      <c r="U89" s="1977"/>
      <c r="V89" s="1977"/>
      <c r="W89" s="1977"/>
      <c r="X89" s="1977"/>
      <c r="Y89" s="1977"/>
      <c r="Z89" s="1977"/>
      <c r="AA89" s="1977"/>
      <c r="AB89" s="1977"/>
      <c r="AC89" s="1977"/>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0"/>
      <c r="O90" s="2150"/>
      <c r="P90" s="2198"/>
      <c r="Q90" s="2142"/>
      <c r="R90" s="1977"/>
      <c r="S90" s="1977"/>
      <c r="T90" s="1977"/>
      <c r="U90" s="1977"/>
      <c r="V90" s="1977"/>
      <c r="W90" s="1977"/>
      <c r="X90" s="1977"/>
      <c r="Y90" s="1977"/>
      <c r="Z90" s="1977"/>
      <c r="AA90" s="1977"/>
      <c r="AB90" s="1977"/>
      <c r="AC90" s="1977"/>
    </row>
    <row r="91" spans="1:29" s="1334" customFormat="1" ht="15.75" thickTop="1">
      <c r="A91" s="686"/>
      <c r="B91" s="672" t="str">
        <f>B28</f>
        <v>朝向</v>
      </c>
      <c r="C91" s="687"/>
      <c r="D91" s="687"/>
      <c r="E91" s="687"/>
      <c r="F91" s="687"/>
      <c r="G91" s="687"/>
      <c r="H91" s="688"/>
      <c r="I91" s="688"/>
      <c r="J91" s="688"/>
      <c r="K91" s="688"/>
      <c r="L91" s="689"/>
      <c r="M91" s="690"/>
      <c r="N91" s="2151"/>
      <c r="O91" s="2151"/>
      <c r="P91" s="2199"/>
      <c r="Q91" s="2153"/>
      <c r="R91" s="2154"/>
      <c r="S91" s="2154"/>
      <c r="T91" s="2154"/>
      <c r="U91" s="2154"/>
      <c r="V91" s="2154"/>
      <c r="W91" s="2154"/>
      <c r="X91" s="2154"/>
      <c r="Y91" s="2154"/>
      <c r="Z91" s="2154"/>
      <c r="AA91" s="2154"/>
      <c r="AB91" s="2154"/>
      <c r="AC91" s="2154"/>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8"/>
      <c r="B93" s="672">
        <f>B29</f>
        <v>111</v>
      </c>
      <c r="C93" s="687"/>
      <c r="D93" s="687"/>
      <c r="E93" s="687"/>
      <c r="F93" s="687"/>
      <c r="G93" s="687"/>
      <c r="H93" s="687"/>
      <c r="I93" s="687"/>
      <c r="J93" s="687"/>
      <c r="K93" s="687"/>
      <c r="L93" s="889"/>
      <c r="M93" s="890"/>
      <c r="N93" s="2148"/>
      <c r="O93" s="2148"/>
      <c r="P93" s="2198"/>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70"/>
      <c r="H94" s="670"/>
      <c r="I94" s="670"/>
      <c r="J94" s="670"/>
      <c r="K94" s="670"/>
      <c r="L94" s="670"/>
      <c r="M94" s="671"/>
      <c r="N94" s="2150"/>
      <c r="O94" s="2150"/>
      <c r="P94" s="2198"/>
      <c r="Q94" s="2142"/>
      <c r="R94" s="2129"/>
      <c r="S94" s="2129"/>
      <c r="T94" s="2129"/>
      <c r="U94" s="2129"/>
      <c r="V94" s="2129"/>
      <c r="W94" s="2129"/>
      <c r="X94" s="2129"/>
      <c r="Y94" s="2129"/>
      <c r="Z94" s="2129"/>
      <c r="AA94" s="2129"/>
      <c r="AB94" s="2129"/>
      <c r="AC94" s="2129"/>
    </row>
    <row r="95" spans="1:29" ht="15.75" thickTop="1">
      <c r="A95" s="668"/>
      <c r="B95" s="672">
        <f>B30</f>
        <v>111</v>
      </c>
      <c r="C95" s="687"/>
      <c r="D95" s="687"/>
      <c r="E95" s="687"/>
      <c r="F95" s="687"/>
      <c r="G95" s="717"/>
      <c r="H95" s="717"/>
      <c r="I95" s="717"/>
      <c r="J95" s="717"/>
      <c r="K95" s="718"/>
      <c r="L95" s="719"/>
      <c r="M95" s="720"/>
      <c r="N95" s="2148"/>
      <c r="O95" s="2148"/>
      <c r="P95" s="2198"/>
      <c r="Q95" s="2142"/>
      <c r="R95" s="2129"/>
      <c r="S95" s="2129"/>
      <c r="T95" s="2129"/>
      <c r="U95" s="2129"/>
      <c r="V95" s="2129"/>
      <c r="W95" s="2129"/>
      <c r="X95" s="2129"/>
      <c r="Y95" s="2129"/>
      <c r="Z95" s="2129"/>
      <c r="AA95" s="2129"/>
      <c r="AB95" s="2129"/>
      <c r="AC95" s="2129"/>
    </row>
    <row r="96" spans="1:29" ht="15.75" thickBot="1">
      <c r="A96" s="668"/>
      <c r="B96" s="677"/>
      <c r="C96" s="691"/>
      <c r="D96" s="691"/>
      <c r="E96" s="691"/>
      <c r="F96" s="691"/>
      <c r="G96" s="670"/>
      <c r="H96" s="670"/>
      <c r="I96" s="670"/>
      <c r="J96" s="670"/>
      <c r="K96" s="670"/>
      <c r="L96" s="670"/>
      <c r="M96" s="671"/>
      <c r="N96" s="2150"/>
      <c r="O96" s="2150"/>
      <c r="P96" s="2198"/>
      <c r="Q96" s="2142"/>
      <c r="R96" s="2129"/>
      <c r="S96" s="2129"/>
      <c r="T96" s="2129"/>
      <c r="U96" s="2129"/>
      <c r="V96" s="2129"/>
      <c r="W96" s="2129"/>
      <c r="X96" s="2129"/>
      <c r="Y96" s="2129"/>
      <c r="Z96" s="2129"/>
      <c r="AA96" s="2129"/>
      <c r="AB96" s="2129"/>
      <c r="AC96" s="2129"/>
    </row>
    <row r="97" spans="1:29" ht="15.75" thickTop="1">
      <c r="A97" s="668"/>
      <c r="B97" s="672">
        <f>B31</f>
        <v>111</v>
      </c>
      <c r="C97" s="687"/>
      <c r="D97" s="687"/>
      <c r="E97" s="687"/>
      <c r="F97" s="687"/>
      <c r="G97" s="717"/>
      <c r="H97" s="717"/>
      <c r="I97" s="717"/>
      <c r="J97" s="717"/>
      <c r="K97" s="718"/>
      <c r="L97" s="719"/>
      <c r="M97" s="720"/>
      <c r="N97" s="2148"/>
      <c r="O97" s="2148"/>
      <c r="P97" s="2198"/>
      <c r="Q97" s="2142"/>
      <c r="R97" s="2129"/>
      <c r="S97" s="2129"/>
      <c r="T97" s="2129"/>
      <c r="U97" s="2129"/>
      <c r="V97" s="2129"/>
      <c r="W97" s="2129"/>
      <c r="X97" s="2129"/>
      <c r="Y97" s="2129"/>
      <c r="Z97" s="2129"/>
      <c r="AA97" s="2129"/>
      <c r="AB97" s="2129"/>
      <c r="AC97" s="2129"/>
    </row>
    <row r="98" spans="1:29" ht="15.75" thickBot="1">
      <c r="A98" s="668"/>
      <c r="B98" s="677"/>
      <c r="C98" s="691"/>
      <c r="D98" s="670"/>
      <c r="E98" s="670"/>
      <c r="F98" s="670"/>
      <c r="G98" s="670"/>
      <c r="H98" s="670"/>
      <c r="I98" s="670"/>
      <c r="J98" s="670"/>
      <c r="K98" s="670"/>
      <c r="L98" s="670"/>
      <c r="M98" s="671"/>
      <c r="N98" s="2150"/>
      <c r="O98" s="2150"/>
      <c r="P98" s="2198"/>
      <c r="Q98" s="2142"/>
      <c r="R98" s="2129"/>
      <c r="S98" s="2129"/>
      <c r="T98" s="2129"/>
      <c r="U98" s="2129"/>
      <c r="V98" s="2129"/>
      <c r="W98" s="2129"/>
      <c r="X98" s="2129"/>
      <c r="Y98" s="2129"/>
      <c r="Z98" s="2129"/>
      <c r="AA98" s="2129"/>
      <c r="AB98" s="2129"/>
      <c r="AC98" s="2129"/>
    </row>
    <row r="99" spans="1:29" ht="15.75" thickTop="1">
      <c r="A99" s="668"/>
      <c r="B99" s="680">
        <f>B32</f>
        <v>111</v>
      </c>
      <c r="C99" s="660"/>
      <c r="D99" s="660"/>
      <c r="E99" s="660"/>
      <c r="F99" s="660"/>
      <c r="G99" s="721"/>
      <c r="H99" s="721"/>
      <c r="I99" s="721"/>
      <c r="J99" s="721"/>
      <c r="K99" s="722"/>
      <c r="L99" s="723"/>
      <c r="M99" s="724"/>
      <c r="N99" s="2148"/>
      <c r="O99" s="2148"/>
      <c r="P99" s="2198"/>
      <c r="Q99" s="2142"/>
      <c r="R99" s="2129"/>
      <c r="S99" s="2129"/>
      <c r="T99" s="2129"/>
      <c r="U99" s="2129"/>
      <c r="V99" s="2129"/>
      <c r="W99" s="2129"/>
      <c r="X99" s="2129"/>
      <c r="Y99" s="2129"/>
      <c r="Z99" s="2129"/>
      <c r="AA99" s="2129"/>
      <c r="AB99" s="2129"/>
      <c r="AC99" s="2129"/>
    </row>
    <row r="100" spans="1:29" ht="15.75" thickBot="1">
      <c r="A100" s="892"/>
      <c r="B100" s="698"/>
      <c r="C100" s="699"/>
      <c r="D100" s="699"/>
      <c r="E100" s="699"/>
      <c r="F100" s="699"/>
      <c r="G100" s="725"/>
      <c r="H100" s="725"/>
      <c r="I100" s="725"/>
      <c r="J100" s="725"/>
      <c r="K100" s="725"/>
      <c r="L100" s="725"/>
      <c r="M100" s="726"/>
      <c r="N100" s="2150"/>
      <c r="O100" s="2150"/>
      <c r="P100" s="2198"/>
      <c r="Q100" s="2142"/>
      <c r="R100" s="2129"/>
      <c r="S100" s="2129"/>
      <c r="T100" s="2129"/>
      <c r="U100" s="2129"/>
      <c r="V100" s="2129"/>
      <c r="W100" s="2129"/>
      <c r="X100" s="2129"/>
      <c r="Y100" s="2129"/>
      <c r="Z100" s="2129"/>
      <c r="AA100" s="2129"/>
      <c r="AB100" s="2129"/>
      <c r="AC100" s="2129"/>
    </row>
    <row r="101" spans="1:29">
      <c r="A101" s="663" t="s">
        <v>551</v>
      </c>
      <c r="B101" s="664" t="s">
        <v>747</v>
      </c>
      <c r="C101" s="597"/>
      <c r="D101" s="597"/>
      <c r="E101" s="597"/>
      <c r="F101" s="597"/>
      <c r="G101" s="597"/>
      <c r="H101" s="597"/>
      <c r="I101" s="597"/>
      <c r="J101" s="597"/>
      <c r="K101" s="665"/>
      <c r="L101" s="666"/>
      <c r="M101" s="667"/>
      <c r="N101" s="2148"/>
      <c r="O101" s="2148"/>
      <c r="P101" s="2198"/>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0"/>
      <c r="O102" s="2150"/>
      <c r="P102" s="2198"/>
      <c r="Q102" s="2142"/>
      <c r="R102" s="2129"/>
      <c r="S102" s="2129"/>
      <c r="T102" s="2129"/>
      <c r="U102" s="2129"/>
      <c r="V102" s="2129"/>
      <c r="W102" s="2129"/>
      <c r="X102" s="2129"/>
      <c r="Y102" s="2129"/>
      <c r="Z102" s="2129"/>
      <c r="AA102" s="2129"/>
      <c r="AB102" s="2129"/>
      <c r="AC102" s="2129"/>
    </row>
    <row r="103" spans="1:29" ht="29.25" thickTop="1">
      <c r="A103" s="668"/>
      <c r="B103" s="672" t="s">
        <v>748</v>
      </c>
      <c r="C103" s="707" t="str">
        <f>C104&amp;"(含)"&amp;"-"&amp;D104</f>
        <v>0(含)-500</v>
      </c>
      <c r="D103" s="707" t="str">
        <f t="shared" ref="D103:L103" si="23">D104&amp;"(含)"&amp;"-"&amp;E104</f>
        <v>500(含)-1000</v>
      </c>
      <c r="E103" s="707" t="str">
        <f t="shared" si="23"/>
        <v>1000(含)-1500</v>
      </c>
      <c r="F103" s="707" t="str">
        <f t="shared" si="23"/>
        <v>1500(含)-2000</v>
      </c>
      <c r="G103" s="707" t="str">
        <f t="shared" si="23"/>
        <v>2000(含)-</v>
      </c>
      <c r="H103" s="707" t="str">
        <f t="shared" si="23"/>
        <v>(含)-</v>
      </c>
      <c r="I103" s="707" t="str">
        <f t="shared" si="23"/>
        <v>(含)-</v>
      </c>
      <c r="J103" s="707" t="str">
        <f t="shared" si="23"/>
        <v>(含)-</v>
      </c>
      <c r="K103" s="707" t="str">
        <f t="shared" si="23"/>
        <v>(含)-</v>
      </c>
      <c r="L103" s="707" t="str">
        <f t="shared" si="23"/>
        <v>(含)-</v>
      </c>
      <c r="M103" s="710"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7"/>
      <c r="B104" s="728"/>
      <c r="C104" s="3193">
        <v>0</v>
      </c>
      <c r="D104" s="3193">
        <v>500</v>
      </c>
      <c r="E104" s="3193">
        <v>1000</v>
      </c>
      <c r="F104" s="3193">
        <v>1500</v>
      </c>
      <c r="G104" s="3193">
        <v>2000</v>
      </c>
      <c r="H104" s="729"/>
      <c r="I104" s="729"/>
      <c r="J104" s="730"/>
      <c r="K104" s="730"/>
      <c r="L104" s="731"/>
      <c r="M104" s="732"/>
      <c r="N104" s="2151"/>
      <c r="O104" s="2151"/>
      <c r="P104" s="2199"/>
      <c r="Q104" s="2153"/>
      <c r="R104" s="2154"/>
      <c r="S104" s="2154"/>
      <c r="T104" s="2154"/>
      <c r="U104" s="2154"/>
      <c r="V104" s="2154"/>
      <c r="W104" s="2154"/>
      <c r="X104" s="2154"/>
      <c r="Y104" s="2154"/>
      <c r="Z104" s="2154"/>
      <c r="AA104" s="2154"/>
      <c r="AB104" s="2154"/>
      <c r="AC104" s="2154"/>
    </row>
    <row r="105" spans="1:29" s="1334" customFormat="1" ht="15.75" thickBot="1">
      <c r="A105" s="686"/>
      <c r="B105" s="677"/>
      <c r="C105" s="3194">
        <v>100</v>
      </c>
      <c r="D105" s="3195">
        <v>102</v>
      </c>
      <c r="E105" s="3195">
        <v>100</v>
      </c>
      <c r="F105" s="3195">
        <v>98</v>
      </c>
      <c r="G105" s="3195">
        <v>96</v>
      </c>
      <c r="H105" s="670"/>
      <c r="I105" s="670"/>
      <c r="J105" s="670"/>
      <c r="K105" s="670"/>
      <c r="L105" s="670"/>
      <c r="M105" s="671"/>
      <c r="N105" s="2150"/>
      <c r="O105" s="2150"/>
      <c r="P105" s="2199"/>
      <c r="Q105" s="2153"/>
      <c r="R105" s="2154"/>
      <c r="S105" s="2154"/>
      <c r="T105" s="2154"/>
      <c r="U105" s="2154"/>
      <c r="V105" s="2154"/>
      <c r="W105" s="2154"/>
      <c r="X105" s="2154"/>
      <c r="Y105" s="2154"/>
      <c r="Z105" s="2154"/>
      <c r="AA105" s="2154"/>
      <c r="AB105" s="2154"/>
      <c r="AC105" s="2154"/>
    </row>
    <row r="106" spans="1:29" ht="15" thickTop="1">
      <c r="A106" s="734"/>
      <c r="B106" s="672" t="s">
        <v>749</v>
      </c>
      <c r="C106" s="3191" t="s">
        <v>3031</v>
      </c>
      <c r="D106" s="687"/>
      <c r="E106" s="717"/>
      <c r="F106" s="717"/>
      <c r="G106" s="717"/>
      <c r="H106" s="717"/>
      <c r="I106" s="717"/>
      <c r="J106" s="717"/>
      <c r="K106" s="718"/>
      <c r="L106" s="719"/>
      <c r="M106" s="720"/>
      <c r="N106" s="2148"/>
      <c r="O106" s="2148"/>
      <c r="P106" s="2198"/>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4"/>
      <c r="B108" s="672" t="s">
        <v>751</v>
      </c>
      <c r="C108" s="3191" t="s">
        <v>3032</v>
      </c>
      <c r="D108" s="3191" t="s">
        <v>3033</v>
      </c>
      <c r="E108" s="3191" t="s">
        <v>3034</v>
      </c>
      <c r="F108" s="3196" t="s">
        <v>3035</v>
      </c>
      <c r="G108" s="717"/>
      <c r="H108" s="717"/>
      <c r="I108" s="717"/>
      <c r="J108" s="717"/>
      <c r="K108" s="718"/>
      <c r="L108" s="719"/>
      <c r="M108" s="720"/>
      <c r="N108" s="2148"/>
      <c r="O108" s="2148"/>
      <c r="P108" s="2198"/>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8"/>
      <c r="O110" s="2148"/>
      <c r="P110" s="2198"/>
      <c r="Q110" s="2142"/>
      <c r="R110" s="2129"/>
      <c r="S110" s="2129"/>
      <c r="T110" s="2129"/>
      <c r="U110" s="2129"/>
      <c r="V110" s="2129"/>
      <c r="W110" s="2129"/>
      <c r="X110" s="2129"/>
      <c r="Y110" s="2129"/>
      <c r="Z110" s="2129"/>
      <c r="AA110" s="2129"/>
      <c r="AB110" s="2129"/>
      <c r="AC110" s="2129"/>
    </row>
    <row r="111" spans="1:29">
      <c r="A111" s="734"/>
      <c r="B111" s="680"/>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7"/>
      <c r="B113" s="672" t="s">
        <v>786</v>
      </c>
      <c r="C113" s="3191" t="s">
        <v>3036</v>
      </c>
      <c r="D113" s="3191" t="s">
        <v>3037</v>
      </c>
      <c r="E113" s="687"/>
      <c r="F113" s="687"/>
      <c r="G113" s="687"/>
      <c r="H113" s="717"/>
      <c r="I113" s="717"/>
      <c r="J113" s="717"/>
      <c r="K113" s="718"/>
      <c r="L113" s="719"/>
      <c r="M113" s="720"/>
      <c r="N113" s="2151"/>
      <c r="O113" s="2151"/>
      <c r="P113" s="2199"/>
      <c r="Q113" s="2153"/>
      <c r="R113" s="2154"/>
      <c r="S113" s="2154"/>
      <c r="T113" s="2154"/>
      <c r="U113" s="2154"/>
      <c r="V113" s="2154"/>
      <c r="W113" s="2154"/>
      <c r="X113" s="2154"/>
      <c r="Y113" s="2154"/>
      <c r="Z113" s="2154"/>
      <c r="AA113" s="2154"/>
      <c r="AB113" s="2154"/>
      <c r="AC113" s="2154"/>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4"/>
      <c r="B115" s="672" t="s">
        <v>753</v>
      </c>
      <c r="C115" s="3191" t="s">
        <v>3038</v>
      </c>
      <c r="D115" s="687"/>
      <c r="E115" s="717"/>
      <c r="F115" s="717"/>
      <c r="G115" s="717"/>
      <c r="H115" s="717"/>
      <c r="I115" s="717"/>
      <c r="J115" s="717"/>
      <c r="K115" s="718"/>
      <c r="L115" s="719"/>
      <c r="M115" s="720"/>
      <c r="N115" s="2148"/>
      <c r="O115" s="2148"/>
      <c r="P115" s="2198"/>
      <c r="Q115" s="2142"/>
      <c r="R115" s="2129"/>
      <c r="S115" s="2129"/>
      <c r="T115" s="2129"/>
      <c r="U115" s="2129"/>
      <c r="V115" s="2129"/>
      <c r="W115" s="2129"/>
      <c r="X115" s="2129"/>
      <c r="Y115" s="2129"/>
      <c r="Z115" s="2129"/>
      <c r="AA115" s="2129"/>
      <c r="AB115" s="2129"/>
      <c r="AC115" s="2129"/>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4"/>
      <c r="B117" s="1880" t="s">
        <v>2553</v>
      </c>
      <c r="C117" s="687"/>
      <c r="D117" s="687"/>
      <c r="E117" s="687"/>
      <c r="F117" s="687"/>
      <c r="G117" s="687"/>
      <c r="H117" s="717"/>
      <c r="I117" s="717"/>
      <c r="J117" s="717"/>
      <c r="K117" s="718"/>
      <c r="L117" s="719"/>
      <c r="M117" s="720"/>
      <c r="N117" s="2148"/>
      <c r="O117" s="2148"/>
      <c r="P117" s="2198"/>
      <c r="Q117" s="2142"/>
      <c r="R117" s="2129"/>
      <c r="S117" s="2129"/>
      <c r="T117" s="2129"/>
      <c r="U117" s="2129"/>
      <c r="V117" s="2129"/>
      <c r="W117" s="2129"/>
      <c r="X117" s="2129"/>
      <c r="Y117" s="2129"/>
      <c r="Z117" s="2129"/>
      <c r="AA117" s="2129"/>
      <c r="AB117" s="2129"/>
      <c r="AC117" s="2129"/>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0"/>
      <c r="O118" s="2150"/>
      <c r="P118" s="2198"/>
      <c r="Q118" s="2142"/>
      <c r="R118" s="2129"/>
      <c r="S118" s="2129"/>
      <c r="T118" s="2129"/>
      <c r="U118" s="2129"/>
      <c r="V118" s="2129"/>
      <c r="W118" s="2129"/>
      <c r="X118" s="2129"/>
      <c r="Y118" s="2129"/>
      <c r="Z118" s="2129"/>
      <c r="AA118" s="2129"/>
      <c r="AB118" s="2129"/>
      <c r="AC118" s="2129"/>
    </row>
    <row r="119" spans="1:29" ht="15" thickTop="1">
      <c r="A119" s="734"/>
      <c r="B119" s="916" t="s">
        <v>787</v>
      </c>
      <c r="C119" s="717"/>
      <c r="D119" s="717"/>
      <c r="E119" s="717"/>
      <c r="F119" s="717"/>
      <c r="G119" s="717"/>
      <c r="H119" s="717"/>
      <c r="I119" s="717"/>
      <c r="J119" s="717"/>
      <c r="K119" s="717"/>
      <c r="L119" s="917"/>
      <c r="M119" s="918"/>
      <c r="N119" s="2150"/>
      <c r="O119" s="2150"/>
      <c r="P119" s="2203"/>
      <c r="Q119" s="2190"/>
      <c r="R119" s="2129"/>
      <c r="S119" s="2129"/>
      <c r="T119" s="2129"/>
      <c r="U119" s="2129"/>
      <c r="V119" s="2129"/>
      <c r="W119" s="2129"/>
      <c r="X119" s="2129"/>
      <c r="Y119" s="2129"/>
      <c r="Z119" s="2129"/>
      <c r="AA119" s="2129"/>
      <c r="AB119" s="2129"/>
      <c r="AC119" s="2129"/>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7"/>
      <c r="B121" s="672" t="s">
        <v>775</v>
      </c>
      <c r="C121" s="687"/>
      <c r="D121" s="687"/>
      <c r="E121" s="687"/>
      <c r="F121" s="717"/>
      <c r="G121" s="688"/>
      <c r="H121" s="688"/>
      <c r="I121" s="688"/>
      <c r="J121" s="688"/>
      <c r="K121" s="688"/>
      <c r="L121" s="689"/>
      <c r="M121" s="690"/>
      <c r="N121" s="2151"/>
      <c r="O121" s="2151"/>
      <c r="P121" s="2199"/>
      <c r="Q121" s="2153"/>
      <c r="R121" s="2154"/>
      <c r="S121" s="2154"/>
      <c r="T121" s="2154"/>
      <c r="U121" s="2154"/>
      <c r="V121" s="2154"/>
      <c r="W121" s="2154"/>
      <c r="X121" s="2154"/>
      <c r="Y121" s="2154"/>
      <c r="Z121" s="2154"/>
      <c r="AA121" s="2154"/>
      <c r="AB121" s="2154"/>
      <c r="AC121" s="2154"/>
    </row>
    <row r="122" spans="1:29" s="1334" customFormat="1" ht="15.75" thickBot="1">
      <c r="A122" s="686"/>
      <c r="B122" s="669"/>
      <c r="C122" s="691"/>
      <c r="D122" s="691"/>
      <c r="E122" s="691"/>
      <c r="F122" s="691"/>
      <c r="G122" s="691"/>
      <c r="H122" s="691"/>
      <c r="I122" s="691"/>
      <c r="J122" s="691"/>
      <c r="K122" s="691"/>
      <c r="L122" s="691"/>
      <c r="M122" s="691"/>
      <c r="N122" s="2151"/>
      <c r="O122" s="2151"/>
      <c r="P122" s="2199"/>
      <c r="Q122" s="2153"/>
      <c r="R122" s="2154"/>
      <c r="S122" s="2154"/>
      <c r="T122" s="2154"/>
      <c r="U122" s="2154"/>
      <c r="V122" s="2154"/>
      <c r="W122" s="2154"/>
      <c r="X122" s="2154"/>
      <c r="Y122" s="2154"/>
      <c r="Z122" s="2154"/>
      <c r="AA122" s="2154"/>
      <c r="AB122" s="2154"/>
      <c r="AC122" s="2154"/>
    </row>
    <row r="123" spans="1:29" ht="15" thickTop="1">
      <c r="A123" s="734"/>
      <c r="B123" s="672" t="s">
        <v>755</v>
      </c>
      <c r="C123" s="3191" t="s">
        <v>3032</v>
      </c>
      <c r="D123" s="3191" t="s">
        <v>3033</v>
      </c>
      <c r="E123" s="3191" t="s">
        <v>3034</v>
      </c>
      <c r="F123" s="3196" t="s">
        <v>3035</v>
      </c>
      <c r="G123" s="717"/>
      <c r="H123" s="717"/>
      <c r="I123" s="717"/>
      <c r="J123" s="717"/>
      <c r="K123" s="718"/>
      <c r="L123" s="719"/>
      <c r="M123" s="720"/>
      <c r="N123" s="2148"/>
      <c r="O123" s="2148"/>
      <c r="P123" s="2198"/>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8"/>
      <c r="O125" s="2148"/>
      <c r="P125" s="2199"/>
      <c r="Q125" s="2142"/>
      <c r="R125" s="2129"/>
      <c r="S125" s="2129"/>
      <c r="T125" s="2129"/>
      <c r="U125" s="2129"/>
      <c r="V125" s="2129"/>
      <c r="W125" s="2129"/>
      <c r="X125" s="2129"/>
      <c r="Y125" s="2129"/>
      <c r="Z125" s="2129"/>
      <c r="AA125" s="2129"/>
      <c r="AB125" s="2129"/>
      <c r="AC125" s="2129"/>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0"/>
      <c r="O126" s="2150"/>
      <c r="P126" s="2198"/>
      <c r="Q126" s="2142"/>
      <c r="R126" s="2129"/>
      <c r="S126" s="2129"/>
      <c r="T126" s="2129"/>
      <c r="U126" s="2129"/>
      <c r="V126" s="2129"/>
      <c r="W126" s="2129"/>
      <c r="X126" s="2129"/>
      <c r="Y126" s="2129"/>
      <c r="Z126" s="2129"/>
      <c r="AA126" s="2129"/>
      <c r="AB126" s="2129"/>
      <c r="AC126" s="2129"/>
    </row>
    <row r="127" spans="1:29" s="1334" customFormat="1" ht="15" thickTop="1">
      <c r="A127" s="727"/>
      <c r="B127" s="672">
        <f>B45</f>
        <v>111</v>
      </c>
      <c r="C127" s="687"/>
      <c r="D127" s="687"/>
      <c r="E127" s="687"/>
      <c r="F127" s="687"/>
      <c r="G127" s="687"/>
      <c r="H127" s="688"/>
      <c r="I127" s="688"/>
      <c r="J127" s="688"/>
      <c r="K127" s="688"/>
      <c r="L127" s="689"/>
      <c r="M127" s="690"/>
      <c r="N127" s="2151"/>
      <c r="O127" s="2151"/>
      <c r="P127" s="2199"/>
      <c r="Q127" s="2153"/>
      <c r="R127" s="2154"/>
      <c r="S127" s="2154"/>
      <c r="T127" s="2154"/>
      <c r="U127" s="2154"/>
      <c r="V127" s="2154"/>
      <c r="W127" s="2154"/>
      <c r="X127" s="2154"/>
      <c r="Y127" s="2154"/>
      <c r="Z127" s="2154"/>
      <c r="AA127" s="2154"/>
      <c r="AB127" s="2154"/>
      <c r="AC127" s="2154"/>
    </row>
    <row r="128" spans="1:29" s="1334" customFormat="1" ht="15.75" thickBot="1">
      <c r="A128" s="686"/>
      <c r="B128" s="677"/>
      <c r="C128" s="691"/>
      <c r="D128" s="670"/>
      <c r="E128" s="670"/>
      <c r="F128" s="670"/>
      <c r="G128" s="691"/>
      <c r="H128" s="692"/>
      <c r="I128" s="692"/>
      <c r="J128" s="692"/>
      <c r="K128" s="692"/>
      <c r="L128" s="692"/>
      <c r="M128" s="693"/>
      <c r="N128" s="2151"/>
      <c r="O128" s="2151"/>
      <c r="P128" s="2199"/>
      <c r="Q128" s="2153"/>
      <c r="R128" s="2154"/>
      <c r="S128" s="2154"/>
      <c r="T128" s="2154"/>
      <c r="U128" s="2154"/>
      <c r="V128" s="2154"/>
      <c r="W128" s="2154"/>
      <c r="X128" s="2154"/>
      <c r="Y128" s="2154"/>
      <c r="Z128" s="2154"/>
      <c r="AA128" s="2154"/>
      <c r="AB128" s="2154"/>
      <c r="AC128" s="2154"/>
    </row>
    <row r="129" spans="1:29" ht="15" thickTop="1">
      <c r="A129" s="734"/>
      <c r="B129" s="672">
        <f>B46</f>
        <v>111</v>
      </c>
      <c r="C129" s="687"/>
      <c r="D129" s="687"/>
      <c r="E129" s="687"/>
      <c r="F129" s="687"/>
      <c r="G129" s="717"/>
      <c r="H129" s="717"/>
      <c r="I129" s="717"/>
      <c r="J129" s="717"/>
      <c r="K129" s="718"/>
      <c r="L129" s="719"/>
      <c r="M129" s="720"/>
      <c r="N129" s="2148"/>
      <c r="O129" s="2148"/>
      <c r="P129" s="2198"/>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98"/>
      <c r="Q130" s="2142"/>
      <c r="R130" s="2129"/>
      <c r="S130" s="2129"/>
      <c r="T130" s="2129"/>
      <c r="U130" s="2129"/>
      <c r="V130" s="2129"/>
      <c r="W130" s="2129"/>
      <c r="X130" s="2129"/>
      <c r="Y130" s="2129"/>
      <c r="Z130" s="2129"/>
      <c r="AA130" s="2129"/>
      <c r="AB130" s="2129"/>
      <c r="AC130" s="2129"/>
    </row>
    <row r="131" spans="1:29" ht="15" thickTop="1">
      <c r="A131" s="734"/>
      <c r="B131" s="680">
        <f>B47</f>
        <v>111</v>
      </c>
      <c r="C131" s="660"/>
      <c r="D131" s="660"/>
      <c r="E131" s="660"/>
      <c r="F131" s="660"/>
      <c r="G131" s="721"/>
      <c r="H131" s="721"/>
      <c r="I131" s="721"/>
      <c r="J131" s="721"/>
      <c r="K131" s="660"/>
      <c r="L131" s="661"/>
      <c r="M131" s="724"/>
      <c r="N131" s="2148"/>
      <c r="O131" s="2148"/>
      <c r="P131" s="2198"/>
      <c r="Q131" s="2142"/>
      <c r="R131" s="2129"/>
      <c r="S131" s="2129"/>
      <c r="T131" s="2129"/>
      <c r="U131" s="2129"/>
      <c r="V131" s="2129"/>
      <c r="W131" s="2129"/>
      <c r="X131" s="2129"/>
      <c r="Y131" s="2129"/>
      <c r="Z131" s="2129"/>
      <c r="AA131" s="2129"/>
      <c r="AB131" s="2129"/>
      <c r="AC131" s="2129"/>
    </row>
    <row r="132" spans="1:29" ht="15.75" thickBot="1">
      <c r="A132" s="892"/>
      <c r="B132" s="698"/>
      <c r="C132" s="699"/>
      <c r="D132" s="699"/>
      <c r="E132" s="699"/>
      <c r="F132" s="699"/>
      <c r="G132" s="725"/>
      <c r="H132" s="725"/>
      <c r="I132" s="725"/>
      <c r="J132" s="725"/>
      <c r="K132" s="725"/>
      <c r="L132" s="725"/>
      <c r="M132" s="726"/>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2">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788</v>
      </c>
      <c r="C1" s="503" t="s">
        <v>720</v>
      </c>
      <c r="D1" s="848"/>
      <c r="E1" s="505"/>
      <c r="F1" s="2645"/>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427"/>
    </row>
    <row r="2" spans="1:29" s="1331" customFormat="1" ht="28.5" customHeight="1">
      <c r="A2" s="422" t="s">
        <v>467</v>
      </c>
      <c r="B2" s="849"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7"/>
    </row>
    <row r="3" spans="1:29" s="1331" customFormat="1" ht="28.5" customHeight="1" thickBot="1">
      <c r="A3" s="508" t="s">
        <v>519</v>
      </c>
      <c r="B3" s="509" t="e">
        <f>C43</f>
        <v>#DIV/0!</v>
      </c>
      <c r="C3" s="851" t="s">
        <v>722</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521</v>
      </c>
      <c r="B4" s="512"/>
      <c r="C4" s="3481" t="s">
        <v>522</v>
      </c>
      <c r="D4" s="3482"/>
      <c r="E4" s="3483" t="s">
        <v>523</v>
      </c>
      <c r="F4" s="3484"/>
      <c r="G4" s="3481" t="s">
        <v>524</v>
      </c>
      <c r="H4" s="3482"/>
      <c r="I4" s="3481" t="s">
        <v>525</v>
      </c>
      <c r="J4" s="3482"/>
      <c r="K4" s="513" t="s">
        <v>526</v>
      </c>
      <c r="L4" s="2117"/>
      <c r="M4" s="2118"/>
      <c r="N4" s="2118"/>
      <c r="O4" s="2118"/>
      <c r="P4" s="3485" t="s">
        <v>527</v>
      </c>
      <c r="Q4" s="3486"/>
      <c r="R4" s="3491" t="s">
        <v>523</v>
      </c>
      <c r="S4" s="3492"/>
      <c r="T4" s="3491" t="s">
        <v>524</v>
      </c>
      <c r="U4" s="3492"/>
      <c r="V4" s="3471" t="s">
        <v>525</v>
      </c>
      <c r="W4" s="3471"/>
      <c r="X4" s="1552"/>
      <c r="Y4" s="3491" t="s">
        <v>527</v>
      </c>
      <c r="Z4" s="3492"/>
      <c r="AA4" s="3478" t="s">
        <v>523</v>
      </c>
      <c r="AB4" s="3479" t="s">
        <v>524</v>
      </c>
      <c r="AC4" s="3478" t="s">
        <v>525</v>
      </c>
    </row>
    <row r="5" spans="1:29" ht="15">
      <c r="A5" s="514"/>
      <c r="B5" s="515"/>
      <c r="C5" s="3499" t="s">
        <v>2926</v>
      </c>
      <c r="D5" s="3500"/>
      <c r="E5" s="3497" t="s">
        <v>2927</v>
      </c>
      <c r="F5" s="3498"/>
      <c r="G5" s="3499" t="s">
        <v>2928</v>
      </c>
      <c r="H5" s="3500"/>
      <c r="I5" s="3499" t="s">
        <v>2929</v>
      </c>
      <c r="J5" s="3500"/>
      <c r="K5" s="513"/>
      <c r="L5" s="2117"/>
      <c r="M5" s="2118"/>
      <c r="N5" s="2118"/>
      <c r="O5" s="2118"/>
      <c r="P5" s="3487"/>
      <c r="Q5" s="3488"/>
      <c r="R5" s="3493"/>
      <c r="S5" s="3494"/>
      <c r="T5" s="3493"/>
      <c r="U5" s="3494"/>
      <c r="V5" s="3471"/>
      <c r="W5" s="3471"/>
      <c r="X5" s="1552"/>
      <c r="Y5" s="3493"/>
      <c r="Z5" s="3494"/>
      <c r="AA5" s="3479"/>
      <c r="AB5" s="3479"/>
      <c r="AC5" s="3479"/>
    </row>
    <row r="6" spans="1:29" ht="15.75" thickBot="1">
      <c r="A6" s="516"/>
      <c r="B6" s="517"/>
      <c r="C6" s="3501" t="s">
        <v>2930</v>
      </c>
      <c r="D6" s="3502"/>
      <c r="E6" s="3504" t="s">
        <v>2930</v>
      </c>
      <c r="F6" s="3505"/>
      <c r="G6" s="3501" t="s">
        <v>2930</v>
      </c>
      <c r="H6" s="3502"/>
      <c r="I6" s="3501" t="s">
        <v>2930</v>
      </c>
      <c r="J6" s="3502"/>
      <c r="K6" s="513" t="s">
        <v>528</v>
      </c>
      <c r="L6" s="2117"/>
      <c r="M6" s="2118"/>
      <c r="N6" s="2118"/>
      <c r="O6" s="2118"/>
      <c r="P6" s="3489"/>
      <c r="Q6" s="3490"/>
      <c r="R6" s="3493"/>
      <c r="S6" s="3494"/>
      <c r="T6" s="3495"/>
      <c r="U6" s="3496"/>
      <c r="V6" s="3471"/>
      <c r="W6" s="3471"/>
      <c r="X6" s="1552"/>
      <c r="Y6" s="3495"/>
      <c r="Z6" s="3496"/>
      <c r="AA6" s="3480"/>
      <c r="AB6" s="3480"/>
      <c r="AC6" s="3480"/>
    </row>
    <row r="7" spans="1:29" s="1215" customFormat="1" ht="15.75" thickBot="1">
      <c r="A7" s="2750"/>
      <c r="B7" s="2757" t="s">
        <v>529</v>
      </c>
      <c r="C7" s="518">
        <f>'数据-取费表'!B2</f>
        <v>44078</v>
      </c>
      <c r="D7" s="519">
        <v>100</v>
      </c>
      <c r="E7" s="520"/>
      <c r="F7" s="521">
        <f>SUMIF(52:52,YEAR(E7)&amp;"-"&amp;MONTH(E7),53:53)</f>
        <v>0</v>
      </c>
      <c r="G7" s="520"/>
      <c r="H7" s="519">
        <f>SUMIF(52:52,YEAR(G7)&amp;"-"&amp;MONTH(G7),53:53)</f>
        <v>0</v>
      </c>
      <c r="I7" s="520"/>
      <c r="J7" s="519">
        <f>SUMIF(52:52,YEAR(I7)&amp;"-"&amp;MONTH(I7),53:53)</f>
        <v>0</v>
      </c>
      <c r="K7" s="523"/>
      <c r="L7" s="2119"/>
      <c r="M7" s="2120"/>
      <c r="N7" s="2120"/>
      <c r="O7" s="2120"/>
      <c r="P7" s="3476" t="s">
        <v>530</v>
      </c>
      <c r="Q7" s="3503"/>
      <c r="R7" s="1553" t="s">
        <v>8</v>
      </c>
      <c r="S7" s="1554">
        <f t="shared" ref="S7:S15" si="0">F7</f>
        <v>0</v>
      </c>
      <c r="T7" s="1553" t="s">
        <v>8</v>
      </c>
      <c r="U7" s="1554">
        <f t="shared" ref="U7:U15" si="1">H7</f>
        <v>0</v>
      </c>
      <c r="V7" s="1553" t="s">
        <v>8</v>
      </c>
      <c r="W7" s="1554">
        <f t="shared" ref="W7:W15" si="2">J7</f>
        <v>0</v>
      </c>
      <c r="X7" s="1555"/>
      <c r="Y7" s="3476" t="s">
        <v>530</v>
      </c>
      <c r="Z7" s="3477"/>
      <c r="AA7" s="1556" t="e">
        <f>D7/F7</f>
        <v>#DIV/0!</v>
      </c>
      <c r="AB7" s="1556" t="e">
        <f>D7/H7</f>
        <v>#DIV/0!</v>
      </c>
      <c r="AC7" s="1556" t="e">
        <f>D7/J7</f>
        <v>#DIV/0!</v>
      </c>
    </row>
    <row r="8" spans="1:29" s="1215" customFormat="1" ht="15.75" thickBot="1">
      <c r="A8" s="2751"/>
      <c r="B8" s="2758" t="s">
        <v>531</v>
      </c>
      <c r="C8" s="524" t="s">
        <v>576</v>
      </c>
      <c r="D8" s="519">
        <v>100</v>
      </c>
      <c r="E8" s="524"/>
      <c r="F8" s="521">
        <f>SUMIF(55:55,E8,56:56)-SUMIF(55:55,C8,56:56)+100</f>
        <v>0</v>
      </c>
      <c r="G8" s="524"/>
      <c r="H8" s="519">
        <f>SUMIF(55:55,G8,56:56)-SUMIF(55:55,C8,56:56)+100</f>
        <v>0</v>
      </c>
      <c r="I8" s="524"/>
      <c r="J8" s="519">
        <f>SUMIF(55:55,I8,56:56)-SUMIF(55:55,C8,56:56)+100</f>
        <v>0</v>
      </c>
      <c r="K8" s="523"/>
      <c r="L8" s="2119"/>
      <c r="M8" s="2120"/>
      <c r="N8" s="2120"/>
      <c r="O8" s="2120"/>
      <c r="P8" s="3476" t="s">
        <v>533</v>
      </c>
      <c r="Q8" s="3477"/>
      <c r="R8" s="1553" t="s">
        <v>8</v>
      </c>
      <c r="S8" s="1554">
        <f t="shared" si="0"/>
        <v>0</v>
      </c>
      <c r="T8" s="1553" t="s">
        <v>8</v>
      </c>
      <c r="U8" s="1554">
        <f t="shared" si="1"/>
        <v>0</v>
      </c>
      <c r="V8" s="1553" t="s">
        <v>8</v>
      </c>
      <c r="W8" s="1554">
        <f t="shared" si="2"/>
        <v>0</v>
      </c>
      <c r="X8" s="1555"/>
      <c r="Y8" s="3476" t="s">
        <v>533</v>
      </c>
      <c r="Z8" s="3477"/>
      <c r="AA8" s="1556" t="e">
        <f t="shared" ref="AA8:AA40" si="3">D8/F8</f>
        <v>#DIV/0!</v>
      </c>
      <c r="AB8" s="1556" t="e">
        <f t="shared" ref="AB8:AB40" si="4">D8/H8</f>
        <v>#DIV/0!</v>
      </c>
      <c r="AC8" s="1556" t="e">
        <f t="shared" ref="AC8:AC40" si="5">D8/J8</f>
        <v>#DIV/0!</v>
      </c>
    </row>
    <row r="9" spans="1:29" s="1215" customFormat="1" ht="15">
      <c r="A9" s="2752"/>
      <c r="B9" s="2759" t="s">
        <v>2752</v>
      </c>
      <c r="C9" s="856"/>
      <c r="D9" s="253">
        <v>100</v>
      </c>
      <c r="E9" s="859"/>
      <c r="F9" s="253">
        <f>SUMIF(57:57,E9,58:58)-SUMIF(57:57,C9,58:58)+100</f>
        <v>100</v>
      </c>
      <c r="G9" s="857"/>
      <c r="H9" s="253">
        <f>SUMIF(57:57,G9,58:58)-SUMIF(57:57,C9,58:58)+100</f>
        <v>100</v>
      </c>
      <c r="I9" s="857"/>
      <c r="J9" s="253">
        <f>SUMIF(57:57,I9,58:58)-SUMIF(57:57,C9,58:58)+100</f>
        <v>100</v>
      </c>
      <c r="K9" s="523"/>
      <c r="L9" s="2119"/>
      <c r="M9" s="2120"/>
      <c r="N9" s="2120"/>
      <c r="O9" s="2121"/>
      <c r="P9" s="3469" t="s">
        <v>535</v>
      </c>
      <c r="Q9" s="1146" t="str">
        <f t="shared" ref="Q9:Q15" si="6">B9</f>
        <v>用途</v>
      </c>
      <c r="R9" s="1553" t="s">
        <v>8</v>
      </c>
      <c r="S9" s="1554">
        <f t="shared" si="0"/>
        <v>100</v>
      </c>
      <c r="T9" s="1553" t="s">
        <v>8</v>
      </c>
      <c r="U9" s="1554">
        <f t="shared" si="1"/>
        <v>100</v>
      </c>
      <c r="V9" s="1553" t="s">
        <v>8</v>
      </c>
      <c r="W9" s="1554">
        <f t="shared" si="2"/>
        <v>100</v>
      </c>
      <c r="X9" s="1555"/>
      <c r="Y9" s="3413" t="s">
        <v>536</v>
      </c>
      <c r="Z9" s="1145" t="str">
        <f t="shared" ref="Z9:Z15" si="7">Q9</f>
        <v>用途</v>
      </c>
      <c r="AA9" s="1556">
        <f t="shared" si="3"/>
        <v>1</v>
      </c>
      <c r="AB9" s="1556">
        <f t="shared" si="4"/>
        <v>1</v>
      </c>
      <c r="AC9" s="1556">
        <f t="shared" si="5"/>
        <v>1</v>
      </c>
    </row>
    <row r="10" spans="1:29" s="1333" customFormat="1" ht="27">
      <c r="A10" s="2753"/>
      <c r="B10" s="2758" t="s">
        <v>2753</v>
      </c>
      <c r="C10" s="860"/>
      <c r="D10" s="254">
        <v>100</v>
      </c>
      <c r="E10" s="860"/>
      <c r="F10" s="254">
        <f>SUMIF(59:59,E10,60:60)-SUMIF(59:59,C10,60:60)+100</f>
        <v>100</v>
      </c>
      <c r="G10" s="861"/>
      <c r="H10" s="254">
        <f>SUMIF(59:59,G10,60:60)-SUMIF(59:59,C10,60:60)+100</f>
        <v>100</v>
      </c>
      <c r="I10" s="860"/>
      <c r="J10" s="254">
        <f>SUMIF(59:59,I10,60:60)-SUMIF(59:59,C10,60:60)+100</f>
        <v>100</v>
      </c>
      <c r="K10" s="583"/>
      <c r="L10" s="2122"/>
      <c r="M10" s="2162"/>
      <c r="N10" s="2162"/>
      <c r="O10" s="2123"/>
      <c r="P10" s="3469"/>
      <c r="Q10" s="1146" t="str">
        <f t="shared" si="6"/>
        <v>土地使用年限（年）</v>
      </c>
      <c r="R10" s="1553" t="s">
        <v>8</v>
      </c>
      <c r="S10" s="1554">
        <f t="shared" si="0"/>
        <v>100</v>
      </c>
      <c r="T10" s="1553" t="s">
        <v>8</v>
      </c>
      <c r="U10" s="1554">
        <f t="shared" si="1"/>
        <v>100</v>
      </c>
      <c r="V10" s="1553" t="s">
        <v>8</v>
      </c>
      <c r="W10" s="1554">
        <f t="shared" si="2"/>
        <v>100</v>
      </c>
      <c r="X10" s="1555"/>
      <c r="Y10" s="3413"/>
      <c r="Z10" s="1145" t="str">
        <f t="shared" si="7"/>
        <v>土地使用年限（年）</v>
      </c>
      <c r="AA10" s="1556">
        <f t="shared" si="3"/>
        <v>1</v>
      </c>
      <c r="AB10" s="1556">
        <f t="shared" si="4"/>
        <v>1</v>
      </c>
      <c r="AC10" s="1556">
        <f t="shared" si="5"/>
        <v>1</v>
      </c>
    </row>
    <row r="11" spans="1:29" ht="15">
      <c r="A11" s="2754"/>
      <c r="B11" s="2758" t="s">
        <v>2754</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4"/>
      <c r="M11" s="2118"/>
      <c r="N11" s="2118"/>
      <c r="O11" s="2125"/>
      <c r="P11" s="3469"/>
      <c r="Q11" s="1146" t="str">
        <f t="shared" si="6"/>
        <v>容积率</v>
      </c>
      <c r="R11" s="1553" t="s">
        <v>8</v>
      </c>
      <c r="S11" s="1554" t="e">
        <f t="shared" si="0"/>
        <v>#N/A</v>
      </c>
      <c r="T11" s="1553" t="s">
        <v>8</v>
      </c>
      <c r="U11" s="1554" t="e">
        <f t="shared" si="1"/>
        <v>#N/A</v>
      </c>
      <c r="V11" s="1553" t="s">
        <v>8</v>
      </c>
      <c r="W11" s="1554" t="e">
        <f t="shared" si="2"/>
        <v>#N/A</v>
      </c>
      <c r="X11" s="1555"/>
      <c r="Y11" s="3413"/>
      <c r="Z11" s="1145" t="str">
        <f t="shared" si="7"/>
        <v>容积率</v>
      </c>
      <c r="AA11" s="1556" t="e">
        <f t="shared" si="3"/>
        <v>#N/A</v>
      </c>
      <c r="AB11" s="1556" t="e">
        <f t="shared" si="4"/>
        <v>#N/A</v>
      </c>
      <c r="AC11" s="1556" t="e">
        <f t="shared" si="5"/>
        <v>#N/A</v>
      </c>
    </row>
    <row r="12" spans="1:29" s="1215" customFormat="1" ht="15">
      <c r="A12" s="2755"/>
      <c r="B12" s="2761">
        <v>111</v>
      </c>
      <c r="C12" s="527"/>
      <c r="D12" s="537">
        <v>100</v>
      </c>
      <c r="E12" s="538"/>
      <c r="F12" s="254">
        <f>SUMIF(64:64,E12,65:65)-SUMIF(64:64,C12,65:65)+100</f>
        <v>100</v>
      </c>
      <c r="G12" s="919"/>
      <c r="H12" s="254">
        <f>SUMIF(64:64,G12,65:65)-SUMIF(64:64,C12,65:65)+100</f>
        <v>100</v>
      </c>
      <c r="I12" s="879"/>
      <c r="J12" s="254">
        <f>SUMIF(64:64,I12,65:65)-SUMIF(64:64,C12,65:65)+100</f>
        <v>100</v>
      </c>
      <c r="K12" s="580"/>
      <c r="L12" s="2119"/>
      <c r="M12" s="2120"/>
      <c r="N12" s="2120"/>
      <c r="O12" s="2121"/>
      <c r="P12" s="3469"/>
      <c r="Q12" s="1146">
        <f t="shared" si="6"/>
        <v>111</v>
      </c>
      <c r="R12" s="1553" t="s">
        <v>8</v>
      </c>
      <c r="S12" s="1554">
        <f t="shared" si="0"/>
        <v>100</v>
      </c>
      <c r="T12" s="1553" t="s">
        <v>8</v>
      </c>
      <c r="U12" s="1554">
        <f t="shared" si="1"/>
        <v>100</v>
      </c>
      <c r="V12" s="1553" t="s">
        <v>8</v>
      </c>
      <c r="W12" s="1554">
        <f t="shared" si="2"/>
        <v>100</v>
      </c>
      <c r="X12" s="1555"/>
      <c r="Y12" s="3413"/>
      <c r="Z12" s="1145">
        <f t="shared" si="7"/>
        <v>111</v>
      </c>
      <c r="AA12" s="1556">
        <f>D12/F12</f>
        <v>1</v>
      </c>
      <c r="AB12" s="1556">
        <f>D12/H12</f>
        <v>1</v>
      </c>
      <c r="AC12" s="1556">
        <f>D12/J12</f>
        <v>1</v>
      </c>
    </row>
    <row r="13" spans="1:29" ht="15">
      <c r="A13" s="2755"/>
      <c r="B13" s="2761">
        <v>111</v>
      </c>
      <c r="C13" s="538"/>
      <c r="D13" s="539">
        <v>100</v>
      </c>
      <c r="E13" s="538"/>
      <c r="F13" s="254">
        <f>SUMIF(66:66,E13,67:67)-SUMIF(66:66,C13,67:67)+100</f>
        <v>100</v>
      </c>
      <c r="G13" s="919"/>
      <c r="H13" s="539">
        <f>SUMIF(66:66,G13,67:67)-SUMIF(66:66,C13,67:67)+100</f>
        <v>100</v>
      </c>
      <c r="I13" s="879"/>
      <c r="J13" s="539">
        <f>SUMIF(66:66,I13,67:67)-SUMIF(66:66,C13,67:67)+100</f>
        <v>100</v>
      </c>
      <c r="K13" s="580"/>
      <c r="L13" s="2126"/>
      <c r="M13" s="2118"/>
      <c r="N13" s="2118"/>
      <c r="O13" s="2125"/>
      <c r="P13" s="3469"/>
      <c r="Q13" s="1146">
        <f t="shared" si="6"/>
        <v>111</v>
      </c>
      <c r="R13" s="1553" t="s">
        <v>8</v>
      </c>
      <c r="S13" s="1554">
        <f t="shared" si="0"/>
        <v>100</v>
      </c>
      <c r="T13" s="1553" t="s">
        <v>8</v>
      </c>
      <c r="U13" s="1554">
        <f t="shared" si="1"/>
        <v>100</v>
      </c>
      <c r="V13" s="1553" t="s">
        <v>8</v>
      </c>
      <c r="W13" s="1554">
        <f t="shared" si="2"/>
        <v>100</v>
      </c>
      <c r="X13" s="1555"/>
      <c r="Y13" s="3413"/>
      <c r="Z13" s="1145">
        <f t="shared" si="7"/>
        <v>111</v>
      </c>
      <c r="AA13" s="1556">
        <f t="shared" si="3"/>
        <v>1</v>
      </c>
      <c r="AB13" s="1556">
        <f t="shared" si="4"/>
        <v>1</v>
      </c>
      <c r="AC13" s="1556">
        <f t="shared" si="5"/>
        <v>1</v>
      </c>
    </row>
    <row r="14" spans="1:29" ht="15.75" thickBot="1">
      <c r="A14" s="2756"/>
      <c r="B14" s="2762">
        <v>111</v>
      </c>
      <c r="C14" s="544"/>
      <c r="D14" s="545">
        <v>100</v>
      </c>
      <c r="E14" s="544"/>
      <c r="F14" s="545">
        <f>SUMIF(68:68,E14,69:69)-SUMIF(68:68,C14,69:69)+100</f>
        <v>100</v>
      </c>
      <c r="G14" s="919"/>
      <c r="H14" s="545">
        <f>SUMIF(68:68,G14,69:69)-SUMIF(68:68,C14,69:69)+100</f>
        <v>100</v>
      </c>
      <c r="I14" s="879"/>
      <c r="J14" s="545">
        <f>SUMIF(68:68,I14,69:69)-SUMIF(68:68,C14,69:69)+100</f>
        <v>100</v>
      </c>
      <c r="K14" s="580"/>
      <c r="L14" s="2126"/>
      <c r="M14" s="2118"/>
      <c r="N14" s="2118"/>
      <c r="O14" s="2125"/>
      <c r="P14" s="3469"/>
      <c r="Q14" s="1146">
        <f t="shared" si="6"/>
        <v>111</v>
      </c>
      <c r="R14" s="1553" t="s">
        <v>8</v>
      </c>
      <c r="S14" s="1554">
        <f t="shared" si="0"/>
        <v>100</v>
      </c>
      <c r="T14" s="1553" t="s">
        <v>8</v>
      </c>
      <c r="U14" s="1554">
        <f t="shared" si="1"/>
        <v>100</v>
      </c>
      <c r="V14" s="1553" t="s">
        <v>8</v>
      </c>
      <c r="W14" s="1554">
        <f t="shared" si="2"/>
        <v>100</v>
      </c>
      <c r="X14" s="1555"/>
      <c r="Y14" s="3413"/>
      <c r="Z14" s="1145">
        <f t="shared" si="7"/>
        <v>111</v>
      </c>
      <c r="AA14" s="1556">
        <f t="shared" si="3"/>
        <v>1</v>
      </c>
      <c r="AB14" s="1556">
        <f t="shared" si="4"/>
        <v>1</v>
      </c>
      <c r="AC14" s="1556">
        <f t="shared" si="5"/>
        <v>1</v>
      </c>
    </row>
    <row r="15" spans="1:29" ht="57">
      <c r="A15" s="2748" t="s">
        <v>2750</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6"/>
      <c r="M15" s="2118"/>
      <c r="N15" s="2118"/>
      <c r="O15" s="2125"/>
      <c r="P15" s="3472" t="s">
        <v>540</v>
      </c>
      <c r="Q15" s="1557" t="str">
        <f t="shared" si="6"/>
        <v>产业集聚程度</v>
      </c>
      <c r="R15" s="1558" t="s">
        <v>8</v>
      </c>
      <c r="S15" s="1559">
        <f t="shared" si="0"/>
        <v>100</v>
      </c>
      <c r="T15" s="1558" t="s">
        <v>8</v>
      </c>
      <c r="U15" s="1559">
        <f t="shared" si="1"/>
        <v>100</v>
      </c>
      <c r="V15" s="1558" t="s">
        <v>8</v>
      </c>
      <c r="W15" s="1559">
        <f t="shared" si="2"/>
        <v>100</v>
      </c>
      <c r="X15" s="1552"/>
      <c r="Y15" s="3472" t="s">
        <v>540</v>
      </c>
      <c r="Z15" s="1560" t="str">
        <f t="shared" si="7"/>
        <v>产业集聚程度</v>
      </c>
      <c r="AA15" s="1561">
        <f t="shared" si="3"/>
        <v>1</v>
      </c>
      <c r="AB15" s="1561">
        <f t="shared" si="4"/>
        <v>1</v>
      </c>
      <c r="AC15" s="1561">
        <f t="shared" si="5"/>
        <v>1</v>
      </c>
    </row>
    <row r="16" spans="1:29" ht="15">
      <c r="A16" s="531"/>
      <c r="B16" s="868"/>
      <c r="C16" s="575"/>
      <c r="D16" s="554"/>
      <c r="E16" s="575"/>
      <c r="F16" s="556"/>
      <c r="G16" s="575"/>
      <c r="H16" s="558"/>
      <c r="I16" s="575"/>
      <c r="J16" s="554"/>
      <c r="K16" s="898"/>
      <c r="L16" s="2126"/>
      <c r="M16" s="2118"/>
      <c r="N16" s="2118"/>
      <c r="O16" s="2125"/>
      <c r="P16" s="3473"/>
      <c r="Q16" s="1557"/>
      <c r="R16" s="1558"/>
      <c r="S16" s="1559"/>
      <c r="T16" s="1558"/>
      <c r="U16" s="1559"/>
      <c r="V16" s="1558"/>
      <c r="W16" s="1559"/>
      <c r="X16" s="1552"/>
      <c r="Y16" s="3473"/>
      <c r="Z16" s="1560"/>
      <c r="AA16" s="1561">
        <v>1</v>
      </c>
      <c r="AB16" s="1561">
        <v>1</v>
      </c>
      <c r="AC16" s="1561">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6"/>
      <c r="M17" s="2118"/>
      <c r="N17" s="2118"/>
      <c r="O17" s="2125"/>
      <c r="P17" s="3473"/>
      <c r="Q17" s="1557" t="str">
        <f>B17</f>
        <v>交通便捷度</v>
      </c>
      <c r="R17" s="1558" t="s">
        <v>8</v>
      </c>
      <c r="S17" s="1559">
        <f>F17</f>
        <v>100</v>
      </c>
      <c r="T17" s="1558" t="s">
        <v>8</v>
      </c>
      <c r="U17" s="1559">
        <f>H17</f>
        <v>100</v>
      </c>
      <c r="V17" s="1558" t="s">
        <v>8</v>
      </c>
      <c r="W17" s="1559">
        <f>J17</f>
        <v>100</v>
      </c>
      <c r="X17" s="1552"/>
      <c r="Y17" s="3473"/>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6"/>
      <c r="M18" s="2118"/>
      <c r="N18" s="2118"/>
      <c r="O18" s="2125"/>
      <c r="P18" s="3473"/>
      <c r="Q18" s="1557"/>
      <c r="R18" s="1558"/>
      <c r="S18" s="1559"/>
      <c r="T18" s="1558"/>
      <c r="U18" s="1559"/>
      <c r="V18" s="1558"/>
      <c r="W18" s="1559"/>
      <c r="X18" s="1552"/>
      <c r="Y18" s="3473"/>
      <c r="Z18" s="1560"/>
      <c r="AA18" s="1561">
        <v>1</v>
      </c>
      <c r="AB18" s="1561">
        <v>1</v>
      </c>
      <c r="AC18" s="1561">
        <v>1</v>
      </c>
    </row>
    <row r="19" spans="1:29" ht="42.75">
      <c r="A19" s="531"/>
      <c r="B19" s="2566" t="s">
        <v>2543</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6"/>
      <c r="M19" s="2118"/>
      <c r="N19" s="2118"/>
      <c r="O19" s="2125"/>
      <c r="P19" s="3473"/>
      <c r="Q19" s="1557" t="str">
        <f>B19</f>
        <v>公共配套设施</v>
      </c>
      <c r="R19" s="1558" t="s">
        <v>8</v>
      </c>
      <c r="S19" s="1559">
        <f>F19</f>
        <v>100</v>
      </c>
      <c r="T19" s="1558" t="s">
        <v>8</v>
      </c>
      <c r="U19" s="1559">
        <f>H19</f>
        <v>100</v>
      </c>
      <c r="V19" s="1558" t="s">
        <v>8</v>
      </c>
      <c r="W19" s="1559">
        <f>J19</f>
        <v>100</v>
      </c>
      <c r="X19" s="1552"/>
      <c r="Y19" s="3473"/>
      <c r="Z19" s="1560" t="str">
        <f>Q19</f>
        <v>公共配套设施</v>
      </c>
      <c r="AA19" s="1561">
        <f t="shared" si="3"/>
        <v>1</v>
      </c>
      <c r="AB19" s="1561">
        <f t="shared" si="4"/>
        <v>1</v>
      </c>
      <c r="AC19" s="1561">
        <f t="shared" si="5"/>
        <v>1</v>
      </c>
    </row>
    <row r="20" spans="1:29" ht="15">
      <c r="A20" s="531"/>
      <c r="B20" s="565"/>
      <c r="C20" s="575"/>
      <c r="D20" s="554"/>
      <c r="E20" s="555"/>
      <c r="F20" s="556"/>
      <c r="G20" s="557"/>
      <c r="H20" s="554"/>
      <c r="I20" s="555"/>
      <c r="J20" s="554"/>
      <c r="K20" s="898"/>
      <c r="L20" s="2126"/>
      <c r="M20" s="2118"/>
      <c r="N20" s="2118"/>
      <c r="O20" s="2125"/>
      <c r="P20" s="3473"/>
      <c r="Q20" s="1557"/>
      <c r="R20" s="1558"/>
      <c r="S20" s="1559"/>
      <c r="T20" s="1558"/>
      <c r="U20" s="1559"/>
      <c r="V20" s="1558"/>
      <c r="W20" s="1559"/>
      <c r="X20" s="1552"/>
      <c r="Y20" s="3473"/>
      <c r="Z20" s="1560"/>
      <c r="AA20" s="1561">
        <v>1</v>
      </c>
      <c r="AB20" s="1561">
        <v>1</v>
      </c>
      <c r="AC20" s="1561">
        <v>1</v>
      </c>
    </row>
    <row r="21" spans="1:29" ht="28.5">
      <c r="A21" s="531"/>
      <c r="B21" s="2554" t="s">
        <v>2555</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6"/>
      <c r="M21" s="2118"/>
      <c r="N21" s="2118"/>
      <c r="O21" s="2125"/>
      <c r="P21" s="3473"/>
      <c r="Q21" s="2542" t="str">
        <f>B21</f>
        <v>基础设施水平</v>
      </c>
      <c r="R21" s="1558" t="s">
        <v>8</v>
      </c>
      <c r="S21" s="1559">
        <f>F21</f>
        <v>100</v>
      </c>
      <c r="T21" s="1558" t="s">
        <v>8</v>
      </c>
      <c r="U21" s="1559">
        <f>H21</f>
        <v>100</v>
      </c>
      <c r="V21" s="1558" t="s">
        <v>8</v>
      </c>
      <c r="W21" s="1559">
        <f>J21</f>
        <v>100</v>
      </c>
      <c r="X21" s="2544"/>
      <c r="Y21" s="3473"/>
      <c r="Z21" s="2543" t="str">
        <f>Q21</f>
        <v>基础设施水平</v>
      </c>
      <c r="AA21" s="1561">
        <f t="shared" ref="AA21" si="8">D21/F21</f>
        <v>1</v>
      </c>
      <c r="AB21" s="1561">
        <f t="shared" ref="AB21" si="9">D21/H21</f>
        <v>1</v>
      </c>
      <c r="AC21" s="1561">
        <f t="shared" ref="AC21" si="10">D21/J21</f>
        <v>1</v>
      </c>
    </row>
    <row r="22" spans="1:29" ht="15">
      <c r="A22" s="531"/>
      <c r="B22" s="577"/>
      <c r="C22" s="872"/>
      <c r="D22" s="554"/>
      <c r="E22" s="575"/>
      <c r="F22" s="556"/>
      <c r="G22" s="575"/>
      <c r="H22" s="554"/>
      <c r="I22" s="575"/>
      <c r="J22" s="554"/>
      <c r="K22" s="2565"/>
      <c r="L22" s="2126"/>
      <c r="M22" s="2118"/>
      <c r="N22" s="2118"/>
      <c r="O22" s="2125"/>
      <c r="P22" s="3473"/>
      <c r="Q22" s="2542"/>
      <c r="R22" s="1558"/>
      <c r="S22" s="1559"/>
      <c r="T22" s="1558"/>
      <c r="U22" s="1559"/>
      <c r="V22" s="1558"/>
      <c r="W22" s="1559"/>
      <c r="X22" s="2544"/>
      <c r="Y22" s="3473"/>
      <c r="Z22" s="2543"/>
      <c r="AA22" s="1561">
        <v>1</v>
      </c>
      <c r="AB22" s="1561">
        <v>1</v>
      </c>
      <c r="AC22" s="1561">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6"/>
      <c r="M23" s="2118"/>
      <c r="N23" s="2118"/>
      <c r="O23" s="2125"/>
      <c r="P23" s="3473"/>
      <c r="Q23" s="1557" t="str">
        <f>B23</f>
        <v>环境质量</v>
      </c>
      <c r="R23" s="1558" t="s">
        <v>8</v>
      </c>
      <c r="S23" s="1559">
        <f>F23</f>
        <v>100</v>
      </c>
      <c r="T23" s="1558" t="s">
        <v>8</v>
      </c>
      <c r="U23" s="1559">
        <f>H23</f>
        <v>100</v>
      </c>
      <c r="V23" s="1558" t="s">
        <v>8</v>
      </c>
      <c r="W23" s="1559">
        <f>J23</f>
        <v>100</v>
      </c>
      <c r="X23" s="1552"/>
      <c r="Y23" s="3473"/>
      <c r="Z23" s="1560" t="str">
        <f>Q23</f>
        <v>环境质量</v>
      </c>
      <c r="AA23" s="1561">
        <f t="shared" si="3"/>
        <v>1</v>
      </c>
      <c r="AB23" s="1561">
        <f t="shared" si="4"/>
        <v>1</v>
      </c>
      <c r="AC23" s="1561">
        <f t="shared" si="5"/>
        <v>1</v>
      </c>
    </row>
    <row r="24" spans="1:29" ht="15">
      <c r="A24" s="531"/>
      <c r="B24" s="921"/>
      <c r="C24" s="575"/>
      <c r="D24" s="554"/>
      <c r="E24" s="555"/>
      <c r="F24" s="556"/>
      <c r="G24" s="557"/>
      <c r="H24" s="554"/>
      <c r="I24" s="555"/>
      <c r="J24" s="554"/>
      <c r="K24" s="898"/>
      <c r="L24" s="2126"/>
      <c r="M24" s="2118"/>
      <c r="N24" s="2118"/>
      <c r="O24" s="2125"/>
      <c r="P24" s="3473"/>
      <c r="Q24" s="1557"/>
      <c r="R24" s="1558"/>
      <c r="S24" s="1559"/>
      <c r="T24" s="1558"/>
      <c r="U24" s="1559"/>
      <c r="V24" s="1558"/>
      <c r="W24" s="1559"/>
      <c r="X24" s="1552"/>
      <c r="Y24" s="3473"/>
      <c r="Z24" s="1560"/>
      <c r="AA24" s="1561">
        <v>1</v>
      </c>
      <c r="AB24" s="1561">
        <v>1</v>
      </c>
      <c r="AC24" s="1561">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6"/>
      <c r="M25" s="2118"/>
      <c r="N25" s="2118"/>
      <c r="O25" s="2125"/>
      <c r="P25" s="3473"/>
      <c r="Q25" s="1557">
        <f>B25</f>
        <v>111</v>
      </c>
      <c r="R25" s="1558" t="s">
        <v>8</v>
      </c>
      <c r="S25" s="1559">
        <f>F25</f>
        <v>100</v>
      </c>
      <c r="T25" s="1558" t="s">
        <v>8</v>
      </c>
      <c r="U25" s="1559">
        <f>H25</f>
        <v>100</v>
      </c>
      <c r="V25" s="1558" t="s">
        <v>8</v>
      </c>
      <c r="W25" s="1559">
        <f>J25</f>
        <v>100</v>
      </c>
      <c r="X25" s="1552"/>
      <c r="Y25" s="3473"/>
      <c r="Z25" s="1560">
        <f>Q25</f>
        <v>111</v>
      </c>
      <c r="AA25" s="1561">
        <f t="shared" si="3"/>
        <v>1</v>
      </c>
      <c r="AB25" s="1561">
        <f t="shared" si="4"/>
        <v>1</v>
      </c>
      <c r="AC25" s="1561">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6"/>
      <c r="M26" s="2118"/>
      <c r="N26" s="2118"/>
      <c r="O26" s="2125"/>
      <c r="P26" s="3473"/>
      <c r="Q26" s="1557">
        <f t="shared" ref="Q26:Q40" si="11">B26</f>
        <v>111</v>
      </c>
      <c r="R26" s="1558" t="s">
        <v>8</v>
      </c>
      <c r="S26" s="1559">
        <f>F26</f>
        <v>100</v>
      </c>
      <c r="T26" s="1558" t="s">
        <v>8</v>
      </c>
      <c r="U26" s="1559">
        <f>H26</f>
        <v>100</v>
      </c>
      <c r="V26" s="1558" t="s">
        <v>8</v>
      </c>
      <c r="W26" s="1559">
        <f>J26</f>
        <v>100</v>
      </c>
      <c r="X26" s="1552"/>
      <c r="Y26" s="3473"/>
      <c r="Z26" s="1560">
        <f>Q26</f>
        <v>111</v>
      </c>
      <c r="AA26" s="1561">
        <f t="shared" si="3"/>
        <v>1</v>
      </c>
      <c r="AB26" s="1561">
        <f t="shared" si="4"/>
        <v>1</v>
      </c>
      <c r="AC26" s="1561">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9"/>
      <c r="M27" s="2120"/>
      <c r="N27" s="2120"/>
      <c r="O27" s="2121"/>
      <c r="P27" s="3473"/>
      <c r="Q27" s="1146">
        <f t="shared" si="11"/>
        <v>111</v>
      </c>
      <c r="R27" s="1553" t="s">
        <v>8</v>
      </c>
      <c r="S27" s="1554">
        <f>F27</f>
        <v>100</v>
      </c>
      <c r="T27" s="1553" t="s">
        <v>8</v>
      </c>
      <c r="U27" s="1554">
        <f>H27</f>
        <v>100</v>
      </c>
      <c r="V27" s="1553" t="s">
        <v>8</v>
      </c>
      <c r="W27" s="1554">
        <f>J27</f>
        <v>100</v>
      </c>
      <c r="X27" s="1555"/>
      <c r="Y27" s="3473"/>
      <c r="Z27" s="1145">
        <f>Q27</f>
        <v>111</v>
      </c>
      <c r="AA27" s="1561">
        <f>D27/F27</f>
        <v>1</v>
      </c>
      <c r="AB27" s="1561">
        <f>D27/H27</f>
        <v>1</v>
      </c>
      <c r="AC27" s="1561">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6"/>
      <c r="M28" s="2118"/>
      <c r="N28" s="2118"/>
      <c r="O28" s="2125"/>
      <c r="P28" s="3473"/>
      <c r="Q28" s="1557">
        <f t="shared" si="11"/>
        <v>111</v>
      </c>
      <c r="R28" s="1558" t="s">
        <v>8</v>
      </c>
      <c r="S28" s="1559">
        <f t="shared" ref="S28:S40" si="12">F28</f>
        <v>100</v>
      </c>
      <c r="T28" s="1558" t="s">
        <v>8</v>
      </c>
      <c r="U28" s="1559">
        <f t="shared" ref="U28:U40" si="13">H28</f>
        <v>100</v>
      </c>
      <c r="V28" s="1558" t="s">
        <v>8</v>
      </c>
      <c r="W28" s="1559">
        <f t="shared" ref="W28:W40" si="14">J28</f>
        <v>100</v>
      </c>
      <c r="X28" s="1552"/>
      <c r="Y28" s="3473"/>
      <c r="Z28" s="1560">
        <f t="shared" ref="Z28:Z40" si="15">Q28</f>
        <v>111</v>
      </c>
      <c r="AA28" s="1561">
        <f t="shared" si="3"/>
        <v>1</v>
      </c>
      <c r="AB28" s="1561">
        <f t="shared" si="4"/>
        <v>1</v>
      </c>
      <c r="AC28" s="1561">
        <f t="shared" si="5"/>
        <v>1</v>
      </c>
    </row>
    <row r="29" spans="1:29" ht="15">
      <c r="A29" s="2745" t="s">
        <v>2751</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26"/>
      <c r="M29" s="2118"/>
      <c r="N29" s="2118"/>
      <c r="O29" s="2125"/>
      <c r="P29" s="3474" t="s">
        <v>550</v>
      </c>
      <c r="Q29" s="1557" t="str">
        <f t="shared" si="11"/>
        <v>建筑类型</v>
      </c>
      <c r="R29" s="1558" t="s">
        <v>8</v>
      </c>
      <c r="S29" s="1559">
        <f t="shared" si="12"/>
        <v>100</v>
      </c>
      <c r="T29" s="1558" t="s">
        <v>8</v>
      </c>
      <c r="U29" s="1559">
        <f t="shared" si="13"/>
        <v>100</v>
      </c>
      <c r="V29" s="1558" t="s">
        <v>8</v>
      </c>
      <c r="W29" s="1559">
        <f t="shared" si="14"/>
        <v>100</v>
      </c>
      <c r="X29" s="1552"/>
      <c r="Y29" s="3475" t="s">
        <v>550</v>
      </c>
      <c r="Z29" s="1560" t="str">
        <f t="shared" si="15"/>
        <v>建筑类型</v>
      </c>
      <c r="AA29" s="1561">
        <f t="shared" si="3"/>
        <v>1</v>
      </c>
      <c r="AB29" s="1561">
        <f t="shared" si="4"/>
        <v>1</v>
      </c>
      <c r="AC29" s="1561">
        <f t="shared" si="5"/>
        <v>1</v>
      </c>
    </row>
    <row r="30" spans="1:29" s="1334"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4"/>
      <c r="M30" s="2155"/>
      <c r="N30" s="2155"/>
      <c r="O30" s="2127"/>
      <c r="P30" s="3475"/>
      <c r="Q30" s="1589" t="str">
        <f t="shared" si="11"/>
        <v>项目建筑规模</v>
      </c>
      <c r="R30" s="1562" t="s">
        <v>8</v>
      </c>
      <c r="S30" s="1563" t="e">
        <f t="shared" si="12"/>
        <v>#N/A</v>
      </c>
      <c r="T30" s="1562" t="s">
        <v>8</v>
      </c>
      <c r="U30" s="1563" t="e">
        <f t="shared" si="13"/>
        <v>#N/A</v>
      </c>
      <c r="V30" s="1562" t="s">
        <v>8</v>
      </c>
      <c r="W30" s="1563" t="e">
        <f t="shared" si="14"/>
        <v>#N/A</v>
      </c>
      <c r="X30" s="1564"/>
      <c r="Y30" s="3475"/>
      <c r="Z30" s="1565" t="str">
        <f t="shared" si="15"/>
        <v>项目建筑规模</v>
      </c>
      <c r="AA30" s="1561" t="e">
        <f t="shared" si="3"/>
        <v>#N/A</v>
      </c>
      <c r="AB30" s="1561" t="e">
        <f t="shared" si="4"/>
        <v>#N/A</v>
      </c>
      <c r="AC30" s="1561"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6"/>
      <c r="M31" s="2118"/>
      <c r="N31" s="2118"/>
      <c r="O31" s="2125"/>
      <c r="P31" s="3475"/>
      <c r="Q31" s="1557" t="str">
        <f t="shared" si="11"/>
        <v>建筑结构</v>
      </c>
      <c r="R31" s="1558" t="s">
        <v>8</v>
      </c>
      <c r="S31" s="1559">
        <f t="shared" si="12"/>
        <v>100</v>
      </c>
      <c r="T31" s="1558" t="s">
        <v>8</v>
      </c>
      <c r="U31" s="1559">
        <f t="shared" si="13"/>
        <v>100</v>
      </c>
      <c r="V31" s="1558" t="s">
        <v>8</v>
      </c>
      <c r="W31" s="1559">
        <f t="shared" si="14"/>
        <v>100</v>
      </c>
      <c r="X31" s="1552"/>
      <c r="Y31" s="3475"/>
      <c r="Z31" s="1560" t="str">
        <f t="shared" si="15"/>
        <v>建筑结构</v>
      </c>
      <c r="AA31" s="1561">
        <f t="shared" si="3"/>
        <v>1</v>
      </c>
      <c r="AB31" s="1561">
        <f t="shared" si="4"/>
        <v>1</v>
      </c>
      <c r="AC31" s="1561">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6"/>
      <c r="M32" s="2118"/>
      <c r="N32" s="2118"/>
      <c r="O32" s="2125"/>
      <c r="P32" s="3475"/>
      <c r="Q32" s="1557" t="str">
        <f t="shared" si="11"/>
        <v>公共部分装修</v>
      </c>
      <c r="R32" s="1558" t="s">
        <v>8</v>
      </c>
      <c r="S32" s="1559">
        <f t="shared" si="12"/>
        <v>100</v>
      </c>
      <c r="T32" s="1558" t="s">
        <v>8</v>
      </c>
      <c r="U32" s="1559">
        <f t="shared" si="13"/>
        <v>100</v>
      </c>
      <c r="V32" s="1558" t="s">
        <v>8</v>
      </c>
      <c r="W32" s="1559">
        <f t="shared" si="14"/>
        <v>100</v>
      </c>
      <c r="X32" s="1552"/>
      <c r="Y32" s="3475"/>
      <c r="Z32" s="1560" t="str">
        <f t="shared" si="15"/>
        <v>公共部分装修</v>
      </c>
      <c r="AA32" s="1561">
        <f t="shared" si="3"/>
        <v>1</v>
      </c>
      <c r="AB32" s="1561">
        <f t="shared" si="4"/>
        <v>1</v>
      </c>
      <c r="AC32" s="1561">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6"/>
      <c r="M33" s="2118"/>
      <c r="N33" s="2118"/>
      <c r="O33" s="2125"/>
      <c r="P33" s="3475"/>
      <c r="Q33" s="1557" t="str">
        <f t="shared" si="11"/>
        <v>成新度</v>
      </c>
      <c r="R33" s="1558" t="s">
        <v>8</v>
      </c>
      <c r="S33" s="1559" t="e">
        <f t="shared" si="12"/>
        <v>#N/A</v>
      </c>
      <c r="T33" s="1558" t="s">
        <v>8</v>
      </c>
      <c r="U33" s="1559" t="e">
        <f t="shared" si="13"/>
        <v>#N/A</v>
      </c>
      <c r="V33" s="1558" t="s">
        <v>8</v>
      </c>
      <c r="W33" s="1559" t="e">
        <f t="shared" si="14"/>
        <v>#N/A</v>
      </c>
      <c r="X33" s="1552"/>
      <c r="Y33" s="3475"/>
      <c r="Z33" s="1560" t="str">
        <f t="shared" si="15"/>
        <v>成新度</v>
      </c>
      <c r="AA33" s="1561" t="e">
        <f t="shared" si="3"/>
        <v>#N/A</v>
      </c>
      <c r="AB33" s="1561" t="e">
        <f t="shared" si="4"/>
        <v>#N/A</v>
      </c>
      <c r="AC33" s="1561" t="e">
        <f t="shared" si="5"/>
        <v>#N/A</v>
      </c>
    </row>
    <row r="34" spans="1:29" s="1215"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9"/>
      <c r="M34" s="2120"/>
      <c r="N34" s="2120"/>
      <c r="O34" s="2121"/>
      <c r="P34" s="3475"/>
      <c r="Q34" s="1146" t="str">
        <f t="shared" si="11"/>
        <v>物业管理</v>
      </c>
      <c r="R34" s="1553" t="s">
        <v>8</v>
      </c>
      <c r="S34" s="1554">
        <f t="shared" si="12"/>
        <v>100</v>
      </c>
      <c r="T34" s="1553" t="s">
        <v>8</v>
      </c>
      <c r="U34" s="1554">
        <f t="shared" si="13"/>
        <v>100</v>
      </c>
      <c r="V34" s="1553" t="s">
        <v>8</v>
      </c>
      <c r="W34" s="1554">
        <f t="shared" si="14"/>
        <v>100</v>
      </c>
      <c r="X34" s="1555"/>
      <c r="Y34" s="3475"/>
      <c r="Z34" s="1145" t="str">
        <f t="shared" si="15"/>
        <v>物业管理</v>
      </c>
      <c r="AA34" s="1556">
        <f t="shared" si="3"/>
        <v>1</v>
      </c>
      <c r="AB34" s="1556">
        <f t="shared" si="4"/>
        <v>1</v>
      </c>
      <c r="AC34" s="1556">
        <f t="shared" si="5"/>
        <v>1</v>
      </c>
    </row>
    <row r="35" spans="1:29" ht="15">
      <c r="A35" s="593"/>
      <c r="B35" s="1879" t="s">
        <v>2562</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6"/>
      <c r="M35" s="2118"/>
      <c r="N35" s="2118"/>
      <c r="O35" s="2125"/>
      <c r="P35" s="3475" t="s">
        <v>550</v>
      </c>
      <c r="Q35" s="1557" t="str">
        <f t="shared" si="11"/>
        <v>市政基础设施</v>
      </c>
      <c r="R35" s="1558" t="s">
        <v>8</v>
      </c>
      <c r="S35" s="1559">
        <f t="shared" si="12"/>
        <v>100</v>
      </c>
      <c r="T35" s="1558" t="s">
        <v>8</v>
      </c>
      <c r="U35" s="1559">
        <f t="shared" si="13"/>
        <v>100</v>
      </c>
      <c r="V35" s="1558" t="s">
        <v>8</v>
      </c>
      <c r="W35" s="1559">
        <f t="shared" si="14"/>
        <v>100</v>
      </c>
      <c r="X35" s="1552"/>
      <c r="Y35" s="3475" t="s">
        <v>550</v>
      </c>
      <c r="Z35" s="1560" t="str">
        <f t="shared" si="15"/>
        <v>市政基础设施</v>
      </c>
      <c r="AA35" s="1561">
        <f t="shared" si="3"/>
        <v>1</v>
      </c>
      <c r="AB35" s="1561">
        <f t="shared" si="4"/>
        <v>1</v>
      </c>
      <c r="AC35" s="1561">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6"/>
      <c r="M36" s="2118"/>
      <c r="N36" s="2118"/>
      <c r="O36" s="2125"/>
      <c r="P36" s="3475"/>
      <c r="Q36" s="1557" t="str">
        <f t="shared" si="11"/>
        <v>内部装修</v>
      </c>
      <c r="R36" s="1558" t="s">
        <v>8</v>
      </c>
      <c r="S36" s="1559">
        <f t="shared" si="12"/>
        <v>100</v>
      </c>
      <c r="T36" s="1558" t="s">
        <v>8</v>
      </c>
      <c r="U36" s="1559">
        <f t="shared" si="13"/>
        <v>100</v>
      </c>
      <c r="V36" s="1558" t="s">
        <v>8</v>
      </c>
      <c r="W36" s="1559">
        <f t="shared" si="14"/>
        <v>100</v>
      </c>
      <c r="X36" s="1552"/>
      <c r="Y36" s="3475"/>
      <c r="Z36" s="1560" t="str">
        <f t="shared" si="15"/>
        <v>内部装修</v>
      </c>
      <c r="AA36" s="1561">
        <f t="shared" si="3"/>
        <v>1</v>
      </c>
      <c r="AB36" s="1561">
        <f t="shared" si="4"/>
        <v>1</v>
      </c>
      <c r="AC36" s="1561">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6"/>
      <c r="M37" s="2118"/>
      <c r="N37" s="2118"/>
      <c r="O37" s="2125"/>
      <c r="P37" s="3475"/>
      <c r="Q37" s="1557" t="str">
        <f t="shared" si="11"/>
        <v>内部装修状况</v>
      </c>
      <c r="R37" s="1558" t="s">
        <v>8</v>
      </c>
      <c r="S37" s="1559">
        <f t="shared" si="12"/>
        <v>100</v>
      </c>
      <c r="T37" s="1558" t="s">
        <v>8</v>
      </c>
      <c r="U37" s="1559">
        <f t="shared" si="13"/>
        <v>100</v>
      </c>
      <c r="V37" s="1558" t="s">
        <v>8</v>
      </c>
      <c r="W37" s="1559">
        <f t="shared" si="14"/>
        <v>100</v>
      </c>
      <c r="X37" s="1552"/>
      <c r="Y37" s="3475"/>
      <c r="Z37" s="1560" t="str">
        <f t="shared" si="15"/>
        <v>内部装修状况</v>
      </c>
      <c r="AA37" s="1561">
        <f t="shared" si="3"/>
        <v>1</v>
      </c>
      <c r="AB37" s="1561">
        <f t="shared" si="4"/>
        <v>1</v>
      </c>
      <c r="AC37" s="1561">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4"/>
      <c r="M38" s="2155"/>
      <c r="N38" s="2155"/>
      <c r="O38" s="2127"/>
      <c r="P38" s="3475"/>
      <c r="Q38" s="1589">
        <f t="shared" si="11"/>
        <v>111</v>
      </c>
      <c r="R38" s="1562" t="s">
        <v>8</v>
      </c>
      <c r="S38" s="1563">
        <f t="shared" si="12"/>
        <v>100</v>
      </c>
      <c r="T38" s="1562" t="s">
        <v>8</v>
      </c>
      <c r="U38" s="1563">
        <f t="shared" si="13"/>
        <v>100</v>
      </c>
      <c r="V38" s="1562" t="s">
        <v>8</v>
      </c>
      <c r="W38" s="1563">
        <f t="shared" si="14"/>
        <v>100</v>
      </c>
      <c r="X38" s="1564"/>
      <c r="Y38" s="3475"/>
      <c r="Z38" s="1565">
        <f t="shared" si="15"/>
        <v>111</v>
      </c>
      <c r="AA38" s="1561">
        <f t="shared" si="3"/>
        <v>1</v>
      </c>
      <c r="AB38" s="1561">
        <f t="shared" si="4"/>
        <v>1</v>
      </c>
      <c r="AC38" s="1561">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6"/>
      <c r="M39" s="2118"/>
      <c r="N39" s="2118"/>
      <c r="O39" s="2125"/>
      <c r="P39" s="3475"/>
      <c r="Q39" s="1557">
        <f t="shared" si="11"/>
        <v>111</v>
      </c>
      <c r="R39" s="1558" t="s">
        <v>8</v>
      </c>
      <c r="S39" s="1559">
        <f t="shared" si="12"/>
        <v>100</v>
      </c>
      <c r="T39" s="1558" t="s">
        <v>8</v>
      </c>
      <c r="U39" s="1559">
        <f t="shared" si="13"/>
        <v>100</v>
      </c>
      <c r="V39" s="1558" t="s">
        <v>8</v>
      </c>
      <c r="W39" s="1559">
        <f t="shared" si="14"/>
        <v>100</v>
      </c>
      <c r="X39" s="1552"/>
      <c r="Y39" s="3475"/>
      <c r="Z39" s="1560">
        <f t="shared" si="15"/>
        <v>111</v>
      </c>
      <c r="AA39" s="1561">
        <f t="shared" si="3"/>
        <v>1</v>
      </c>
      <c r="AB39" s="1561">
        <f t="shared" si="4"/>
        <v>1</v>
      </c>
      <c r="AC39" s="1561">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6"/>
      <c r="M40" s="2118"/>
      <c r="N40" s="2118"/>
      <c r="O40" s="2125"/>
      <c r="P40" s="3534"/>
      <c r="Q40" s="1557">
        <f t="shared" si="11"/>
        <v>111</v>
      </c>
      <c r="R40" s="1558" t="s">
        <v>8</v>
      </c>
      <c r="S40" s="1559">
        <f t="shared" si="12"/>
        <v>100</v>
      </c>
      <c r="T40" s="1558" t="s">
        <v>8</v>
      </c>
      <c r="U40" s="1559">
        <f t="shared" si="13"/>
        <v>100</v>
      </c>
      <c r="V40" s="1558" t="s">
        <v>8</v>
      </c>
      <c r="W40" s="1559">
        <f t="shared" si="14"/>
        <v>100</v>
      </c>
      <c r="X40" s="1552"/>
      <c r="Y40" s="3534"/>
      <c r="Z40" s="1560">
        <f t="shared" si="15"/>
        <v>111</v>
      </c>
      <c r="AA40" s="1561">
        <f t="shared" si="3"/>
        <v>1</v>
      </c>
      <c r="AB40" s="1561">
        <f t="shared" si="4"/>
        <v>1</v>
      </c>
      <c r="AC40" s="1561">
        <f t="shared" si="5"/>
        <v>1</v>
      </c>
    </row>
    <row r="41" spans="1:29" ht="15">
      <c r="A41" s="606" t="s">
        <v>736</v>
      </c>
      <c r="B41" s="886"/>
      <c r="C41" s="2590" t="s">
        <v>1</v>
      </c>
      <c r="D41" s="2591"/>
      <c r="E41" s="2592"/>
      <c r="F41" s="2593"/>
      <c r="G41" s="2594"/>
      <c r="H41" s="2595"/>
      <c r="I41" s="2592"/>
      <c r="J41" s="2595"/>
      <c r="K41" s="1595"/>
      <c r="L41" s="2128"/>
      <c r="M41" s="2129"/>
      <c r="N41" s="2118"/>
      <c r="O41" s="2129"/>
      <c r="P41" s="3469" t="str">
        <f>A41</f>
        <v>成交单价（元/平方米）</v>
      </c>
      <c r="Q41" s="3469"/>
      <c r="R41" s="3533">
        <f>E41</f>
        <v>0</v>
      </c>
      <c r="S41" s="3533"/>
      <c r="T41" s="3533">
        <f>G41</f>
        <v>0</v>
      </c>
      <c r="U41" s="3533"/>
      <c r="V41" s="3533">
        <f>I41</f>
        <v>0</v>
      </c>
      <c r="W41" s="3533"/>
      <c r="X41" s="1544"/>
      <c r="Y41" s="1566"/>
      <c r="Z41" s="1544"/>
      <c r="AA41" s="1544"/>
      <c r="AB41" s="1544"/>
      <c r="AC41" s="1544"/>
    </row>
    <row r="42" spans="1:29" ht="15.75" thickBot="1">
      <c r="A42" s="614" t="s">
        <v>2756</v>
      </c>
      <c r="B42" s="887"/>
      <c r="C42" s="2596" t="e">
        <f>R43</f>
        <v>#DIV/0!</v>
      </c>
      <c r="D42" s="2597"/>
      <c r="E42" s="2598" t="e">
        <f>R42</f>
        <v>#DIV/0!</v>
      </c>
      <c r="F42" s="2598"/>
      <c r="G42" s="2596" t="e">
        <f>T42</f>
        <v>#DIV/0!</v>
      </c>
      <c r="H42" s="2597"/>
      <c r="I42" s="2598" t="e">
        <f>V42</f>
        <v>#DIV/0!</v>
      </c>
      <c r="J42" s="2597"/>
      <c r="K42" s="1596"/>
      <c r="L42" s="2128"/>
      <c r="M42" s="2129"/>
      <c r="N42" s="2118"/>
      <c r="O42" s="2129"/>
      <c r="P42" s="3469" t="str">
        <f>A42</f>
        <v>比较价格（元/平方米）</v>
      </c>
      <c r="Q42" s="3469"/>
      <c r="R42" s="3533" t="e">
        <f>IF(F1="售价",ROUND(PRODUCT(R41,AA7:AA40),0),ROUND(PRODUCT(R41,AA7:AA40),1))</f>
        <v>#DIV/0!</v>
      </c>
      <c r="S42" s="3533"/>
      <c r="T42" s="3533" t="e">
        <f>IF(F1="售价",ROUND(PRODUCT(T41,AB7:AB40),0),ROUND(PRODUCT(T41,AB7:AB40),1))</f>
        <v>#DIV/0!</v>
      </c>
      <c r="U42" s="3533"/>
      <c r="V42" s="3533" t="e">
        <f>IF(F1="售价",ROUND(PRODUCT(V41,AC7:AC40),0),ROUND(PRODUCT(V41,AC7:AC40),1))</f>
        <v>#DIV/0!</v>
      </c>
      <c r="W42" s="3533"/>
      <c r="X42" s="1544"/>
      <c r="Y42" s="1544"/>
      <c r="Z42" s="1544"/>
      <c r="AA42" s="1544"/>
      <c r="AB42" s="1544"/>
      <c r="AC42" s="1544"/>
    </row>
    <row r="43" spans="1:29" ht="15.75" thickBot="1">
      <c r="A43" s="620" t="s">
        <v>2932</v>
      </c>
      <c r="B43" s="621"/>
      <c r="C43" s="2599" t="e">
        <f>R43</f>
        <v>#DIV/0!</v>
      </c>
      <c r="D43" s="2599"/>
      <c r="E43" s="2599"/>
      <c r="F43" s="2599"/>
      <c r="G43" s="2599"/>
      <c r="H43" s="2599"/>
      <c r="I43" s="2599"/>
      <c r="J43" s="2599"/>
      <c r="K43" s="1597"/>
      <c r="L43" s="2128"/>
      <c r="M43" s="2129"/>
      <c r="N43" s="2129"/>
      <c r="O43" s="2129"/>
      <c r="P43" s="3466" t="str">
        <f>A43</f>
        <v>估价对象XX用房的比较价格（楼面单价，元/平方米）</v>
      </c>
      <c r="Q43" s="3467"/>
      <c r="R43" s="3532" t="e">
        <f>IF(F1="售价",ROUND(AVERAGE(R42:V42),0),ROUND(AVERAGE(R42:V42),1))</f>
        <v>#DIV/0!</v>
      </c>
      <c r="S43" s="3532"/>
      <c r="T43" s="3532"/>
      <c r="U43" s="3532"/>
      <c r="V43" s="3532"/>
      <c r="W43" s="3532"/>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2" customFormat="1" ht="15">
      <c r="A52" s="644" t="s">
        <v>529</v>
      </c>
      <c r="B52" s="645"/>
      <c r="C52" s="2640" t="str">
        <f>YEAR(C7)&amp;"-"&amp;MONTH(C7)</f>
        <v>2020-9</v>
      </c>
      <c r="D52" s="2642">
        <f>EDATE(C52,-1)</f>
        <v>44044</v>
      </c>
      <c r="E52" s="2642">
        <f t="shared" ref="E52:O52" si="16">EDATE(D52,-1)</f>
        <v>44013</v>
      </c>
      <c r="F52" s="2642">
        <f t="shared" si="16"/>
        <v>43983</v>
      </c>
      <c r="G52" s="2642">
        <f t="shared" si="16"/>
        <v>43952</v>
      </c>
      <c r="H52" s="2642">
        <f t="shared" si="16"/>
        <v>43922</v>
      </c>
      <c r="I52" s="2642">
        <f t="shared" si="16"/>
        <v>43891</v>
      </c>
      <c r="J52" s="2642">
        <f t="shared" si="16"/>
        <v>43862</v>
      </c>
      <c r="K52" s="2642">
        <f t="shared" si="16"/>
        <v>43831</v>
      </c>
      <c r="L52" s="2642">
        <f t="shared" si="16"/>
        <v>43800</v>
      </c>
      <c r="M52" s="2642">
        <f t="shared" si="16"/>
        <v>43770</v>
      </c>
      <c r="N52" s="2642">
        <f t="shared" si="16"/>
        <v>43739</v>
      </c>
      <c r="O52" s="2642">
        <f t="shared" si="16"/>
        <v>43709</v>
      </c>
      <c r="P52" s="2144"/>
      <c r="Q52" s="2145"/>
      <c r="R52" s="2145"/>
      <c r="S52" s="2145"/>
      <c r="T52" s="2145"/>
      <c r="U52" s="2145"/>
      <c r="V52" s="2145"/>
      <c r="W52" s="2145"/>
      <c r="X52" s="2145"/>
      <c r="Y52" s="2145"/>
      <c r="Z52" s="2145"/>
      <c r="AA52" s="2145"/>
      <c r="AB52" s="2145"/>
      <c r="AC52" s="2145"/>
    </row>
    <row r="53" spans="1:29" s="1215" customFormat="1" ht="15">
      <c r="A53" s="646"/>
      <c r="B53" s="647"/>
      <c r="C53" s="648">
        <v>100</v>
      </c>
      <c r="D53" s="649"/>
      <c r="E53" s="649"/>
      <c r="F53" s="649"/>
      <c r="G53" s="649"/>
      <c r="H53" s="649"/>
      <c r="I53" s="649"/>
      <c r="J53" s="649"/>
      <c r="K53" s="649"/>
      <c r="L53" s="649"/>
      <c r="M53" s="650"/>
      <c r="N53" s="649"/>
      <c r="O53" s="651"/>
      <c r="P53" s="2142"/>
      <c r="Q53" s="1977"/>
      <c r="R53" s="1977"/>
      <c r="S53" s="1977"/>
      <c r="T53" s="1977"/>
      <c r="U53" s="1977"/>
      <c r="V53" s="1977"/>
      <c r="W53" s="1977"/>
      <c r="X53" s="1977"/>
      <c r="Y53" s="1977"/>
      <c r="Z53" s="1977"/>
      <c r="AA53" s="1977"/>
      <c r="AB53" s="1977"/>
      <c r="AC53" s="1977"/>
    </row>
    <row r="54" spans="1:29" s="1215" customFormat="1" ht="15.75" thickBot="1">
      <c r="A54" s="652" t="s">
        <v>575</v>
      </c>
      <c r="B54" s="653"/>
      <c r="C54" s="654"/>
      <c r="D54" s="655"/>
      <c r="E54" s="655"/>
      <c r="F54" s="655"/>
      <c r="G54" s="655"/>
      <c r="H54" s="655"/>
      <c r="I54" s="655"/>
      <c r="J54" s="655"/>
      <c r="K54" s="655"/>
      <c r="L54" s="655"/>
      <c r="M54" s="656"/>
      <c r="N54" s="655"/>
      <c r="O54" s="657"/>
      <c r="P54" s="2142"/>
      <c r="Q54" s="2142"/>
      <c r="R54" s="1977"/>
      <c r="S54" s="1977"/>
      <c r="T54" s="1977"/>
      <c r="U54" s="1977"/>
      <c r="V54" s="1977"/>
      <c r="W54" s="1977"/>
      <c r="X54" s="1977"/>
      <c r="Y54" s="1977"/>
      <c r="Z54" s="1977"/>
      <c r="AA54" s="1977"/>
      <c r="AB54" s="1977"/>
      <c r="AC54" s="1977"/>
    </row>
    <row r="55" spans="1:29" s="1215" customFormat="1" ht="15">
      <c r="A55" s="658" t="s">
        <v>531</v>
      </c>
      <c r="B55" s="647"/>
      <c r="C55" s="659" t="s">
        <v>576</v>
      </c>
      <c r="D55" s="660"/>
      <c r="E55" s="660"/>
      <c r="F55" s="660"/>
      <c r="G55" s="660"/>
      <c r="H55" s="660"/>
      <c r="I55" s="660"/>
      <c r="J55" s="660"/>
      <c r="K55" s="660"/>
      <c r="L55" s="661"/>
      <c r="M55" s="662"/>
      <c r="N55" s="2146"/>
      <c r="O55" s="2146"/>
      <c r="P55" s="2147"/>
      <c r="Q55" s="2142"/>
      <c r="R55" s="1977"/>
      <c r="S55" s="1977"/>
      <c r="T55" s="1977"/>
      <c r="U55" s="1977"/>
      <c r="V55" s="1977"/>
      <c r="W55" s="1977"/>
      <c r="X55" s="1977"/>
      <c r="Y55" s="1977"/>
      <c r="Z55" s="1977"/>
      <c r="AA55" s="1977"/>
      <c r="AB55" s="1977"/>
      <c r="AC55" s="1977"/>
    </row>
    <row r="56" spans="1:29" s="1215" customFormat="1" ht="15.75" thickBot="1">
      <c r="A56" s="658"/>
      <c r="B56" s="647"/>
      <c r="C56" s="648">
        <v>100</v>
      </c>
      <c r="D56" s="649"/>
      <c r="E56" s="649"/>
      <c r="F56" s="649"/>
      <c r="G56" s="649"/>
      <c r="H56" s="649"/>
      <c r="I56" s="649"/>
      <c r="J56" s="649"/>
      <c r="K56" s="649"/>
      <c r="L56" s="649"/>
      <c r="M56" s="651"/>
      <c r="N56" s="2146"/>
      <c r="O56" s="2146"/>
      <c r="P56" s="2142"/>
      <c r="Q56" s="2142"/>
      <c r="R56" s="1977"/>
      <c r="S56" s="1977"/>
      <c r="T56" s="1977"/>
      <c r="U56" s="1977"/>
      <c r="V56" s="1977"/>
      <c r="W56" s="1977"/>
      <c r="X56" s="1977"/>
      <c r="Y56" s="1977"/>
      <c r="Z56" s="1977"/>
      <c r="AA56" s="1977"/>
      <c r="AB56" s="1977"/>
      <c r="AC56" s="1977"/>
    </row>
    <row r="57" spans="1:29">
      <c r="A57" s="663" t="s">
        <v>577</v>
      </c>
      <c r="B57" s="664" t="s">
        <v>534</v>
      </c>
      <c r="C57" s="703">
        <f>C9</f>
        <v>0</v>
      </c>
      <c r="D57" s="597"/>
      <c r="E57" s="597"/>
      <c r="F57" s="597"/>
      <c r="G57" s="597"/>
      <c r="H57" s="597"/>
      <c r="I57" s="597"/>
      <c r="J57" s="597"/>
      <c r="K57" s="665"/>
      <c r="L57" s="666"/>
      <c r="M57" s="667"/>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70"/>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8"/>
      <c r="O59" s="2148"/>
      <c r="P59" s="2149"/>
      <c r="Q59" s="2142"/>
      <c r="R59" s="2129"/>
      <c r="S59" s="2129"/>
      <c r="T59" s="2129"/>
      <c r="U59" s="2129"/>
      <c r="V59" s="2129"/>
      <c r="W59" s="2129"/>
      <c r="X59" s="2129"/>
      <c r="Y59" s="2129"/>
      <c r="Z59" s="2129"/>
      <c r="AA59" s="2129"/>
      <c r="AB59" s="2129"/>
      <c r="AC59" s="2129"/>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50"/>
      <c r="O60" s="2150"/>
      <c r="P60" s="2149"/>
      <c r="Q60" s="2142"/>
      <c r="R60" s="2129"/>
      <c r="S60" s="2129"/>
      <c r="T60" s="2129"/>
      <c r="U60" s="2129"/>
      <c r="V60" s="2129"/>
      <c r="W60" s="2129"/>
      <c r="X60" s="2129"/>
      <c r="Y60" s="2129"/>
      <c r="Z60" s="2129"/>
      <c r="AA60" s="2129"/>
      <c r="AB60" s="2129"/>
      <c r="AC60" s="2129"/>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8"/>
      <c r="B62" s="682"/>
      <c r="C62" s="540"/>
      <c r="D62" s="540"/>
      <c r="E62" s="540"/>
      <c r="F62" s="540"/>
      <c r="G62" s="540"/>
      <c r="H62" s="540"/>
      <c r="I62" s="540"/>
      <c r="J62" s="540"/>
      <c r="K62" s="683"/>
      <c r="L62" s="684"/>
      <c r="M62" s="685"/>
      <c r="N62" s="2148"/>
      <c r="O62" s="2148"/>
      <c r="P62" s="2149"/>
      <c r="Q62" s="2142"/>
      <c r="R62" s="2129"/>
      <c r="S62" s="2129"/>
      <c r="T62" s="2129"/>
      <c r="U62" s="2129"/>
      <c r="V62" s="2129"/>
      <c r="W62" s="2129"/>
      <c r="X62" s="2129"/>
      <c r="Y62" s="2129"/>
      <c r="Z62" s="2129"/>
      <c r="AA62" s="2129"/>
      <c r="AB62" s="2129"/>
      <c r="AC62" s="2129"/>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0"/>
      <c r="O63" s="2150"/>
      <c r="P63" s="2149"/>
      <c r="Q63" s="2142"/>
      <c r="R63" s="2129"/>
      <c r="S63" s="2129"/>
      <c r="T63" s="2129"/>
      <c r="U63" s="2129"/>
      <c r="V63" s="2129"/>
      <c r="W63" s="2129"/>
      <c r="X63" s="2129"/>
      <c r="Y63" s="2129"/>
      <c r="Z63" s="2129"/>
      <c r="AA63" s="2129"/>
      <c r="AB63" s="2129"/>
      <c r="AC63" s="2129"/>
    </row>
    <row r="64" spans="1:29" s="1334" customFormat="1" ht="15.75" thickTop="1">
      <c r="A64" s="686"/>
      <c r="B64" s="672">
        <f>B12</f>
        <v>111</v>
      </c>
      <c r="C64" s="687"/>
      <c r="D64" s="687"/>
      <c r="E64" s="687"/>
      <c r="F64" s="687"/>
      <c r="G64" s="687"/>
      <c r="H64" s="688"/>
      <c r="I64" s="688"/>
      <c r="J64" s="688"/>
      <c r="K64" s="688"/>
      <c r="L64" s="689"/>
      <c r="M64" s="690"/>
      <c r="N64" s="2151"/>
      <c r="O64" s="2151"/>
      <c r="P64" s="2152"/>
      <c r="Q64" s="2153"/>
      <c r="R64" s="2154"/>
      <c r="S64" s="2154"/>
      <c r="T64" s="2154"/>
      <c r="U64" s="2154"/>
      <c r="V64" s="2154"/>
      <c r="W64" s="2154"/>
      <c r="X64" s="2154"/>
      <c r="Y64" s="2154"/>
      <c r="Z64" s="2154"/>
      <c r="AA64" s="2154"/>
      <c r="AB64" s="2154"/>
      <c r="AC64" s="2154"/>
    </row>
    <row r="65" spans="1:29" s="1334" customFormat="1" ht="15.75" thickBot="1">
      <c r="A65" s="686"/>
      <c r="B65" s="677"/>
      <c r="C65" s="691"/>
      <c r="D65" s="670"/>
      <c r="E65" s="670"/>
      <c r="F65" s="670"/>
      <c r="G65" s="670"/>
      <c r="H65" s="670"/>
      <c r="I65" s="670"/>
      <c r="J65" s="670"/>
      <c r="K65" s="670"/>
      <c r="L65" s="670"/>
      <c r="M65" s="671"/>
      <c r="N65" s="2150"/>
      <c r="O65" s="2150"/>
      <c r="P65" s="2152"/>
      <c r="Q65" s="2153"/>
      <c r="R65" s="2154"/>
      <c r="S65" s="2154"/>
      <c r="T65" s="2154"/>
      <c r="U65" s="2154"/>
      <c r="V65" s="2154"/>
      <c r="W65" s="2154"/>
      <c r="X65" s="2154"/>
      <c r="Y65" s="2154"/>
      <c r="Z65" s="2154"/>
      <c r="AA65" s="2154"/>
      <c r="AB65" s="2154"/>
      <c r="AC65" s="2154"/>
    </row>
    <row r="66" spans="1:29" s="1334" customFormat="1" ht="15.75" thickTop="1">
      <c r="A66" s="686"/>
      <c r="B66" s="672">
        <f>B13</f>
        <v>111</v>
      </c>
      <c r="C66" s="687"/>
      <c r="D66" s="687"/>
      <c r="E66" s="687"/>
      <c r="F66" s="687"/>
      <c r="G66" s="687"/>
      <c r="H66" s="688"/>
      <c r="I66" s="688"/>
      <c r="J66" s="688"/>
      <c r="K66" s="688"/>
      <c r="L66" s="689"/>
      <c r="M66" s="690"/>
      <c r="N66" s="2151"/>
      <c r="O66" s="2151"/>
      <c r="P66" s="2155"/>
      <c r="Q66" s="2156"/>
      <c r="R66" s="2154"/>
      <c r="S66" s="2154"/>
      <c r="T66" s="2154"/>
      <c r="U66" s="2154"/>
      <c r="V66" s="2154"/>
      <c r="W66" s="2154"/>
      <c r="X66" s="2154"/>
      <c r="Y66" s="2154"/>
      <c r="Z66" s="2154"/>
      <c r="AA66" s="2154"/>
      <c r="AB66" s="2154"/>
      <c r="AC66" s="2154"/>
    </row>
    <row r="67" spans="1:29" s="1334" customFormat="1" ht="15.75" thickBot="1">
      <c r="A67" s="686"/>
      <c r="B67" s="677"/>
      <c r="C67" s="691"/>
      <c r="D67" s="670"/>
      <c r="E67" s="670"/>
      <c r="F67" s="670"/>
      <c r="G67" s="691"/>
      <c r="H67" s="692"/>
      <c r="I67" s="692"/>
      <c r="J67" s="692"/>
      <c r="K67" s="692"/>
      <c r="L67" s="692"/>
      <c r="M67" s="693"/>
      <c r="N67" s="2151"/>
      <c r="O67" s="2151"/>
      <c r="P67" s="2152"/>
      <c r="Q67" s="2153"/>
      <c r="R67" s="2154"/>
      <c r="S67" s="2154"/>
      <c r="T67" s="2154"/>
      <c r="U67" s="2154"/>
      <c r="V67" s="2154"/>
      <c r="W67" s="2154"/>
      <c r="X67" s="2154"/>
      <c r="Y67" s="2154"/>
      <c r="Z67" s="2154"/>
      <c r="AA67" s="2154"/>
      <c r="AB67" s="2154"/>
      <c r="AC67" s="2154"/>
    </row>
    <row r="68" spans="1:29" s="1334" customFormat="1" ht="15.75" thickTop="1">
      <c r="A68" s="686"/>
      <c r="B68" s="680">
        <f>B14</f>
        <v>111</v>
      </c>
      <c r="C68" s="660"/>
      <c r="D68" s="660"/>
      <c r="E68" s="660"/>
      <c r="F68" s="660"/>
      <c r="G68" s="660"/>
      <c r="H68" s="694"/>
      <c r="I68" s="694"/>
      <c r="J68" s="694"/>
      <c r="K68" s="694"/>
      <c r="L68" s="695"/>
      <c r="M68" s="696"/>
      <c r="N68" s="2151"/>
      <c r="O68" s="2151"/>
      <c r="P68" s="2157"/>
      <c r="Q68" s="2153"/>
      <c r="R68" s="2154"/>
      <c r="S68" s="2154"/>
      <c r="T68" s="2154"/>
      <c r="U68" s="2154"/>
      <c r="V68" s="2154"/>
      <c r="W68" s="2154"/>
      <c r="X68" s="2154"/>
      <c r="Y68" s="2154"/>
      <c r="Z68" s="2154"/>
      <c r="AA68" s="2154"/>
      <c r="AB68" s="2154"/>
      <c r="AC68" s="2154"/>
    </row>
    <row r="69" spans="1:29" s="1334" customFormat="1" ht="15.75" thickBot="1">
      <c r="A69" s="697"/>
      <c r="B69" s="698"/>
      <c r="C69" s="699"/>
      <c r="D69" s="699"/>
      <c r="E69" s="699"/>
      <c r="F69" s="699"/>
      <c r="G69" s="699"/>
      <c r="H69" s="700"/>
      <c r="I69" s="700"/>
      <c r="J69" s="700"/>
      <c r="K69" s="700"/>
      <c r="L69" s="700"/>
      <c r="M69" s="701"/>
      <c r="N69" s="2151"/>
      <c r="O69" s="2151"/>
      <c r="P69" s="2152"/>
      <c r="Q69" s="2153"/>
      <c r="R69" s="2154"/>
      <c r="S69" s="2154"/>
      <c r="T69" s="2154"/>
      <c r="U69" s="2154"/>
      <c r="V69" s="2154"/>
      <c r="W69" s="2154"/>
      <c r="X69" s="2154"/>
      <c r="Y69" s="2154"/>
      <c r="Z69" s="2154"/>
      <c r="AA69" s="2154"/>
      <c r="AB69" s="2154"/>
      <c r="AC69" s="2154"/>
    </row>
    <row r="70" spans="1:29">
      <c r="A70" s="663" t="s">
        <v>539</v>
      </c>
      <c r="B70" s="664" t="s">
        <v>585</v>
      </c>
      <c r="C70" s="702" t="s">
        <v>579</v>
      </c>
      <c r="D70" s="702" t="s">
        <v>580</v>
      </c>
      <c r="E70" s="702" t="s">
        <v>581</v>
      </c>
      <c r="F70" s="702" t="s">
        <v>582</v>
      </c>
      <c r="G70" s="702" t="s">
        <v>583</v>
      </c>
      <c r="H70" s="703"/>
      <c r="I70" s="703"/>
      <c r="J70" s="703"/>
      <c r="K70" s="704"/>
      <c r="L70" s="705"/>
      <c r="M70" s="706"/>
      <c r="N70" s="2148"/>
      <c r="O70" s="2148"/>
      <c r="P70" s="2158"/>
      <c r="Q70" s="2142"/>
      <c r="R70" s="2129"/>
      <c r="S70" s="2129"/>
      <c r="T70" s="2129"/>
      <c r="U70" s="2129"/>
      <c r="V70" s="2129"/>
      <c r="W70" s="2129"/>
      <c r="X70" s="2129"/>
      <c r="Y70" s="2129"/>
      <c r="Z70" s="2129"/>
      <c r="AA70" s="2129"/>
      <c r="AB70" s="2129"/>
      <c r="AC70" s="2129"/>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0"/>
      <c r="O71" s="2150"/>
      <c r="P71" s="2149"/>
      <c r="Q71" s="2142"/>
      <c r="R71" s="2129"/>
      <c r="S71" s="2129"/>
      <c r="T71" s="2129"/>
      <c r="U71" s="2129"/>
      <c r="V71" s="2129"/>
      <c r="W71" s="2129"/>
      <c r="X71" s="2129"/>
      <c r="Y71" s="2129"/>
      <c r="Z71" s="2129"/>
      <c r="AA71" s="2129"/>
      <c r="AB71" s="2129"/>
      <c r="AC71" s="2129"/>
    </row>
    <row r="72" spans="1:29" ht="15.75" thickTop="1">
      <c r="A72" s="668"/>
      <c r="B72" s="672" t="s">
        <v>586</v>
      </c>
      <c r="C72" s="707" t="s">
        <v>579</v>
      </c>
      <c r="D72" s="707" t="s">
        <v>580</v>
      </c>
      <c r="E72" s="707" t="s">
        <v>581</v>
      </c>
      <c r="F72" s="707" t="s">
        <v>582</v>
      </c>
      <c r="G72" s="707" t="s">
        <v>583</v>
      </c>
      <c r="H72" s="673"/>
      <c r="I72" s="673"/>
      <c r="J72" s="673"/>
      <c r="K72" s="674"/>
      <c r="L72" s="675"/>
      <c r="M72" s="676"/>
      <c r="N72" s="2148"/>
      <c r="O72" s="2148"/>
      <c r="P72" s="2149"/>
      <c r="Q72" s="2142"/>
      <c r="R72" s="2129"/>
      <c r="S72" s="2129"/>
      <c r="T72" s="2129"/>
      <c r="U72" s="2129"/>
      <c r="V72" s="2129"/>
      <c r="W72" s="2129"/>
      <c r="X72" s="2129"/>
      <c r="Y72" s="2129"/>
      <c r="Z72" s="2129"/>
      <c r="AA72" s="2129"/>
      <c r="AB72" s="2129"/>
      <c r="AC72" s="2129"/>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0"/>
      <c r="O73" s="2150"/>
      <c r="P73" s="2149"/>
      <c r="Q73" s="2142"/>
      <c r="R73" s="2129"/>
      <c r="S73" s="2129"/>
      <c r="T73" s="2129"/>
      <c r="U73" s="2129"/>
      <c r="V73" s="2129"/>
      <c r="W73" s="2129"/>
      <c r="X73" s="2129"/>
      <c r="Y73" s="2129"/>
      <c r="Z73" s="2129"/>
      <c r="AA73" s="2129"/>
      <c r="AB73" s="2129"/>
      <c r="AC73" s="2129"/>
    </row>
    <row r="74" spans="1:29" ht="15.75" thickTop="1">
      <c r="A74" s="668"/>
      <c r="B74" s="1880" t="s">
        <v>2554</v>
      </c>
      <c r="C74" s="707" t="s">
        <v>579</v>
      </c>
      <c r="D74" s="707" t="s">
        <v>580</v>
      </c>
      <c r="E74" s="707" t="s">
        <v>581</v>
      </c>
      <c r="F74" s="707" t="s">
        <v>582</v>
      </c>
      <c r="G74" s="707" t="s">
        <v>583</v>
      </c>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2560" t="s">
        <v>2555</v>
      </c>
      <c r="C76" s="2561" t="s">
        <v>2556</v>
      </c>
      <c r="D76" s="2561" t="s">
        <v>2557</v>
      </c>
      <c r="E76" s="2561" t="s">
        <v>2558</v>
      </c>
      <c r="F76" s="2561" t="s">
        <v>2559</v>
      </c>
      <c r="G76" s="2561" t="s">
        <v>2560</v>
      </c>
      <c r="H76" s="934"/>
      <c r="I76" s="934"/>
      <c r="J76" s="934"/>
      <c r="K76" s="934"/>
      <c r="L76" s="934"/>
      <c r="M76" s="558"/>
      <c r="N76" s="2150"/>
      <c r="O76" s="2150"/>
      <c r="P76" s="2149"/>
      <c r="Q76" s="2142"/>
      <c r="R76" s="2129"/>
      <c r="S76" s="2129"/>
      <c r="T76" s="2129"/>
      <c r="U76" s="2129"/>
      <c r="V76" s="2129"/>
      <c r="W76" s="2129"/>
      <c r="X76" s="2129"/>
      <c r="Y76" s="2129"/>
      <c r="Z76" s="2129"/>
      <c r="AA76" s="2129"/>
      <c r="AB76" s="2129"/>
      <c r="AC76" s="2129"/>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784</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s="1215" customFormat="1" ht="15.75" thickTop="1">
      <c r="A80" s="708"/>
      <c r="B80" s="672">
        <f>B25</f>
        <v>111</v>
      </c>
      <c r="C80" s="687"/>
      <c r="D80" s="687"/>
      <c r="E80" s="687"/>
      <c r="F80" s="687"/>
      <c r="G80" s="687"/>
      <c r="H80" s="687"/>
      <c r="I80" s="687"/>
      <c r="J80" s="687"/>
      <c r="K80" s="687"/>
      <c r="L80" s="889"/>
      <c r="M80" s="890"/>
      <c r="N80" s="2146"/>
      <c r="O80" s="2146"/>
      <c r="P80" s="2149"/>
      <c r="Q80" s="2142"/>
      <c r="R80" s="1977"/>
      <c r="S80" s="1977"/>
      <c r="T80" s="1977"/>
      <c r="U80" s="1977"/>
      <c r="V80" s="1977"/>
      <c r="W80" s="1977"/>
      <c r="X80" s="1977"/>
      <c r="Y80" s="1977"/>
      <c r="Z80" s="1977"/>
      <c r="AA80" s="1977"/>
      <c r="AB80" s="1977"/>
      <c r="AC80" s="1977"/>
    </row>
    <row r="81" spans="1:29" s="1215" customFormat="1" ht="15.75" thickBot="1">
      <c r="A81" s="708"/>
      <c r="B81" s="677"/>
      <c r="C81" s="691"/>
      <c r="D81" s="670"/>
      <c r="E81" s="670"/>
      <c r="F81" s="670"/>
      <c r="G81" s="670"/>
      <c r="H81" s="670"/>
      <c r="I81" s="670"/>
      <c r="J81" s="670"/>
      <c r="K81" s="670"/>
      <c r="L81" s="670"/>
      <c r="M81" s="671"/>
      <c r="N81" s="2150"/>
      <c r="O81" s="2150"/>
      <c r="P81" s="2149"/>
      <c r="Q81" s="2142"/>
      <c r="R81" s="1977"/>
      <c r="S81" s="1977"/>
      <c r="T81" s="1977"/>
      <c r="U81" s="1977"/>
      <c r="V81" s="1977"/>
      <c r="W81" s="1977"/>
      <c r="X81" s="1977"/>
      <c r="Y81" s="1977"/>
      <c r="Z81" s="1977"/>
      <c r="AA81" s="1977"/>
      <c r="AB81" s="1977"/>
      <c r="AC81" s="1977"/>
    </row>
    <row r="82" spans="1:29" s="1215" customFormat="1" ht="15.75" thickTop="1">
      <c r="A82" s="708"/>
      <c r="B82" s="672">
        <f>B26</f>
        <v>111</v>
      </c>
      <c r="C82" s="687"/>
      <c r="D82" s="687"/>
      <c r="E82" s="687"/>
      <c r="F82" s="687"/>
      <c r="G82" s="687"/>
      <c r="H82" s="687"/>
      <c r="I82" s="687"/>
      <c r="J82" s="687"/>
      <c r="K82" s="687"/>
      <c r="L82" s="889"/>
      <c r="M82" s="890"/>
      <c r="N82" s="2146"/>
      <c r="O82" s="2146"/>
      <c r="P82" s="2149"/>
      <c r="Q82" s="2142"/>
      <c r="R82" s="1977"/>
      <c r="S82" s="1977"/>
      <c r="T82" s="1977"/>
      <c r="U82" s="1977"/>
      <c r="V82" s="1977"/>
      <c r="W82" s="1977"/>
      <c r="X82" s="1977"/>
      <c r="Y82" s="1977"/>
      <c r="Z82" s="1977"/>
      <c r="AA82" s="1977"/>
      <c r="AB82" s="1977"/>
      <c r="AC82" s="1977"/>
    </row>
    <row r="83" spans="1:29" s="1215" customFormat="1" ht="15.75" thickBot="1">
      <c r="A83" s="708"/>
      <c r="B83" s="677"/>
      <c r="C83" s="691"/>
      <c r="D83" s="670"/>
      <c r="E83" s="670"/>
      <c r="F83" s="670"/>
      <c r="G83" s="670"/>
      <c r="H83" s="670"/>
      <c r="I83" s="670"/>
      <c r="J83" s="670"/>
      <c r="K83" s="670"/>
      <c r="L83" s="670"/>
      <c r="M83" s="671"/>
      <c r="N83" s="2150"/>
      <c r="O83" s="2150"/>
      <c r="P83" s="2149"/>
      <c r="Q83" s="2142"/>
      <c r="R83" s="1977"/>
      <c r="S83" s="1977"/>
      <c r="T83" s="1977"/>
      <c r="U83" s="1977"/>
      <c r="V83" s="1977"/>
      <c r="W83" s="1977"/>
      <c r="X83" s="1977"/>
      <c r="Y83" s="1977"/>
      <c r="Z83" s="1977"/>
      <c r="AA83" s="1977"/>
      <c r="AB83" s="1977"/>
      <c r="AC83" s="1977"/>
    </row>
    <row r="84" spans="1:29" s="1334" customFormat="1" ht="15.75" thickTop="1">
      <c r="A84" s="686"/>
      <c r="B84" s="672">
        <f>B27</f>
        <v>111</v>
      </c>
      <c r="C84" s="687"/>
      <c r="D84" s="687"/>
      <c r="E84" s="687"/>
      <c r="F84" s="687"/>
      <c r="G84" s="687"/>
      <c r="H84" s="687"/>
      <c r="I84" s="687"/>
      <c r="J84" s="687"/>
      <c r="K84" s="687"/>
      <c r="L84" s="889"/>
      <c r="M84" s="8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c r="D85" s="670"/>
      <c r="E85" s="670"/>
      <c r="F85" s="670"/>
      <c r="G85" s="670"/>
      <c r="H85" s="670"/>
      <c r="I85" s="670"/>
      <c r="J85" s="670"/>
      <c r="K85" s="670"/>
      <c r="L85" s="670"/>
      <c r="M85" s="671"/>
      <c r="N85" s="2151"/>
      <c r="O85" s="2151"/>
      <c r="P85" s="2152"/>
      <c r="Q85" s="2153"/>
      <c r="R85" s="2154"/>
      <c r="S85" s="2154"/>
      <c r="T85" s="2154"/>
      <c r="U85" s="2154"/>
      <c r="V85" s="2154"/>
      <c r="W85" s="2154"/>
      <c r="X85" s="2154"/>
      <c r="Y85" s="2154"/>
      <c r="Z85" s="2154"/>
      <c r="AA85" s="2154"/>
      <c r="AB85" s="2154"/>
      <c r="AC85" s="2154"/>
    </row>
    <row r="86" spans="1:29" ht="15.75" thickTop="1">
      <c r="A86" s="668"/>
      <c r="B86" s="680">
        <f>B28</f>
        <v>111</v>
      </c>
      <c r="C86" s="660"/>
      <c r="D86" s="660"/>
      <c r="E86" s="660"/>
      <c r="F86" s="660"/>
      <c r="G86" s="721"/>
      <c r="H86" s="721"/>
      <c r="I86" s="721"/>
      <c r="J86" s="721"/>
      <c r="K86" s="722"/>
      <c r="L86" s="723"/>
      <c r="M86" s="724"/>
      <c r="N86" s="2148"/>
      <c r="O86" s="2148"/>
      <c r="P86" s="2149"/>
      <c r="Q86" s="2142"/>
      <c r="R86" s="2129"/>
      <c r="S86" s="2129"/>
      <c r="T86" s="2129"/>
      <c r="U86" s="2129"/>
      <c r="V86" s="2129"/>
      <c r="W86" s="2129"/>
      <c r="X86" s="2129"/>
      <c r="Y86" s="2129"/>
      <c r="Z86" s="2129"/>
      <c r="AA86" s="2129"/>
      <c r="AB86" s="2129"/>
      <c r="AC86" s="2129"/>
    </row>
    <row r="87" spans="1:29" ht="15.75" thickBot="1">
      <c r="A87" s="892"/>
      <c r="B87" s="698"/>
      <c r="C87" s="699"/>
      <c r="D87" s="699"/>
      <c r="E87" s="699"/>
      <c r="F87" s="699"/>
      <c r="G87" s="725"/>
      <c r="H87" s="725"/>
      <c r="I87" s="725"/>
      <c r="J87" s="725"/>
      <c r="K87" s="725"/>
      <c r="L87" s="725"/>
      <c r="M87" s="726"/>
      <c r="N87" s="2150"/>
      <c r="O87" s="2150"/>
      <c r="P87" s="2149"/>
      <c r="Q87" s="2142"/>
      <c r="R87" s="2129"/>
      <c r="S87" s="2129"/>
      <c r="T87" s="2129"/>
      <c r="U87" s="2129"/>
      <c r="V87" s="2129"/>
      <c r="W87" s="2129"/>
      <c r="X87" s="2129"/>
      <c r="Y87" s="2129"/>
      <c r="Z87" s="2129"/>
      <c r="AA87" s="2129"/>
      <c r="AB87" s="2129"/>
      <c r="AC87" s="2129"/>
    </row>
    <row r="88" spans="1:29">
      <c r="A88" s="663" t="s">
        <v>551</v>
      </c>
      <c r="B88" s="664" t="s">
        <v>747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7"/>
      <c r="B91" s="728"/>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0"/>
      <c r="O92" s="2150"/>
      <c r="P92" s="2152"/>
      <c r="Q92" s="2153"/>
      <c r="R92" s="2154"/>
      <c r="S92" s="2154"/>
      <c r="T92" s="2154"/>
      <c r="U92" s="2154"/>
      <c r="V92" s="2154"/>
      <c r="W92" s="2154"/>
      <c r="X92" s="2154"/>
      <c r="Y92" s="2154"/>
      <c r="Z92" s="2154"/>
      <c r="AA92" s="2154"/>
      <c r="AB92" s="2154"/>
      <c r="AC92" s="2154"/>
    </row>
    <row r="93" spans="1:29" ht="15" thickTop="1">
      <c r="A93" s="734"/>
      <c r="B93" s="672" t="s">
        <v>749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751</v>
      </c>
      <c r="C95" s="687"/>
      <c r="D95" s="687"/>
      <c r="E95" s="687"/>
      <c r="F95" s="717"/>
      <c r="G95" s="717"/>
      <c r="H95" s="717"/>
      <c r="I95" s="717"/>
      <c r="J95" s="717"/>
      <c r="K95" s="718"/>
      <c r="L95" s="719"/>
      <c r="M95" s="720"/>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8"/>
      <c r="O97" s="2148"/>
      <c r="P97" s="2149"/>
      <c r="Q97" s="2142"/>
      <c r="R97" s="2129"/>
      <c r="S97" s="2129"/>
      <c r="T97" s="2129"/>
      <c r="U97" s="2129"/>
      <c r="V97" s="2129"/>
      <c r="W97" s="2129"/>
      <c r="X97" s="2129"/>
      <c r="Y97" s="2129"/>
      <c r="Z97" s="2129"/>
      <c r="AA97" s="2129"/>
      <c r="AB97" s="2129"/>
      <c r="AC97" s="2129"/>
    </row>
    <row r="98" spans="1:29">
      <c r="A98" s="734"/>
      <c r="B98" s="680"/>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7"/>
      <c r="B100" s="672" t="s">
        <v>753</v>
      </c>
      <c r="C100" s="687"/>
      <c r="D100" s="687"/>
      <c r="E100" s="687"/>
      <c r="F100" s="687"/>
      <c r="G100" s="687"/>
      <c r="H100" s="717"/>
      <c r="I100" s="717"/>
      <c r="J100" s="717"/>
      <c r="K100" s="718"/>
      <c r="L100" s="719"/>
      <c r="M100" s="720"/>
      <c r="N100" s="2151"/>
      <c r="O100" s="2151"/>
      <c r="P100" s="2152"/>
      <c r="Q100" s="2153"/>
      <c r="R100" s="2154"/>
      <c r="S100" s="2154"/>
      <c r="T100" s="2154"/>
      <c r="U100" s="2154"/>
      <c r="V100" s="2154"/>
      <c r="W100" s="2154"/>
      <c r="X100" s="2154"/>
      <c r="Y100" s="2154"/>
      <c r="Z100" s="2154"/>
      <c r="AA100" s="2154"/>
      <c r="AB100" s="2154"/>
      <c r="AC100" s="2154"/>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4"/>
      <c r="B102" s="1880" t="s">
        <v>2553</v>
      </c>
      <c r="C102" s="687"/>
      <c r="D102" s="687"/>
      <c r="E102" s="687"/>
      <c r="F102" s="687"/>
      <c r="G102" s="687"/>
      <c r="H102" s="717"/>
      <c r="I102" s="717"/>
      <c r="J102" s="717"/>
      <c r="K102" s="718"/>
      <c r="L102" s="719"/>
      <c r="M102" s="720"/>
      <c r="N102" s="2148"/>
      <c r="O102" s="2148"/>
      <c r="P102" s="2149"/>
      <c r="Q102" s="2142"/>
      <c r="R102" s="2129"/>
      <c r="S102" s="2129"/>
      <c r="T102" s="2129"/>
      <c r="U102" s="2129"/>
      <c r="V102" s="2129"/>
      <c r="W102" s="2129"/>
      <c r="X102" s="2129"/>
      <c r="Y102" s="2129"/>
      <c r="Z102" s="2129"/>
      <c r="AA102" s="2129"/>
      <c r="AB102" s="2129"/>
      <c r="AC102" s="2129"/>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4"/>
      <c r="B104" s="672" t="s">
        <v>755</v>
      </c>
      <c r="C104" s="687"/>
      <c r="D104" s="687"/>
      <c r="E104" s="687"/>
      <c r="F104" s="687"/>
      <c r="G104" s="687"/>
      <c r="H104" s="717"/>
      <c r="I104" s="717"/>
      <c r="J104" s="717"/>
      <c r="K104" s="718"/>
      <c r="L104" s="719"/>
      <c r="M104" s="720"/>
      <c r="N104" s="2148"/>
      <c r="O104" s="2148"/>
      <c r="P104" s="2149"/>
      <c r="Q104" s="2142"/>
      <c r="R104" s="2129"/>
      <c r="S104" s="2129"/>
      <c r="T104" s="2129"/>
      <c r="U104" s="2129"/>
      <c r="V104" s="2129"/>
      <c r="W104" s="2129"/>
      <c r="X104" s="2129"/>
      <c r="Y104" s="2129"/>
      <c r="Z104" s="2129"/>
      <c r="AA104" s="2129"/>
      <c r="AB104" s="2129"/>
      <c r="AC104" s="2129"/>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0"/>
      <c r="O105" s="2150"/>
      <c r="P105" s="2149"/>
      <c r="Q105" s="2142"/>
      <c r="R105" s="2129"/>
      <c r="S105" s="2129"/>
      <c r="T105" s="2129"/>
      <c r="U105" s="2129"/>
      <c r="V105" s="2129"/>
      <c r="W105" s="2129"/>
      <c r="X105" s="2129"/>
      <c r="Y105" s="2129"/>
      <c r="Z105" s="2129"/>
      <c r="AA105" s="2129"/>
      <c r="AB105" s="2129"/>
      <c r="AC105" s="2129"/>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50"/>
      <c r="O106" s="2150"/>
      <c r="P106" s="2189"/>
      <c r="Q106" s="2190"/>
      <c r="R106" s="2129"/>
      <c r="S106" s="2129"/>
      <c r="T106" s="2129"/>
      <c r="U106" s="2129"/>
      <c r="V106" s="2129"/>
      <c r="W106" s="2129"/>
      <c r="X106" s="2129"/>
      <c r="Y106" s="2129"/>
      <c r="Z106" s="2129"/>
      <c r="AA106" s="2129"/>
      <c r="AB106" s="2129"/>
      <c r="AC106" s="2129"/>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5" thickTop="1">
      <c r="A108" s="727"/>
      <c r="B108" s="672">
        <f>B38</f>
        <v>111</v>
      </c>
      <c r="C108" s="687"/>
      <c r="D108" s="687"/>
      <c r="E108" s="687"/>
      <c r="F108" s="687"/>
      <c r="G108" s="687"/>
      <c r="H108" s="688"/>
      <c r="I108" s="688"/>
      <c r="J108" s="688"/>
      <c r="K108" s="688"/>
      <c r="L108" s="689"/>
      <c r="M108" s="690"/>
      <c r="N108" s="2151"/>
      <c r="O108" s="2151"/>
      <c r="P108" s="2152"/>
      <c r="Q108" s="2153"/>
      <c r="R108" s="2154"/>
      <c r="S108" s="2154"/>
      <c r="T108" s="2154"/>
      <c r="U108" s="2154"/>
      <c r="V108" s="2154"/>
      <c r="W108" s="2154"/>
      <c r="X108" s="2154"/>
      <c r="Y108" s="2154"/>
      <c r="Z108" s="2154"/>
      <c r="AA108" s="2154"/>
      <c r="AB108" s="2154"/>
      <c r="AC108" s="2154"/>
    </row>
    <row r="109" spans="1:29" s="1334" customFormat="1" ht="15.75" thickBot="1">
      <c r="A109" s="686"/>
      <c r="B109" s="669"/>
      <c r="C109" s="691"/>
      <c r="D109" s="670"/>
      <c r="E109" s="670"/>
      <c r="F109" s="670"/>
      <c r="G109" s="691"/>
      <c r="H109" s="692"/>
      <c r="I109" s="692"/>
      <c r="J109" s="692"/>
      <c r="K109" s="692"/>
      <c r="L109" s="692"/>
      <c r="M109" s="693"/>
      <c r="N109" s="2151"/>
      <c r="O109" s="2151"/>
      <c r="P109" s="2152"/>
      <c r="Q109" s="2153"/>
      <c r="R109" s="2154"/>
      <c r="S109" s="2154"/>
      <c r="T109" s="2154"/>
      <c r="U109" s="2154"/>
      <c r="V109" s="2154"/>
      <c r="W109" s="2154"/>
      <c r="X109" s="2154"/>
      <c r="Y109" s="2154"/>
      <c r="Z109" s="2154"/>
      <c r="AA109" s="2154"/>
      <c r="AB109" s="2154"/>
      <c r="AC109" s="2154"/>
    </row>
    <row r="110" spans="1:29" ht="15" thickTop="1">
      <c r="A110" s="734"/>
      <c r="B110" s="672">
        <f>B39</f>
        <v>111</v>
      </c>
      <c r="C110" s="687"/>
      <c r="D110" s="687"/>
      <c r="E110" s="687"/>
      <c r="F110" s="687"/>
      <c r="G110" s="687"/>
      <c r="H110" s="688"/>
      <c r="I110" s="688"/>
      <c r="J110" s="688"/>
      <c r="K110" s="688"/>
      <c r="L110" s="689"/>
      <c r="M110" s="69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1"/>
      <c r="D111" s="670"/>
      <c r="E111" s="670"/>
      <c r="F111" s="670"/>
      <c r="G111" s="691"/>
      <c r="H111" s="692"/>
      <c r="I111" s="692"/>
      <c r="J111" s="692"/>
      <c r="K111" s="692"/>
      <c r="L111" s="692"/>
      <c r="M111" s="693"/>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80">
        <f>B40</f>
        <v>111</v>
      </c>
      <c r="C112" s="660"/>
      <c r="D112" s="660"/>
      <c r="E112" s="660"/>
      <c r="F112" s="660"/>
      <c r="G112" s="721"/>
      <c r="H112" s="721"/>
      <c r="I112" s="721"/>
      <c r="J112" s="721"/>
      <c r="K112" s="660"/>
      <c r="L112" s="661"/>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892"/>
      <c r="B113" s="698"/>
      <c r="C113" s="699"/>
      <c r="D113" s="699"/>
      <c r="E113" s="699"/>
      <c r="F113" s="699"/>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645"/>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795</v>
      </c>
      <c r="B3" s="509" t="e">
        <f>IF(B37="元/平方米",C39,ROUND(B2*10000/D3,0))</f>
        <v>#DIV/0!</v>
      </c>
      <c r="C3" s="851" t="s">
        <v>796</v>
      </c>
      <c r="D3" s="850">
        <f>SUMIF('数据-汇总表'!$C19:$C33,D1,'数据-汇总表'!$E19:$E33)</f>
        <v>0</v>
      </c>
      <c r="E3" s="1832" t="s">
        <v>2074</v>
      </c>
      <c r="F3" s="850">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3481" t="s">
        <v>798</v>
      </c>
      <c r="D4" s="3482"/>
      <c r="E4" s="3481" t="s">
        <v>799</v>
      </c>
      <c r="F4" s="3482"/>
      <c r="G4" s="3481" t="s">
        <v>800</v>
      </c>
      <c r="H4" s="3482"/>
      <c r="I4" s="3481" t="s">
        <v>801</v>
      </c>
      <c r="J4" s="3482"/>
      <c r="K4" s="513" t="s">
        <v>802</v>
      </c>
      <c r="L4" s="2117"/>
      <c r="M4" s="2118"/>
      <c r="N4" s="2118"/>
      <c r="O4" s="2118"/>
      <c r="P4" s="3485" t="s">
        <v>803</v>
      </c>
      <c r="Q4" s="3486"/>
      <c r="R4" s="3491" t="s">
        <v>799</v>
      </c>
      <c r="S4" s="3492"/>
      <c r="T4" s="3491" t="s">
        <v>800</v>
      </c>
      <c r="U4" s="3492"/>
      <c r="V4" s="3471" t="s">
        <v>801</v>
      </c>
      <c r="W4" s="3471"/>
      <c r="X4" s="1552"/>
      <c r="Y4" s="3491" t="s">
        <v>803</v>
      </c>
      <c r="Z4" s="3492"/>
      <c r="AA4" s="3478" t="s">
        <v>799</v>
      </c>
      <c r="AB4" s="3479" t="s">
        <v>800</v>
      </c>
      <c r="AC4" s="3478" t="s">
        <v>801</v>
      </c>
    </row>
    <row r="5" spans="1:29" ht="15">
      <c r="A5" s="514"/>
      <c r="B5" s="515"/>
      <c r="C5" s="3499" t="s">
        <v>2926</v>
      </c>
      <c r="D5" s="3500"/>
      <c r="E5" s="3499" t="s">
        <v>2927</v>
      </c>
      <c r="F5" s="3500"/>
      <c r="G5" s="3499" t="s">
        <v>2928</v>
      </c>
      <c r="H5" s="3500"/>
      <c r="I5" s="3499" t="s">
        <v>2929</v>
      </c>
      <c r="J5" s="3500"/>
      <c r="K5" s="513"/>
      <c r="L5" s="2117"/>
      <c r="M5" s="2118"/>
      <c r="N5" s="2118"/>
      <c r="O5" s="2118"/>
      <c r="P5" s="3487"/>
      <c r="Q5" s="3488"/>
      <c r="R5" s="3493"/>
      <c r="S5" s="3494"/>
      <c r="T5" s="3493"/>
      <c r="U5" s="3494"/>
      <c r="V5" s="3471"/>
      <c r="W5" s="3471"/>
      <c r="X5" s="1552"/>
      <c r="Y5" s="3493"/>
      <c r="Z5" s="3494"/>
      <c r="AA5" s="3479"/>
      <c r="AB5" s="3479"/>
      <c r="AC5" s="3479"/>
    </row>
    <row r="6" spans="1:29" ht="15.75" thickBot="1">
      <c r="A6" s="516"/>
      <c r="B6" s="517"/>
      <c r="C6" s="3501" t="s">
        <v>2930</v>
      </c>
      <c r="D6" s="3502"/>
      <c r="E6" s="3551" t="s">
        <v>2930</v>
      </c>
      <c r="F6" s="3552"/>
      <c r="G6" s="3501" t="s">
        <v>2930</v>
      </c>
      <c r="H6" s="3502"/>
      <c r="I6" s="3501" t="s">
        <v>2930</v>
      </c>
      <c r="J6" s="3502"/>
      <c r="K6" s="513" t="s">
        <v>528</v>
      </c>
      <c r="L6" s="2117"/>
      <c r="M6" s="2118"/>
      <c r="N6" s="2118"/>
      <c r="O6" s="2118"/>
      <c r="P6" s="3489"/>
      <c r="Q6" s="3490"/>
      <c r="R6" s="3493"/>
      <c r="S6" s="3494"/>
      <c r="T6" s="3495"/>
      <c r="U6" s="3496"/>
      <c r="V6" s="3471"/>
      <c r="W6" s="3471"/>
      <c r="X6" s="1552"/>
      <c r="Y6" s="3495"/>
      <c r="Z6" s="3496"/>
      <c r="AA6" s="3480"/>
      <c r="AB6" s="3480"/>
      <c r="AC6" s="3480"/>
    </row>
    <row r="7" spans="1:29" s="1215" customFormat="1" ht="15.75" thickBot="1">
      <c r="A7" s="2750"/>
      <c r="B7" s="2757" t="s">
        <v>529</v>
      </c>
      <c r="C7" s="518">
        <f>'数据-取费表'!B2</f>
        <v>44078</v>
      </c>
      <c r="D7" s="519">
        <v>100</v>
      </c>
      <c r="E7" s="520"/>
      <c r="F7" s="521">
        <f>SUMIF(48:48,YEAR(E7)&amp;"-"&amp;MONTH(E7),49:49)</f>
        <v>0</v>
      </c>
      <c r="G7" s="522"/>
      <c r="H7" s="519">
        <f>SUMIF(48:48,YEAR(G7)&amp;"-"&amp;MONTH(G7),49:49)</f>
        <v>0</v>
      </c>
      <c r="I7" s="522"/>
      <c r="J7" s="519">
        <f>SUMIF(48:48,YEAR(I7)&amp;"-"&amp;MONTH(I7),49:49)</f>
        <v>0</v>
      </c>
      <c r="K7" s="523"/>
      <c r="L7" s="2119"/>
      <c r="M7" s="2120"/>
      <c r="N7" s="2120"/>
      <c r="O7" s="2120"/>
      <c r="P7" s="3476" t="s">
        <v>530</v>
      </c>
      <c r="Q7" s="3503"/>
      <c r="R7" s="1553" t="s">
        <v>8</v>
      </c>
      <c r="S7" s="1554">
        <f t="shared" ref="S7:S14" si="0">F7</f>
        <v>0</v>
      </c>
      <c r="T7" s="1553" t="s">
        <v>8</v>
      </c>
      <c r="U7" s="1554">
        <f t="shared" ref="U7:U14" si="1">H7</f>
        <v>0</v>
      </c>
      <c r="V7" s="1553" t="s">
        <v>8</v>
      </c>
      <c r="W7" s="1554">
        <f t="shared" ref="W7:W14" si="2">J7</f>
        <v>0</v>
      </c>
      <c r="X7" s="1555"/>
      <c r="Y7" s="3476" t="s">
        <v>530</v>
      </c>
      <c r="Z7" s="3477"/>
      <c r="AA7" s="1556" t="e">
        <f>D7/F7</f>
        <v>#DIV/0!</v>
      </c>
      <c r="AB7" s="1556" t="e">
        <f>D7/H7</f>
        <v>#DIV/0!</v>
      </c>
      <c r="AC7" s="1556" t="e">
        <f>D7/J7</f>
        <v>#DIV/0!</v>
      </c>
    </row>
    <row r="8" spans="1:29" s="1215" customFormat="1" ht="15.75" thickBot="1">
      <c r="A8" s="2751"/>
      <c r="B8" s="2758" t="s">
        <v>531</v>
      </c>
      <c r="C8" s="524" t="s">
        <v>576</v>
      </c>
      <c r="D8" s="519">
        <v>100</v>
      </c>
      <c r="E8" s="524"/>
      <c r="F8" s="521">
        <f>SUMIF(51:51,E8,52:52)-SUMIF(51:51,C8,52:52)+100</f>
        <v>0</v>
      </c>
      <c r="G8" s="524"/>
      <c r="H8" s="519">
        <f>SUMIF(51:51,G8,52:52)-SUMIF(51:51,C8,52:52)+100</f>
        <v>0</v>
      </c>
      <c r="I8" s="524"/>
      <c r="J8" s="519">
        <f>SUMIF(51:51,I8,52:52)-SUMIF(51:51,C8,52:52)+100</f>
        <v>0</v>
      </c>
      <c r="K8" s="523"/>
      <c r="L8" s="2119"/>
      <c r="M8" s="2120"/>
      <c r="N8" s="2120"/>
      <c r="O8" s="2120"/>
      <c r="P8" s="3476" t="s">
        <v>533</v>
      </c>
      <c r="Q8" s="3477"/>
      <c r="R8" s="1553" t="s">
        <v>8</v>
      </c>
      <c r="S8" s="1554">
        <f t="shared" si="0"/>
        <v>0</v>
      </c>
      <c r="T8" s="1553" t="s">
        <v>8</v>
      </c>
      <c r="U8" s="1554">
        <f t="shared" si="1"/>
        <v>0</v>
      </c>
      <c r="V8" s="1553" t="s">
        <v>8</v>
      </c>
      <c r="W8" s="1554">
        <f t="shared" si="2"/>
        <v>0</v>
      </c>
      <c r="X8" s="1555"/>
      <c r="Y8" s="3476" t="s">
        <v>533</v>
      </c>
      <c r="Z8" s="3477"/>
      <c r="AA8" s="1556" t="e">
        <f t="shared" ref="AA8:AA36" si="3">D8/F8</f>
        <v>#DIV/0!</v>
      </c>
      <c r="AB8" s="1556" t="e">
        <f t="shared" ref="AB8:AB36" si="4">D8/H8</f>
        <v>#DIV/0!</v>
      </c>
      <c r="AC8" s="1556" t="e">
        <f t="shared" ref="AC8:AC36" si="5">D8/J8</f>
        <v>#DIV/0!</v>
      </c>
    </row>
    <row r="9" spans="1:29" s="1215" customFormat="1" ht="15">
      <c r="A9" s="2752"/>
      <c r="B9" s="2759" t="s">
        <v>2752</v>
      </c>
      <c r="C9" s="856"/>
      <c r="D9" s="253">
        <v>100</v>
      </c>
      <c r="E9" s="859"/>
      <c r="F9" s="253">
        <f>SUMIF(53:53,E9,54:54)-SUMIF(53:53,C9,54:54)+100</f>
        <v>100</v>
      </c>
      <c r="G9" s="857"/>
      <c r="H9" s="253">
        <f>SUMIF(53:53,G9,54:54)-SUMIF(53:53,C9,54:54)+100</f>
        <v>100</v>
      </c>
      <c r="I9" s="857"/>
      <c r="J9" s="253">
        <f>SUMIF(53:53,I9,54:54)-SUMIF(53:53,C9,54:54)+100</f>
        <v>100</v>
      </c>
      <c r="K9" s="523"/>
      <c r="L9" s="2119"/>
      <c r="M9" s="2120"/>
      <c r="N9" s="2120"/>
      <c r="O9" s="2121"/>
      <c r="P9" s="3469" t="s">
        <v>535</v>
      </c>
      <c r="Q9" s="1146" t="str">
        <f t="shared" ref="Q9:Q14" si="6">B9</f>
        <v>用途</v>
      </c>
      <c r="R9" s="1553" t="s">
        <v>8</v>
      </c>
      <c r="S9" s="1554">
        <f t="shared" si="0"/>
        <v>100</v>
      </c>
      <c r="T9" s="1553" t="s">
        <v>8</v>
      </c>
      <c r="U9" s="1554">
        <f t="shared" si="1"/>
        <v>100</v>
      </c>
      <c r="V9" s="1553" t="s">
        <v>8</v>
      </c>
      <c r="W9" s="1554">
        <f t="shared" si="2"/>
        <v>100</v>
      </c>
      <c r="X9" s="1555"/>
      <c r="Y9" s="3413" t="s">
        <v>536</v>
      </c>
      <c r="Z9" s="1145" t="str">
        <f t="shared" ref="Z9:Z14" si="7">Q9</f>
        <v>用途</v>
      </c>
      <c r="AA9" s="1556">
        <f t="shared" si="3"/>
        <v>1</v>
      </c>
      <c r="AB9" s="1556">
        <f t="shared" si="4"/>
        <v>1</v>
      </c>
      <c r="AC9" s="1556">
        <f t="shared" si="5"/>
        <v>1</v>
      </c>
    </row>
    <row r="10" spans="1:29" s="1333" customFormat="1" ht="27">
      <c r="A10" s="2753"/>
      <c r="B10" s="2758" t="s">
        <v>2753</v>
      </c>
      <c r="C10" s="860"/>
      <c r="D10" s="254">
        <v>100</v>
      </c>
      <c r="E10" s="860"/>
      <c r="F10" s="254">
        <f>SUMIF(55:55,E10,56:56)-SUMIF(55:55,C10,56:56)+100</f>
        <v>100</v>
      </c>
      <c r="G10" s="861"/>
      <c r="H10" s="254">
        <f>SUMIF(55:55,G10,56:56)-SUMIF(55:55,C10,56:56)+100</f>
        <v>100</v>
      </c>
      <c r="I10" s="860"/>
      <c r="J10" s="254">
        <f>SUMIF(55:55,I10,56:56)-SUMIF(55:55,C10,56:56)+100</f>
        <v>100</v>
      </c>
      <c r="K10" s="583"/>
      <c r="L10" s="2122"/>
      <c r="M10" s="2162"/>
      <c r="N10" s="2162"/>
      <c r="O10" s="2123"/>
      <c r="P10" s="3469"/>
      <c r="Q10" s="1146" t="str">
        <f t="shared" si="6"/>
        <v>土地使用年限（年）</v>
      </c>
      <c r="R10" s="1553" t="s">
        <v>8</v>
      </c>
      <c r="S10" s="1554">
        <f t="shared" si="0"/>
        <v>100</v>
      </c>
      <c r="T10" s="1553" t="s">
        <v>8</v>
      </c>
      <c r="U10" s="1554">
        <f t="shared" si="1"/>
        <v>100</v>
      </c>
      <c r="V10" s="1553" t="s">
        <v>8</v>
      </c>
      <c r="W10" s="1554">
        <f t="shared" si="2"/>
        <v>100</v>
      </c>
      <c r="X10" s="1555"/>
      <c r="Y10" s="3413"/>
      <c r="Z10" s="1145" t="str">
        <f t="shared" si="7"/>
        <v>土地使用年限（年）</v>
      </c>
      <c r="AA10" s="1556">
        <f t="shared" si="3"/>
        <v>1</v>
      </c>
      <c r="AB10" s="1556">
        <f t="shared" si="4"/>
        <v>1</v>
      </c>
      <c r="AC10" s="1556">
        <f t="shared" si="5"/>
        <v>1</v>
      </c>
    </row>
    <row r="11" spans="1:29" ht="15">
      <c r="A11" s="2755"/>
      <c r="B11" s="2761">
        <v>111</v>
      </c>
      <c r="C11" s="527"/>
      <c r="D11" s="254">
        <v>100</v>
      </c>
      <c r="E11" s="527"/>
      <c r="F11" s="254">
        <f>SUMIF(57:57,E11,58:58)-SUMIF(57:57,C11,58:58)+100</f>
        <v>100</v>
      </c>
      <c r="G11" s="527"/>
      <c r="H11" s="254">
        <f>SUMIF(57:57,G11,58:58)-SUMIF(57:57,C11,58:58)+100</f>
        <v>100</v>
      </c>
      <c r="I11" s="527"/>
      <c r="J11" s="254">
        <f>SUMIF(57:57,I11,58:58)-SUMIF(57:57,C11,58:58)+100</f>
        <v>100</v>
      </c>
      <c r="K11" s="580"/>
      <c r="L11" s="2124"/>
      <c r="M11" s="2118"/>
      <c r="N11" s="2118"/>
      <c r="O11" s="2125"/>
      <c r="P11" s="3469"/>
      <c r="Q11" s="1146">
        <f t="shared" si="6"/>
        <v>111</v>
      </c>
      <c r="R11" s="1553" t="s">
        <v>8</v>
      </c>
      <c r="S11" s="1554">
        <f t="shared" si="0"/>
        <v>100</v>
      </c>
      <c r="T11" s="1553" t="s">
        <v>8</v>
      </c>
      <c r="U11" s="1554">
        <f t="shared" si="1"/>
        <v>100</v>
      </c>
      <c r="V11" s="1553" t="s">
        <v>8</v>
      </c>
      <c r="W11" s="1554">
        <f t="shared" si="2"/>
        <v>100</v>
      </c>
      <c r="X11" s="1555"/>
      <c r="Y11" s="3413"/>
      <c r="Z11" s="1145">
        <f t="shared" si="7"/>
        <v>111</v>
      </c>
      <c r="AA11" s="1556">
        <f t="shared" si="3"/>
        <v>1</v>
      </c>
      <c r="AB11" s="1556">
        <f t="shared" si="4"/>
        <v>1</v>
      </c>
      <c r="AC11" s="1556">
        <f t="shared" si="5"/>
        <v>1</v>
      </c>
    </row>
    <row r="12" spans="1:29" s="1215" customFormat="1" ht="15">
      <c r="A12" s="2755"/>
      <c r="B12" s="2761">
        <v>111</v>
      </c>
      <c r="C12" s="527"/>
      <c r="D12" s="537">
        <v>100</v>
      </c>
      <c r="E12" s="527"/>
      <c r="F12" s="254">
        <f>SUMIF(59:59,E12,60:60)-SUMIF(59:59,C12,60:60)+100</f>
        <v>100</v>
      </c>
      <c r="G12" s="527"/>
      <c r="H12" s="254">
        <f>SUMIF(59:59,G12,60:60)-SUMIF(59:59,C12,60:60)+100</f>
        <v>100</v>
      </c>
      <c r="I12" s="527"/>
      <c r="J12" s="254">
        <f>SUMIF(59:59,I12,60:60)-SUMIF(59:59,C12,60:60)+100</f>
        <v>100</v>
      </c>
      <c r="K12" s="580"/>
      <c r="L12" s="2119"/>
      <c r="M12" s="2120"/>
      <c r="N12" s="2120"/>
      <c r="O12" s="2121"/>
      <c r="P12" s="3469"/>
      <c r="Q12" s="1146">
        <f t="shared" si="6"/>
        <v>111</v>
      </c>
      <c r="R12" s="1553" t="s">
        <v>8</v>
      </c>
      <c r="S12" s="1554">
        <f t="shared" si="0"/>
        <v>100</v>
      </c>
      <c r="T12" s="1553" t="s">
        <v>8</v>
      </c>
      <c r="U12" s="1554">
        <f t="shared" si="1"/>
        <v>100</v>
      </c>
      <c r="V12" s="1553" t="s">
        <v>8</v>
      </c>
      <c r="W12" s="1554">
        <f t="shared" si="2"/>
        <v>100</v>
      </c>
      <c r="X12" s="1555"/>
      <c r="Y12" s="3413"/>
      <c r="Z12" s="1145">
        <f t="shared" si="7"/>
        <v>111</v>
      </c>
      <c r="AA12" s="1556">
        <f>D12/F12</f>
        <v>1</v>
      </c>
      <c r="AB12" s="1556">
        <f>D12/H12</f>
        <v>1</v>
      </c>
      <c r="AC12" s="1556">
        <f>D12/J12</f>
        <v>1</v>
      </c>
    </row>
    <row r="13" spans="1:29" ht="15.75" thickBot="1">
      <c r="A13" s="2756"/>
      <c r="B13" s="2762">
        <v>111</v>
      </c>
      <c r="C13" s="538"/>
      <c r="D13" s="539">
        <v>100</v>
      </c>
      <c r="E13" s="527"/>
      <c r="F13" s="254">
        <f>SUMIF(61:61,E13,62:62)-SUMIF(61:61,C13,62:62)+100</f>
        <v>100</v>
      </c>
      <c r="G13" s="527"/>
      <c r="H13" s="539">
        <f>SUMIF(61:61,G13,62:62)-SUMIF(61:61,C13,62:62)+100</f>
        <v>100</v>
      </c>
      <c r="I13" s="527"/>
      <c r="J13" s="539">
        <f>SUMIF(61:61,I13,62:62)-SUMIF(61:61,C13,62:62)+100</f>
        <v>100</v>
      </c>
      <c r="K13" s="580"/>
      <c r="L13" s="2126"/>
      <c r="M13" s="2118"/>
      <c r="N13" s="2118"/>
      <c r="O13" s="2125"/>
      <c r="P13" s="3469"/>
      <c r="Q13" s="1146">
        <f t="shared" si="6"/>
        <v>111</v>
      </c>
      <c r="R13" s="1553" t="s">
        <v>8</v>
      </c>
      <c r="S13" s="1554">
        <f t="shared" si="0"/>
        <v>100</v>
      </c>
      <c r="T13" s="1553" t="s">
        <v>8</v>
      </c>
      <c r="U13" s="1554">
        <f t="shared" si="1"/>
        <v>100</v>
      </c>
      <c r="V13" s="1553" t="s">
        <v>8</v>
      </c>
      <c r="W13" s="1554">
        <f t="shared" si="2"/>
        <v>100</v>
      </c>
      <c r="X13" s="1555"/>
      <c r="Y13" s="3413"/>
      <c r="Z13" s="1145">
        <f t="shared" si="7"/>
        <v>111</v>
      </c>
      <c r="AA13" s="1556">
        <f t="shared" si="3"/>
        <v>1</v>
      </c>
      <c r="AB13" s="1556">
        <f t="shared" si="4"/>
        <v>1</v>
      </c>
      <c r="AC13" s="1556">
        <f t="shared" si="5"/>
        <v>1</v>
      </c>
    </row>
    <row r="14" spans="1:29" ht="85.5">
      <c r="A14" s="2748" t="s">
        <v>2750</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26"/>
      <c r="M14" s="2118"/>
      <c r="N14" s="2118"/>
      <c r="O14" s="2125"/>
      <c r="P14" s="3472" t="s">
        <v>540</v>
      </c>
      <c r="Q14" s="1557" t="str">
        <f t="shared" si="6"/>
        <v>交通便捷度</v>
      </c>
      <c r="R14" s="1558" t="s">
        <v>8</v>
      </c>
      <c r="S14" s="1559">
        <f t="shared" si="0"/>
        <v>100</v>
      </c>
      <c r="T14" s="1558" t="s">
        <v>8</v>
      </c>
      <c r="U14" s="1559">
        <f t="shared" si="1"/>
        <v>100</v>
      </c>
      <c r="V14" s="1558" t="s">
        <v>8</v>
      </c>
      <c r="W14" s="1559">
        <f t="shared" si="2"/>
        <v>100</v>
      </c>
      <c r="X14" s="1552"/>
      <c r="Y14" s="3472" t="s">
        <v>540</v>
      </c>
      <c r="Z14" s="1560" t="str">
        <f t="shared" si="7"/>
        <v>交通便捷度</v>
      </c>
      <c r="AA14" s="1561">
        <f t="shared" si="3"/>
        <v>1</v>
      </c>
      <c r="AB14" s="1561">
        <f t="shared" si="4"/>
        <v>1</v>
      </c>
      <c r="AC14" s="1561">
        <f t="shared" si="5"/>
        <v>1</v>
      </c>
    </row>
    <row r="15" spans="1:29" ht="15">
      <c r="A15" s="514"/>
      <c r="B15" s="923"/>
      <c r="C15" s="575"/>
      <c r="D15" s="554"/>
      <c r="E15" s="575"/>
      <c r="F15" s="556"/>
      <c r="G15" s="575"/>
      <c r="H15" s="558"/>
      <c r="I15" s="575"/>
      <c r="J15" s="554"/>
      <c r="K15" s="898"/>
      <c r="L15" s="2126"/>
      <c r="M15" s="2118"/>
      <c r="N15" s="2118"/>
      <c r="O15" s="2125"/>
      <c r="P15" s="3473"/>
      <c r="Q15" s="1557"/>
      <c r="R15" s="1558"/>
      <c r="S15" s="1559"/>
      <c r="T15" s="1558"/>
      <c r="U15" s="1559"/>
      <c r="V15" s="1558"/>
      <c r="W15" s="1559"/>
      <c r="X15" s="1552"/>
      <c r="Y15" s="3473"/>
      <c r="Z15" s="1560"/>
      <c r="AA15" s="1561">
        <v>1</v>
      </c>
      <c r="AB15" s="1561">
        <v>1</v>
      </c>
      <c r="AC15" s="1561">
        <v>1</v>
      </c>
    </row>
    <row r="16" spans="1:29" ht="42.75">
      <c r="A16" s="514"/>
      <c r="B16" s="2566" t="s">
        <v>2543</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26"/>
      <c r="M16" s="2118"/>
      <c r="N16" s="2118"/>
      <c r="O16" s="2125"/>
      <c r="P16" s="3473"/>
      <c r="Q16" s="1557" t="str">
        <f>B16</f>
        <v>公共配套设施</v>
      </c>
      <c r="R16" s="1558" t="s">
        <v>8</v>
      </c>
      <c r="S16" s="1559">
        <f>F16</f>
        <v>100</v>
      </c>
      <c r="T16" s="1558" t="s">
        <v>8</v>
      </c>
      <c r="U16" s="1559">
        <f>H16</f>
        <v>100</v>
      </c>
      <c r="V16" s="1558" t="s">
        <v>8</v>
      </c>
      <c r="W16" s="1559">
        <f>J16</f>
        <v>100</v>
      </c>
      <c r="X16" s="1552"/>
      <c r="Y16" s="3473"/>
      <c r="Z16" s="1560" t="str">
        <f>Q16</f>
        <v>公共配套设施</v>
      </c>
      <c r="AA16" s="1561">
        <f t="shared" si="3"/>
        <v>1</v>
      </c>
      <c r="AB16" s="1561">
        <f t="shared" si="4"/>
        <v>1</v>
      </c>
      <c r="AC16" s="1561">
        <f t="shared" si="5"/>
        <v>1</v>
      </c>
    </row>
    <row r="17" spans="1:29" ht="15">
      <c r="A17" s="514"/>
      <c r="B17" s="565"/>
      <c r="C17" s="872"/>
      <c r="D17" s="554"/>
      <c r="E17" s="575"/>
      <c r="F17" s="556"/>
      <c r="G17" s="575"/>
      <c r="H17" s="554"/>
      <c r="I17" s="575"/>
      <c r="J17" s="554"/>
      <c r="K17" s="898"/>
      <c r="L17" s="2126"/>
      <c r="M17" s="2118"/>
      <c r="N17" s="2118"/>
      <c r="O17" s="2125"/>
      <c r="P17" s="3473"/>
      <c r="Q17" s="1557"/>
      <c r="R17" s="1558"/>
      <c r="S17" s="1559"/>
      <c r="T17" s="1558"/>
      <c r="U17" s="1559"/>
      <c r="V17" s="1558"/>
      <c r="W17" s="1559"/>
      <c r="X17" s="1552"/>
      <c r="Y17" s="3473"/>
      <c r="Z17" s="1560"/>
      <c r="AA17" s="1561">
        <v>1</v>
      </c>
      <c r="AB17" s="1561">
        <v>1</v>
      </c>
      <c r="AC17" s="1561">
        <v>1</v>
      </c>
    </row>
    <row r="18" spans="1:29" ht="28.5">
      <c r="A18" s="514"/>
      <c r="B18" s="2554" t="s">
        <v>2555</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26"/>
      <c r="M18" s="2118"/>
      <c r="N18" s="2118"/>
      <c r="O18" s="2125"/>
      <c r="P18" s="3473"/>
      <c r="Q18" s="2542" t="str">
        <f>B18</f>
        <v>基础设施水平</v>
      </c>
      <c r="R18" s="1558" t="s">
        <v>8</v>
      </c>
      <c r="S18" s="1559">
        <f>F18</f>
        <v>100</v>
      </c>
      <c r="T18" s="1558" t="s">
        <v>8</v>
      </c>
      <c r="U18" s="1559">
        <f>H18</f>
        <v>100</v>
      </c>
      <c r="V18" s="1558" t="s">
        <v>8</v>
      </c>
      <c r="W18" s="1559">
        <f>J18</f>
        <v>100</v>
      </c>
      <c r="X18" s="2544"/>
      <c r="Y18" s="3473"/>
      <c r="Z18" s="2543" t="str">
        <f>Q18</f>
        <v>基础设施水平</v>
      </c>
      <c r="AA18" s="1561">
        <f t="shared" ref="AA18" si="8">D18/F18</f>
        <v>1</v>
      </c>
      <c r="AB18" s="1561">
        <f t="shared" ref="AB18" si="9">D18/H18</f>
        <v>1</v>
      </c>
      <c r="AC18" s="1561">
        <f t="shared" ref="AC18" si="10">D18/J18</f>
        <v>1</v>
      </c>
    </row>
    <row r="19" spans="1:29" ht="15">
      <c r="A19" s="514"/>
      <c r="B19" s="577"/>
      <c r="C19" s="872"/>
      <c r="D19" s="558"/>
      <c r="E19" s="575"/>
      <c r="F19" s="556"/>
      <c r="G19" s="575"/>
      <c r="H19" s="554"/>
      <c r="I19" s="575"/>
      <c r="J19" s="554"/>
      <c r="K19" s="2565"/>
      <c r="L19" s="2126"/>
      <c r="M19" s="2118"/>
      <c r="N19" s="2118"/>
      <c r="O19" s="2125"/>
      <c r="P19" s="3473"/>
      <c r="Q19" s="2542"/>
      <c r="R19" s="1558"/>
      <c r="S19" s="1559"/>
      <c r="T19" s="1558"/>
      <c r="U19" s="1559"/>
      <c r="V19" s="1558"/>
      <c r="W19" s="1559"/>
      <c r="X19" s="2544"/>
      <c r="Y19" s="3473"/>
      <c r="Z19" s="2543"/>
      <c r="AA19" s="1561">
        <v>1</v>
      </c>
      <c r="AB19" s="1561">
        <v>1</v>
      </c>
      <c r="AC19" s="1561">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26"/>
      <c r="M20" s="2118"/>
      <c r="N20" s="2118"/>
      <c r="O20" s="2125"/>
      <c r="P20" s="3473"/>
      <c r="Q20" s="1557" t="str">
        <f>B20</f>
        <v>自然及人文环境</v>
      </c>
      <c r="R20" s="1558" t="s">
        <v>8</v>
      </c>
      <c r="S20" s="1559">
        <f>F20</f>
        <v>100</v>
      </c>
      <c r="T20" s="1558" t="s">
        <v>8</v>
      </c>
      <c r="U20" s="1559">
        <f>H20</f>
        <v>100</v>
      </c>
      <c r="V20" s="1558" t="s">
        <v>8</v>
      </c>
      <c r="W20" s="1559">
        <f>J20</f>
        <v>100</v>
      </c>
      <c r="X20" s="1552"/>
      <c r="Y20" s="3473"/>
      <c r="Z20" s="1560" t="str">
        <f>Q20</f>
        <v>自然及人文环境</v>
      </c>
      <c r="AA20" s="1561">
        <f t="shared" si="3"/>
        <v>1</v>
      </c>
      <c r="AB20" s="1561">
        <f t="shared" si="4"/>
        <v>1</v>
      </c>
      <c r="AC20" s="1561">
        <f t="shared" si="5"/>
        <v>1</v>
      </c>
    </row>
    <row r="21" spans="1:29" ht="15">
      <c r="A21" s="514"/>
      <c r="B21" s="565"/>
      <c r="C21" s="575"/>
      <c r="D21" s="554"/>
      <c r="E21" s="575"/>
      <c r="F21" s="556"/>
      <c r="G21" s="575"/>
      <c r="H21" s="554"/>
      <c r="I21" s="575"/>
      <c r="J21" s="554"/>
      <c r="K21" s="898"/>
      <c r="L21" s="2126"/>
      <c r="M21" s="2118"/>
      <c r="N21" s="2118"/>
      <c r="O21" s="2125"/>
      <c r="P21" s="3473"/>
      <c r="Q21" s="1557"/>
      <c r="R21" s="1558"/>
      <c r="S21" s="1559"/>
      <c r="T21" s="1558"/>
      <c r="U21" s="1559"/>
      <c r="V21" s="1558"/>
      <c r="W21" s="1559"/>
      <c r="X21" s="1552"/>
      <c r="Y21" s="3473"/>
      <c r="Z21" s="1560"/>
      <c r="AA21" s="1561">
        <v>1</v>
      </c>
      <c r="AB21" s="1561">
        <v>1</v>
      </c>
      <c r="AC21" s="1561">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6"/>
      <c r="M22" s="2118"/>
      <c r="N22" s="2118"/>
      <c r="O22" s="2125"/>
      <c r="P22" s="3473"/>
      <c r="Q22" s="1557" t="str">
        <f>B22</f>
        <v>楼层</v>
      </c>
      <c r="R22" s="1558" t="s">
        <v>8</v>
      </c>
      <c r="S22" s="1559">
        <f>F22</f>
        <v>100</v>
      </c>
      <c r="T22" s="1558" t="s">
        <v>8</v>
      </c>
      <c r="U22" s="1559">
        <f>H22</f>
        <v>100</v>
      </c>
      <c r="V22" s="1558" t="s">
        <v>8</v>
      </c>
      <c r="W22" s="1559">
        <f>J22</f>
        <v>100</v>
      </c>
      <c r="X22" s="1552"/>
      <c r="Y22" s="3473"/>
      <c r="Z22" s="1560" t="str">
        <f>Q22</f>
        <v>楼层</v>
      </c>
      <c r="AA22" s="1561">
        <f t="shared" si="3"/>
        <v>1</v>
      </c>
      <c r="AB22" s="1561">
        <f t="shared" si="4"/>
        <v>1</v>
      </c>
      <c r="AC22" s="1561">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6"/>
      <c r="M23" s="2118"/>
      <c r="N23" s="2118"/>
      <c r="O23" s="2125"/>
      <c r="P23" s="3473"/>
      <c r="Q23" s="1557">
        <f>B23</f>
        <v>111</v>
      </c>
      <c r="R23" s="1558" t="s">
        <v>8</v>
      </c>
      <c r="S23" s="1559">
        <f>F23</f>
        <v>100</v>
      </c>
      <c r="T23" s="1558" t="s">
        <v>8</v>
      </c>
      <c r="U23" s="1559">
        <f>H23</f>
        <v>100</v>
      </c>
      <c r="V23" s="1558" t="s">
        <v>8</v>
      </c>
      <c r="W23" s="1559">
        <f>J23</f>
        <v>100</v>
      </c>
      <c r="X23" s="1552"/>
      <c r="Y23" s="3473"/>
      <c r="Z23" s="1560">
        <f>Q23</f>
        <v>111</v>
      </c>
      <c r="AA23" s="1561">
        <f t="shared" si="3"/>
        <v>1</v>
      </c>
      <c r="AB23" s="1561">
        <f t="shared" si="4"/>
        <v>1</v>
      </c>
      <c r="AC23" s="1561">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6"/>
      <c r="M24" s="2118"/>
      <c r="N24" s="2118"/>
      <c r="O24" s="2125"/>
      <c r="P24" s="3473"/>
      <c r="Q24" s="1557">
        <f t="shared" ref="Q24:Q36" si="11">B24</f>
        <v>111</v>
      </c>
      <c r="R24" s="1558" t="s">
        <v>8</v>
      </c>
      <c r="S24" s="1559">
        <f>F24</f>
        <v>100</v>
      </c>
      <c r="T24" s="1558" t="s">
        <v>8</v>
      </c>
      <c r="U24" s="1559">
        <f>H24</f>
        <v>100</v>
      </c>
      <c r="V24" s="1558" t="s">
        <v>8</v>
      </c>
      <c r="W24" s="1559">
        <f>J24</f>
        <v>100</v>
      </c>
      <c r="X24" s="1552"/>
      <c r="Y24" s="3473"/>
      <c r="Z24" s="1560">
        <f>Q24</f>
        <v>111</v>
      </c>
      <c r="AA24" s="1561">
        <f t="shared" si="3"/>
        <v>1</v>
      </c>
      <c r="AB24" s="1561">
        <f t="shared" si="4"/>
        <v>1</v>
      </c>
      <c r="AC24" s="1561">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9"/>
      <c r="M25" s="2120"/>
      <c r="N25" s="2120"/>
      <c r="O25" s="2121"/>
      <c r="P25" s="3473"/>
      <c r="Q25" s="1146">
        <f t="shared" si="11"/>
        <v>111</v>
      </c>
      <c r="R25" s="1553" t="s">
        <v>8</v>
      </c>
      <c r="S25" s="1554">
        <f>F25</f>
        <v>100</v>
      </c>
      <c r="T25" s="1553" t="s">
        <v>8</v>
      </c>
      <c r="U25" s="1554">
        <f>H25</f>
        <v>100</v>
      </c>
      <c r="V25" s="1553" t="s">
        <v>8</v>
      </c>
      <c r="W25" s="1554">
        <f>J25</f>
        <v>100</v>
      </c>
      <c r="X25" s="1555"/>
      <c r="Y25" s="3473"/>
      <c r="Z25" s="1145">
        <f>Q25</f>
        <v>111</v>
      </c>
      <c r="AA25" s="1561">
        <f>D25/F25</f>
        <v>1</v>
      </c>
      <c r="AB25" s="1561">
        <f>D25/H25</f>
        <v>1</v>
      </c>
      <c r="AC25" s="1561">
        <f>D25/J25</f>
        <v>1</v>
      </c>
    </row>
    <row r="26" spans="1:29" ht="15">
      <c r="A26" s="2745" t="s">
        <v>2751</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6"/>
      <c r="M26" s="2118"/>
      <c r="N26" s="2118"/>
      <c r="O26" s="2125"/>
      <c r="P26" s="3474"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75" t="s">
        <v>550</v>
      </c>
      <c r="Z26" s="1560" t="str">
        <f t="shared" ref="Z26:Z36" si="15">Q26</f>
        <v>配套类型</v>
      </c>
      <c r="AA26" s="1561">
        <f t="shared" si="3"/>
        <v>1</v>
      </c>
      <c r="AB26" s="1561">
        <f t="shared" si="4"/>
        <v>1</v>
      </c>
      <c r="AC26" s="1561">
        <f t="shared" si="5"/>
        <v>1</v>
      </c>
    </row>
    <row r="27" spans="1:29" s="1334"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24"/>
      <c r="M27" s="2155"/>
      <c r="N27" s="2155"/>
      <c r="O27" s="2127"/>
      <c r="P27" s="3475"/>
      <c r="Q27" s="1589" t="str">
        <f t="shared" si="11"/>
        <v>项目停车位配比</v>
      </c>
      <c r="R27" s="1562" t="s">
        <v>8</v>
      </c>
      <c r="S27" s="1563">
        <f t="shared" si="12"/>
        <v>100</v>
      </c>
      <c r="T27" s="1562" t="s">
        <v>8</v>
      </c>
      <c r="U27" s="1563">
        <f t="shared" si="13"/>
        <v>100</v>
      </c>
      <c r="V27" s="1562" t="s">
        <v>8</v>
      </c>
      <c r="W27" s="1563">
        <f t="shared" si="14"/>
        <v>100</v>
      </c>
      <c r="X27" s="1564"/>
      <c r="Y27" s="3475"/>
      <c r="Z27" s="1565" t="str">
        <f t="shared" si="15"/>
        <v>项目停车位配比</v>
      </c>
      <c r="AA27" s="1561">
        <f t="shared" si="3"/>
        <v>1</v>
      </c>
      <c r="AB27" s="1561">
        <f t="shared" si="4"/>
        <v>1</v>
      </c>
      <c r="AC27" s="1561">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6"/>
      <c r="M28" s="2118"/>
      <c r="N28" s="2118"/>
      <c r="O28" s="2125"/>
      <c r="P28" s="3475"/>
      <c r="Q28" s="1557" t="str">
        <f t="shared" si="11"/>
        <v>公共部分装修</v>
      </c>
      <c r="R28" s="1558" t="s">
        <v>8</v>
      </c>
      <c r="S28" s="1559">
        <f t="shared" si="12"/>
        <v>100</v>
      </c>
      <c r="T28" s="1558" t="s">
        <v>8</v>
      </c>
      <c r="U28" s="1559">
        <f t="shared" si="13"/>
        <v>100</v>
      </c>
      <c r="V28" s="1558" t="s">
        <v>8</v>
      </c>
      <c r="W28" s="1559">
        <f t="shared" si="14"/>
        <v>100</v>
      </c>
      <c r="X28" s="1552"/>
      <c r="Y28" s="3475"/>
      <c r="Z28" s="1560" t="str">
        <f t="shared" si="15"/>
        <v>公共部分装修</v>
      </c>
      <c r="AA28" s="1561">
        <f t="shared" si="3"/>
        <v>1</v>
      </c>
      <c r="AB28" s="1561">
        <f t="shared" si="4"/>
        <v>1</v>
      </c>
      <c r="AC28" s="1561">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6"/>
      <c r="M29" s="2118"/>
      <c r="N29" s="2118"/>
      <c r="O29" s="2125"/>
      <c r="P29" s="3475"/>
      <c r="Q29" s="1557" t="str">
        <f t="shared" si="11"/>
        <v>成新率</v>
      </c>
      <c r="R29" s="1558" t="s">
        <v>8</v>
      </c>
      <c r="S29" s="1559" t="e">
        <f t="shared" si="12"/>
        <v>#N/A</v>
      </c>
      <c r="T29" s="1558" t="s">
        <v>8</v>
      </c>
      <c r="U29" s="1559" t="e">
        <f t="shared" si="13"/>
        <v>#N/A</v>
      </c>
      <c r="V29" s="1558" t="s">
        <v>8</v>
      </c>
      <c r="W29" s="1559" t="e">
        <f t="shared" si="14"/>
        <v>#N/A</v>
      </c>
      <c r="X29" s="1552"/>
      <c r="Y29" s="3475"/>
      <c r="Z29" s="1560" t="str">
        <f t="shared" si="15"/>
        <v>成新率</v>
      </c>
      <c r="AA29" s="1561" t="e">
        <f t="shared" si="3"/>
        <v>#N/A</v>
      </c>
      <c r="AB29" s="1561" t="e">
        <f t="shared" si="4"/>
        <v>#N/A</v>
      </c>
      <c r="AC29" s="1561"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6"/>
      <c r="M30" s="2118"/>
      <c r="N30" s="2118"/>
      <c r="O30" s="2125"/>
      <c r="P30" s="3475"/>
      <c r="Q30" s="1557" t="str">
        <f t="shared" si="11"/>
        <v>物业等级</v>
      </c>
      <c r="R30" s="1558" t="s">
        <v>8</v>
      </c>
      <c r="S30" s="1559">
        <f t="shared" si="12"/>
        <v>100</v>
      </c>
      <c r="T30" s="1558" t="s">
        <v>8</v>
      </c>
      <c r="U30" s="1559">
        <f t="shared" si="13"/>
        <v>100</v>
      </c>
      <c r="V30" s="1558" t="s">
        <v>8</v>
      </c>
      <c r="W30" s="1559">
        <f t="shared" si="14"/>
        <v>100</v>
      </c>
      <c r="X30" s="1552"/>
      <c r="Y30" s="3475"/>
      <c r="Z30" s="1560" t="str">
        <f t="shared" si="15"/>
        <v>物业等级</v>
      </c>
      <c r="AA30" s="1561">
        <f t="shared" si="3"/>
        <v>1</v>
      </c>
      <c r="AB30" s="1561">
        <f t="shared" si="4"/>
        <v>1</v>
      </c>
      <c r="AC30" s="1561">
        <f t="shared" si="5"/>
        <v>1</v>
      </c>
    </row>
    <row r="31" spans="1:29" s="1215"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9"/>
      <c r="M31" s="2120"/>
      <c r="N31" s="2120"/>
      <c r="O31" s="2121"/>
      <c r="P31" s="3475"/>
      <c r="Q31" s="1146" t="str">
        <f t="shared" si="11"/>
        <v>停车位面积</v>
      </c>
      <c r="R31" s="1553" t="s">
        <v>8</v>
      </c>
      <c r="S31" s="1554" t="e">
        <f t="shared" si="12"/>
        <v>#N/A</v>
      </c>
      <c r="T31" s="1553" t="s">
        <v>8</v>
      </c>
      <c r="U31" s="1554" t="e">
        <f t="shared" si="13"/>
        <v>#N/A</v>
      </c>
      <c r="V31" s="1553" t="s">
        <v>8</v>
      </c>
      <c r="W31" s="1554" t="e">
        <f t="shared" si="14"/>
        <v>#N/A</v>
      </c>
      <c r="X31" s="1555"/>
      <c r="Y31" s="3475"/>
      <c r="Z31" s="1145" t="str">
        <f t="shared" si="15"/>
        <v>停车位面积</v>
      </c>
      <c r="AA31" s="1556" t="e">
        <f t="shared" si="3"/>
        <v>#N/A</v>
      </c>
      <c r="AB31" s="1556" t="e">
        <f t="shared" si="4"/>
        <v>#N/A</v>
      </c>
      <c r="AC31" s="1556"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6"/>
      <c r="M32" s="2118"/>
      <c r="N32" s="2118"/>
      <c r="O32" s="2125"/>
      <c r="P32" s="3475" t="s">
        <v>550</v>
      </c>
      <c r="Q32" s="1557" t="str">
        <f t="shared" si="11"/>
        <v>车位类型</v>
      </c>
      <c r="R32" s="1558" t="s">
        <v>8</v>
      </c>
      <c r="S32" s="1559">
        <f t="shared" si="12"/>
        <v>100</v>
      </c>
      <c r="T32" s="1558" t="s">
        <v>8</v>
      </c>
      <c r="U32" s="1559">
        <f t="shared" si="13"/>
        <v>100</v>
      </c>
      <c r="V32" s="1558" t="s">
        <v>8</v>
      </c>
      <c r="W32" s="1559">
        <f t="shared" si="14"/>
        <v>100</v>
      </c>
      <c r="X32" s="1552"/>
      <c r="Y32" s="3475" t="s">
        <v>550</v>
      </c>
      <c r="Z32" s="1560" t="str">
        <f t="shared" si="15"/>
        <v>车位类型</v>
      </c>
      <c r="AA32" s="1561">
        <f t="shared" si="3"/>
        <v>1</v>
      </c>
      <c r="AB32" s="1561">
        <f t="shared" si="4"/>
        <v>1</v>
      </c>
      <c r="AC32" s="1561">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6"/>
      <c r="M33" s="2118"/>
      <c r="N33" s="2118"/>
      <c r="O33" s="2125"/>
      <c r="P33" s="3475"/>
      <c r="Q33" s="1557" t="str">
        <f t="shared" si="11"/>
        <v>是否直接入户</v>
      </c>
      <c r="R33" s="1558" t="s">
        <v>8</v>
      </c>
      <c r="S33" s="1559">
        <f t="shared" si="12"/>
        <v>100</v>
      </c>
      <c r="T33" s="1558" t="s">
        <v>8</v>
      </c>
      <c r="U33" s="1559">
        <f t="shared" si="13"/>
        <v>100</v>
      </c>
      <c r="V33" s="1558" t="s">
        <v>8</v>
      </c>
      <c r="W33" s="1559">
        <f t="shared" si="14"/>
        <v>100</v>
      </c>
      <c r="X33" s="1552"/>
      <c r="Y33" s="3475"/>
      <c r="Z33" s="1560" t="str">
        <f t="shared" si="15"/>
        <v>是否直接入户</v>
      </c>
      <c r="AA33" s="1561">
        <f t="shared" si="3"/>
        <v>1</v>
      </c>
      <c r="AB33" s="1561">
        <f t="shared" si="4"/>
        <v>1</v>
      </c>
      <c r="AC33" s="1561">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6"/>
      <c r="M34" s="2118"/>
      <c r="N34" s="2118"/>
      <c r="O34" s="2125"/>
      <c r="P34" s="3475"/>
      <c r="Q34" s="1557">
        <f t="shared" si="11"/>
        <v>111</v>
      </c>
      <c r="R34" s="1558" t="s">
        <v>8</v>
      </c>
      <c r="S34" s="1559">
        <f t="shared" si="12"/>
        <v>100</v>
      </c>
      <c r="T34" s="1558" t="s">
        <v>8</v>
      </c>
      <c r="U34" s="1559">
        <f t="shared" si="13"/>
        <v>100</v>
      </c>
      <c r="V34" s="1558" t="s">
        <v>8</v>
      </c>
      <c r="W34" s="1559">
        <f t="shared" si="14"/>
        <v>100</v>
      </c>
      <c r="X34" s="1552"/>
      <c r="Y34" s="3475"/>
      <c r="Z34" s="1560">
        <f t="shared" si="15"/>
        <v>111</v>
      </c>
      <c r="AA34" s="1561">
        <f t="shared" si="3"/>
        <v>1</v>
      </c>
      <c r="AB34" s="1561">
        <f t="shared" si="4"/>
        <v>1</v>
      </c>
      <c r="AC34" s="1561">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4"/>
      <c r="M35" s="2155"/>
      <c r="N35" s="2155"/>
      <c r="O35" s="2127"/>
      <c r="P35" s="3475"/>
      <c r="Q35" s="1589">
        <f t="shared" si="11"/>
        <v>111</v>
      </c>
      <c r="R35" s="1562" t="s">
        <v>8</v>
      </c>
      <c r="S35" s="1563">
        <f t="shared" si="12"/>
        <v>100</v>
      </c>
      <c r="T35" s="1562" t="s">
        <v>8</v>
      </c>
      <c r="U35" s="1563">
        <f t="shared" si="13"/>
        <v>100</v>
      </c>
      <c r="V35" s="1562" t="s">
        <v>8</v>
      </c>
      <c r="W35" s="1563">
        <f t="shared" si="14"/>
        <v>100</v>
      </c>
      <c r="X35" s="1564"/>
      <c r="Y35" s="3475"/>
      <c r="Z35" s="1565">
        <f t="shared" si="15"/>
        <v>111</v>
      </c>
      <c r="AA35" s="1561">
        <f t="shared" si="3"/>
        <v>1</v>
      </c>
      <c r="AB35" s="1561">
        <f t="shared" si="4"/>
        <v>1</v>
      </c>
      <c r="AC35" s="1561">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6"/>
      <c r="M36" s="2118"/>
      <c r="N36" s="2118"/>
      <c r="O36" s="2125"/>
      <c r="P36" s="3475"/>
      <c r="Q36" s="1557">
        <f t="shared" si="11"/>
        <v>111</v>
      </c>
      <c r="R36" s="1558" t="s">
        <v>8</v>
      </c>
      <c r="S36" s="1559">
        <f t="shared" si="12"/>
        <v>100</v>
      </c>
      <c r="T36" s="1558" t="s">
        <v>8</v>
      </c>
      <c r="U36" s="1559">
        <f t="shared" si="13"/>
        <v>100</v>
      </c>
      <c r="V36" s="1558" t="s">
        <v>8</v>
      </c>
      <c r="W36" s="1559">
        <f t="shared" si="14"/>
        <v>100</v>
      </c>
      <c r="X36" s="1552"/>
      <c r="Y36" s="3475"/>
      <c r="Z36" s="1560">
        <f t="shared" si="15"/>
        <v>111</v>
      </c>
      <c r="AA36" s="1561">
        <f t="shared" si="3"/>
        <v>1</v>
      </c>
      <c r="AB36" s="1561">
        <f t="shared" si="4"/>
        <v>1</v>
      </c>
      <c r="AC36" s="1561">
        <f t="shared" si="5"/>
        <v>1</v>
      </c>
    </row>
    <row r="37" spans="1:29" ht="15">
      <c r="A37" s="1830" t="s">
        <v>2075</v>
      </c>
      <c r="B37" s="1831" t="s">
        <v>2076</v>
      </c>
      <c r="C37" s="2590" t="s">
        <v>1</v>
      </c>
      <c r="D37" s="2591"/>
      <c r="E37" s="2592"/>
      <c r="F37" s="2593"/>
      <c r="G37" s="2594"/>
      <c r="H37" s="2595"/>
      <c r="I37" s="2592"/>
      <c r="J37" s="2595"/>
      <c r="K37" s="1595"/>
      <c r="L37" s="2128"/>
      <c r="M37" s="2129"/>
      <c r="N37" s="2118"/>
      <c r="O37" s="2129"/>
      <c r="P37" s="3469" t="str">
        <f>A37</f>
        <v>成交单价</v>
      </c>
      <c r="Q37" s="3469"/>
      <c r="R37" s="3533">
        <f>E37</f>
        <v>0</v>
      </c>
      <c r="S37" s="3533"/>
      <c r="T37" s="3533">
        <f>G37</f>
        <v>0</v>
      </c>
      <c r="U37" s="3533"/>
      <c r="V37" s="3533">
        <f>I37</f>
        <v>0</v>
      </c>
      <c r="W37" s="3533"/>
      <c r="X37" s="1544"/>
      <c r="Y37" s="1566"/>
      <c r="Z37" s="1544"/>
      <c r="AA37" s="1544"/>
      <c r="AB37" s="1544"/>
      <c r="AC37" s="1544"/>
    </row>
    <row r="38" spans="1:29" ht="15.75" thickBot="1">
      <c r="A38" s="614" t="s">
        <v>2756</v>
      </c>
      <c r="B38" s="887"/>
      <c r="C38" s="2596" t="e">
        <f>R39</f>
        <v>#DIV/0!</v>
      </c>
      <c r="D38" s="2597"/>
      <c r="E38" s="2598" t="e">
        <f>R38</f>
        <v>#DIV/0!</v>
      </c>
      <c r="F38" s="2598"/>
      <c r="G38" s="2596" t="e">
        <f>T38</f>
        <v>#DIV/0!</v>
      </c>
      <c r="H38" s="2597"/>
      <c r="I38" s="2598" t="e">
        <f>V38</f>
        <v>#DIV/0!</v>
      </c>
      <c r="J38" s="2597"/>
      <c r="K38" s="1596"/>
      <c r="L38" s="2128"/>
      <c r="M38" s="2129"/>
      <c r="N38" s="2129"/>
      <c r="O38" s="2129"/>
      <c r="P38" s="3469" t="str">
        <f>A38</f>
        <v>比较价格（元/平方米）</v>
      </c>
      <c r="Q38" s="3469"/>
      <c r="R38" s="3533" t="e">
        <f>IF(F1="售价",ROUND(PRODUCT(R37,AA7:AA36),0),ROUND(PRODUCT(R37,AA7:AA36),1))</f>
        <v>#DIV/0!</v>
      </c>
      <c r="S38" s="3533"/>
      <c r="T38" s="3533" t="e">
        <f>IF(F1="售价",ROUND(PRODUCT(T37,AB7:AB36),0),ROUND(PRODUCT(T37,AB7:AB36),1))</f>
        <v>#DIV/0!</v>
      </c>
      <c r="U38" s="3533"/>
      <c r="V38" s="3533" t="e">
        <f>IF(F1="售价",ROUND(PRODUCT(V37,AC7:AC36),0),ROUND(PRODUCT(V37,AC7:AC36),1))</f>
        <v>#DIV/0!</v>
      </c>
      <c r="W38" s="3533"/>
      <c r="X38" s="1544"/>
      <c r="Y38" s="1544"/>
      <c r="Z38" s="1544"/>
      <c r="AA38" s="1544"/>
      <c r="AB38" s="1544"/>
      <c r="AC38" s="1544"/>
    </row>
    <row r="39" spans="1:29" ht="15.75" thickBot="1">
      <c r="A39" s="620" t="s">
        <v>2932</v>
      </c>
      <c r="B39" s="621"/>
      <c r="C39" s="2599" t="e">
        <f>R39</f>
        <v>#DIV/0!</v>
      </c>
      <c r="D39" s="2599"/>
      <c r="E39" s="2599"/>
      <c r="F39" s="2599"/>
      <c r="G39" s="2599"/>
      <c r="H39" s="2599"/>
      <c r="I39" s="2599"/>
      <c r="J39" s="2599"/>
      <c r="K39" s="1597"/>
      <c r="L39" s="2128"/>
      <c r="M39" s="2129"/>
      <c r="N39" s="2129"/>
      <c r="O39" s="2129"/>
      <c r="P39" s="3466" t="str">
        <f>A39</f>
        <v>估价对象XX用房的比较价格（楼面单价，元/平方米）</v>
      </c>
      <c r="Q39" s="3467"/>
      <c r="R39" s="3532" t="e">
        <f>IF(F1="售价",ROUND(AVERAGE(R38:V38),0),ROUND(AVERAGE(R38:V38),1))</f>
        <v>#DIV/0!</v>
      </c>
      <c r="S39" s="3532"/>
      <c r="T39" s="3532"/>
      <c r="U39" s="3532"/>
      <c r="V39" s="3532"/>
      <c r="W39" s="3532"/>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5">
      <c r="A48" s="644" t="s">
        <v>529</v>
      </c>
      <c r="B48" s="645"/>
      <c r="C48" s="2640" t="str">
        <f>YEAR(C7)&amp;"-"&amp;MONTH(C7)</f>
        <v>2020-9</v>
      </c>
      <c r="D48" s="2642">
        <f>EDATE(C48,-1)</f>
        <v>44044</v>
      </c>
      <c r="E48" s="2642">
        <f t="shared" ref="E48:O48" si="16">EDATE(D48,-1)</f>
        <v>44013</v>
      </c>
      <c r="F48" s="2642">
        <f t="shared" si="16"/>
        <v>43983</v>
      </c>
      <c r="G48" s="2642">
        <f t="shared" si="16"/>
        <v>43952</v>
      </c>
      <c r="H48" s="2642">
        <f t="shared" si="16"/>
        <v>43922</v>
      </c>
      <c r="I48" s="2642">
        <f t="shared" si="16"/>
        <v>43891</v>
      </c>
      <c r="J48" s="2642">
        <f t="shared" si="16"/>
        <v>43862</v>
      </c>
      <c r="K48" s="2642">
        <f t="shared" si="16"/>
        <v>43831</v>
      </c>
      <c r="L48" s="2642">
        <f t="shared" si="16"/>
        <v>43800</v>
      </c>
      <c r="M48" s="2642">
        <f t="shared" si="16"/>
        <v>43770</v>
      </c>
      <c r="N48" s="2642">
        <f t="shared" si="16"/>
        <v>43739</v>
      </c>
      <c r="O48" s="2642">
        <f t="shared" si="16"/>
        <v>43709</v>
      </c>
      <c r="P48" s="2144"/>
      <c r="Q48" s="2145"/>
      <c r="R48" s="2145"/>
      <c r="S48" s="2145"/>
      <c r="T48" s="2145"/>
      <c r="U48" s="2145"/>
      <c r="V48" s="2145"/>
      <c r="W48" s="2145"/>
      <c r="X48" s="2145"/>
      <c r="Y48" s="2145"/>
      <c r="Z48" s="2145"/>
      <c r="AA48" s="2145"/>
      <c r="AB48" s="2145"/>
      <c r="AC48" s="2145"/>
    </row>
    <row r="49" spans="1:29" s="1215" customFormat="1" ht="15">
      <c r="A49" s="646"/>
      <c r="B49" s="647"/>
      <c r="C49" s="2641">
        <v>100</v>
      </c>
      <c r="D49" s="649"/>
      <c r="E49" s="649"/>
      <c r="F49" s="649"/>
      <c r="G49" s="649"/>
      <c r="H49" s="649"/>
      <c r="I49" s="649"/>
      <c r="J49" s="649"/>
      <c r="K49" s="649"/>
      <c r="L49" s="649"/>
      <c r="M49" s="650"/>
      <c r="N49" s="649"/>
      <c r="O49" s="651"/>
      <c r="P49" s="2142"/>
      <c r="Q49" s="1977"/>
      <c r="R49" s="1977"/>
      <c r="S49" s="1977"/>
      <c r="T49" s="1977"/>
      <c r="U49" s="1977"/>
      <c r="V49" s="1977"/>
      <c r="W49" s="1977"/>
      <c r="X49" s="1977"/>
      <c r="Y49" s="1977"/>
      <c r="Z49" s="1977"/>
      <c r="AA49" s="1977"/>
      <c r="AB49" s="1977"/>
      <c r="AC49" s="1977"/>
    </row>
    <row r="50" spans="1:29" s="1215" customFormat="1" ht="15.75" thickBot="1">
      <c r="A50" s="652" t="s">
        <v>575</v>
      </c>
      <c r="B50" s="653"/>
      <c r="C50" s="654"/>
      <c r="D50" s="655"/>
      <c r="E50" s="655"/>
      <c r="F50" s="655"/>
      <c r="G50" s="655"/>
      <c r="H50" s="655"/>
      <c r="I50" s="655"/>
      <c r="J50" s="655"/>
      <c r="K50" s="655"/>
      <c r="L50" s="655"/>
      <c r="M50" s="656"/>
      <c r="N50" s="655"/>
      <c r="O50" s="657"/>
      <c r="P50" s="2142"/>
      <c r="Q50" s="2142"/>
      <c r="R50" s="1977"/>
      <c r="S50" s="1977"/>
      <c r="T50" s="1977"/>
      <c r="U50" s="1977"/>
      <c r="V50" s="1977"/>
      <c r="W50" s="1977"/>
      <c r="X50" s="1977"/>
      <c r="Y50" s="1977"/>
      <c r="Z50" s="1977"/>
      <c r="AA50" s="1977"/>
      <c r="AB50" s="1977"/>
      <c r="AC50" s="1977"/>
    </row>
    <row r="51" spans="1:29" s="1215" customFormat="1" ht="15">
      <c r="A51" s="658" t="s">
        <v>531</v>
      </c>
      <c r="B51" s="647"/>
      <c r="C51" s="659" t="s">
        <v>576</v>
      </c>
      <c r="D51" s="660"/>
      <c r="E51" s="660"/>
      <c r="F51" s="660"/>
      <c r="G51" s="660"/>
      <c r="H51" s="660"/>
      <c r="I51" s="660"/>
      <c r="J51" s="660"/>
      <c r="K51" s="660"/>
      <c r="L51" s="661"/>
      <c r="M51" s="662"/>
      <c r="N51" s="2146"/>
      <c r="O51" s="2146"/>
      <c r="P51" s="2147"/>
      <c r="Q51" s="2142"/>
      <c r="R51" s="1977"/>
      <c r="S51" s="1977"/>
      <c r="T51" s="1977"/>
      <c r="U51" s="1977"/>
      <c r="V51" s="1977"/>
      <c r="W51" s="1977"/>
      <c r="X51" s="1977"/>
      <c r="Y51" s="1977"/>
      <c r="Z51" s="1977"/>
      <c r="AA51" s="1977"/>
      <c r="AB51" s="1977"/>
      <c r="AC51" s="1977"/>
    </row>
    <row r="52" spans="1:29" s="1215" customFormat="1" ht="15.75" thickBot="1">
      <c r="A52" s="658"/>
      <c r="B52" s="647"/>
      <c r="C52" s="648">
        <v>100</v>
      </c>
      <c r="D52" s="649"/>
      <c r="E52" s="649"/>
      <c r="F52" s="649"/>
      <c r="G52" s="649"/>
      <c r="H52" s="649"/>
      <c r="I52" s="649"/>
      <c r="J52" s="649"/>
      <c r="K52" s="649"/>
      <c r="L52" s="649"/>
      <c r="M52" s="651"/>
      <c r="N52" s="2146"/>
      <c r="O52" s="2146"/>
      <c r="P52" s="2142"/>
      <c r="Q52" s="2142"/>
      <c r="R52" s="1977"/>
      <c r="S52" s="1977"/>
      <c r="T52" s="1977"/>
      <c r="U52" s="1977"/>
      <c r="V52" s="1977"/>
      <c r="W52" s="1977"/>
      <c r="X52" s="1977"/>
      <c r="Y52" s="1977"/>
      <c r="Z52" s="1977"/>
      <c r="AA52" s="1977"/>
      <c r="AB52" s="1977"/>
      <c r="AC52" s="1977"/>
    </row>
    <row r="53" spans="1:29">
      <c r="A53" s="663" t="s">
        <v>577</v>
      </c>
      <c r="B53" s="664" t="s">
        <v>534</v>
      </c>
      <c r="C53" s="703">
        <f>C9</f>
        <v>0</v>
      </c>
      <c r="D53" s="597"/>
      <c r="E53" s="597"/>
      <c r="F53" s="597"/>
      <c r="G53" s="597"/>
      <c r="H53" s="597"/>
      <c r="I53" s="597"/>
      <c r="J53" s="597"/>
      <c r="K53" s="665"/>
      <c r="L53" s="666"/>
      <c r="M53" s="667"/>
      <c r="N53" s="2148"/>
      <c r="O53" s="2148"/>
      <c r="P53" s="2149"/>
      <c r="Q53" s="2142"/>
      <c r="R53" s="2129"/>
      <c r="S53" s="2129"/>
      <c r="T53" s="2129"/>
      <c r="U53" s="2129"/>
      <c r="V53" s="2129"/>
      <c r="W53" s="2129"/>
      <c r="X53" s="2129"/>
      <c r="Y53" s="2129"/>
      <c r="Z53" s="2129"/>
      <c r="AA53" s="2129"/>
      <c r="AB53" s="2129"/>
      <c r="AC53" s="2129"/>
    </row>
    <row r="54" spans="1:29" ht="15.75" thickBot="1">
      <c r="A54" s="668"/>
      <c r="B54" s="669"/>
      <c r="C54" s="670"/>
      <c r="D54" s="670"/>
      <c r="E54" s="670"/>
      <c r="F54" s="670"/>
      <c r="G54" s="670"/>
      <c r="H54" s="670"/>
      <c r="I54" s="670"/>
      <c r="J54" s="670"/>
      <c r="K54" s="670"/>
      <c r="L54" s="670"/>
      <c r="M54" s="671"/>
      <c r="N54" s="2150"/>
      <c r="O54" s="2150"/>
      <c r="P54" s="2149"/>
      <c r="Q54" s="2142"/>
      <c r="R54" s="2129"/>
      <c r="S54" s="2129"/>
      <c r="T54" s="2129"/>
      <c r="U54" s="2129"/>
      <c r="V54" s="2129"/>
      <c r="W54" s="2129"/>
      <c r="X54" s="2129"/>
      <c r="Y54" s="2129"/>
      <c r="Z54" s="2129"/>
      <c r="AA54" s="2129"/>
      <c r="AB54" s="2129"/>
      <c r="AC54" s="2129"/>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8"/>
      <c r="O55" s="2148"/>
      <c r="P55" s="2149"/>
      <c r="Q55" s="2142"/>
      <c r="R55" s="2129"/>
      <c r="S55" s="2129"/>
      <c r="T55" s="2129"/>
      <c r="U55" s="2129"/>
      <c r="V55" s="2129"/>
      <c r="W55" s="2129"/>
      <c r="X55" s="2129"/>
      <c r="Y55" s="2129"/>
      <c r="Z55" s="2129"/>
      <c r="AA55" s="2129"/>
      <c r="AB55" s="2129"/>
      <c r="AC55" s="2129"/>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50"/>
      <c r="O56" s="2150"/>
      <c r="P56" s="2149"/>
      <c r="Q56" s="2142"/>
      <c r="R56" s="2129"/>
      <c r="S56" s="2129"/>
      <c r="T56" s="2129"/>
      <c r="U56" s="2129"/>
      <c r="V56" s="2129"/>
      <c r="W56" s="2129"/>
      <c r="X56" s="2129"/>
      <c r="Y56" s="2129"/>
      <c r="Z56" s="2129"/>
      <c r="AA56" s="2129"/>
      <c r="AB56" s="2129"/>
      <c r="AC56" s="2129"/>
    </row>
    <row r="57" spans="1:29" ht="15.75" thickTop="1">
      <c r="A57" s="668"/>
      <c r="B57" s="934">
        <f>B11</f>
        <v>111</v>
      </c>
      <c r="C57" s="540"/>
      <c r="D57" s="540"/>
      <c r="E57" s="540"/>
      <c r="F57" s="540"/>
      <c r="G57" s="540"/>
      <c r="H57" s="540"/>
      <c r="I57" s="540"/>
      <c r="J57" s="540"/>
      <c r="K57" s="683"/>
      <c r="L57" s="684"/>
      <c r="M57" s="685"/>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91"/>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s="1334" customFormat="1" ht="15.75" thickTop="1">
      <c r="A59" s="686"/>
      <c r="B59" s="672">
        <f>B12</f>
        <v>111</v>
      </c>
      <c r="C59" s="540"/>
      <c r="D59" s="540"/>
      <c r="E59" s="540"/>
      <c r="F59" s="540"/>
      <c r="G59" s="687"/>
      <c r="H59" s="688"/>
      <c r="I59" s="688"/>
      <c r="J59" s="688"/>
      <c r="K59" s="688"/>
      <c r="L59" s="689"/>
      <c r="M59" s="690"/>
      <c r="N59" s="2151"/>
      <c r="O59" s="2151"/>
      <c r="P59" s="2152"/>
      <c r="Q59" s="2153"/>
      <c r="R59" s="2154"/>
      <c r="S59" s="2154"/>
      <c r="T59" s="2154"/>
      <c r="U59" s="2154"/>
      <c r="V59" s="2154"/>
      <c r="W59" s="2154"/>
      <c r="X59" s="2154"/>
      <c r="Y59" s="2154"/>
      <c r="Z59" s="2154"/>
      <c r="AA59" s="2154"/>
      <c r="AB59" s="2154"/>
      <c r="AC59" s="2154"/>
    </row>
    <row r="60" spans="1:29" s="1334" customFormat="1" ht="15.75" thickBot="1">
      <c r="A60" s="686"/>
      <c r="B60" s="677"/>
      <c r="C60" s="691"/>
      <c r="D60" s="670"/>
      <c r="E60" s="670"/>
      <c r="F60" s="670"/>
      <c r="G60" s="670"/>
      <c r="H60" s="670"/>
      <c r="I60" s="670"/>
      <c r="J60" s="670"/>
      <c r="K60" s="670"/>
      <c r="L60" s="670"/>
      <c r="M60" s="671"/>
      <c r="N60" s="2150"/>
      <c r="O60" s="2150"/>
      <c r="P60" s="2152"/>
      <c r="Q60" s="2153"/>
      <c r="R60" s="2154"/>
      <c r="S60" s="2154"/>
      <c r="T60" s="2154"/>
      <c r="U60" s="2154"/>
      <c r="V60" s="2154"/>
      <c r="W60" s="2154"/>
      <c r="X60" s="2154"/>
      <c r="Y60" s="2154"/>
      <c r="Z60" s="2154"/>
      <c r="AA60" s="2154"/>
      <c r="AB60" s="2154"/>
      <c r="AC60" s="2154"/>
    </row>
    <row r="61" spans="1:29" s="1334" customFormat="1" ht="15.75" thickTop="1">
      <c r="A61" s="686"/>
      <c r="B61" s="672">
        <f>B13</f>
        <v>111</v>
      </c>
      <c r="C61" s="687"/>
      <c r="D61" s="687"/>
      <c r="E61" s="687"/>
      <c r="F61" s="687"/>
      <c r="G61" s="687"/>
      <c r="H61" s="688"/>
      <c r="I61" s="688"/>
      <c r="J61" s="688"/>
      <c r="K61" s="688"/>
      <c r="L61" s="689"/>
      <c r="M61" s="690"/>
      <c r="N61" s="2151"/>
      <c r="O61" s="2151"/>
      <c r="P61" s="2155"/>
      <c r="Q61" s="2156"/>
      <c r="R61" s="2154"/>
      <c r="S61" s="2154"/>
      <c r="T61" s="2154"/>
      <c r="U61" s="2154"/>
      <c r="V61" s="2154"/>
      <c r="W61" s="2154"/>
      <c r="X61" s="2154"/>
      <c r="Y61" s="2154"/>
      <c r="Z61" s="2154"/>
      <c r="AA61" s="2154"/>
      <c r="AB61" s="2154"/>
      <c r="AC61" s="2154"/>
    </row>
    <row r="62" spans="1:29" s="1334" customFormat="1" ht="15.75" thickBot="1">
      <c r="A62" s="686"/>
      <c r="B62" s="677"/>
      <c r="C62" s="691"/>
      <c r="D62" s="691"/>
      <c r="E62" s="691"/>
      <c r="F62" s="691"/>
      <c r="G62" s="691"/>
      <c r="H62" s="692"/>
      <c r="I62" s="692"/>
      <c r="J62" s="692"/>
      <c r="K62" s="692"/>
      <c r="L62" s="692"/>
      <c r="M62" s="693"/>
      <c r="N62" s="2151"/>
      <c r="O62" s="2151"/>
      <c r="P62" s="2152"/>
      <c r="Q62" s="2153"/>
      <c r="R62" s="2154"/>
      <c r="S62" s="2154"/>
      <c r="T62" s="2154"/>
      <c r="U62" s="2154"/>
      <c r="V62" s="2154"/>
      <c r="W62" s="2154"/>
      <c r="X62" s="2154"/>
      <c r="Y62" s="2154"/>
      <c r="Z62" s="2154"/>
      <c r="AA62" s="2154"/>
      <c r="AB62" s="2154"/>
      <c r="AC62" s="2154"/>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8"/>
      <c r="O63" s="2148"/>
      <c r="P63" s="2158"/>
      <c r="Q63" s="2142"/>
      <c r="R63" s="2129"/>
      <c r="S63" s="2129"/>
      <c r="T63" s="2129"/>
      <c r="U63" s="2129"/>
      <c r="V63" s="2129"/>
      <c r="W63" s="2129"/>
      <c r="X63" s="2129"/>
      <c r="Y63" s="2129"/>
      <c r="Z63" s="2129"/>
      <c r="AA63" s="2129"/>
      <c r="AB63" s="2129"/>
      <c r="AC63" s="2129"/>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1880" t="s">
        <v>2554</v>
      </c>
      <c r="C65" s="707" t="s">
        <v>579</v>
      </c>
      <c r="D65" s="707" t="s">
        <v>580</v>
      </c>
      <c r="E65" s="707" t="s">
        <v>581</v>
      </c>
      <c r="F65" s="707" t="s">
        <v>582</v>
      </c>
      <c r="G65" s="707" t="s">
        <v>583</v>
      </c>
      <c r="H65" s="673"/>
      <c r="I65" s="673"/>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2560" t="s">
        <v>2555</v>
      </c>
      <c r="C67" s="2561" t="s">
        <v>2556</v>
      </c>
      <c r="D67" s="2561" t="s">
        <v>2557</v>
      </c>
      <c r="E67" s="2561" t="s">
        <v>2558</v>
      </c>
      <c r="F67" s="2561" t="s">
        <v>2559</v>
      </c>
      <c r="G67" s="2561" t="s">
        <v>2560</v>
      </c>
      <c r="H67" s="673"/>
      <c r="I67" s="673"/>
      <c r="J67" s="673"/>
      <c r="K67" s="673"/>
      <c r="L67" s="673"/>
      <c r="M67" s="2564"/>
      <c r="N67" s="2150"/>
      <c r="O67" s="2150"/>
      <c r="P67" s="2149"/>
      <c r="Q67" s="2142"/>
      <c r="R67" s="2129"/>
      <c r="S67" s="2129"/>
      <c r="T67" s="2129"/>
      <c r="U67" s="2129"/>
      <c r="V67" s="2129"/>
      <c r="W67" s="2129"/>
      <c r="X67" s="2129"/>
      <c r="Y67" s="2129"/>
      <c r="Z67" s="2129"/>
      <c r="AA67" s="2129"/>
      <c r="AB67" s="2129"/>
      <c r="AC67" s="2129"/>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744</v>
      </c>
      <c r="C69" s="707" t="s">
        <v>579</v>
      </c>
      <c r="D69" s="707" t="s">
        <v>580</v>
      </c>
      <c r="E69" s="707" t="s">
        <v>581</v>
      </c>
      <c r="F69" s="707" t="s">
        <v>582</v>
      </c>
      <c r="G69" s="707" t="s">
        <v>583</v>
      </c>
      <c r="H69" s="673"/>
      <c r="I69" s="673"/>
      <c r="J69" s="673"/>
      <c r="K69" s="674"/>
      <c r="L69" s="675"/>
      <c r="M69" s="676"/>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ht="15.75" thickTop="1">
      <c r="A71" s="668"/>
      <c r="B71" s="672" t="s">
        <v>745</v>
      </c>
      <c r="C71" s="687"/>
      <c r="D71" s="687"/>
      <c r="E71" s="687"/>
      <c r="F71" s="687"/>
      <c r="G71" s="687"/>
      <c r="H71" s="717"/>
      <c r="I71" s="717"/>
      <c r="J71" s="717"/>
      <c r="K71" s="718"/>
      <c r="L71" s="719"/>
      <c r="M71" s="720"/>
      <c r="N71" s="2148"/>
      <c r="O71" s="2148"/>
      <c r="P71" s="2149"/>
      <c r="Q71" s="2142"/>
      <c r="R71" s="2129"/>
      <c r="S71" s="2129"/>
      <c r="T71" s="2129"/>
      <c r="U71" s="2129"/>
      <c r="V71" s="2129"/>
      <c r="W71" s="2129"/>
      <c r="X71" s="2129"/>
      <c r="Y71" s="2129"/>
      <c r="Z71" s="2129"/>
      <c r="AA71" s="2129"/>
      <c r="AB71" s="2129"/>
      <c r="AC71" s="2129"/>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0"/>
      <c r="O72" s="2150"/>
      <c r="P72" s="2149"/>
      <c r="Q72" s="2142"/>
      <c r="R72" s="2129"/>
      <c r="S72" s="2129"/>
      <c r="T72" s="2129"/>
      <c r="U72" s="2129"/>
      <c r="V72" s="2129"/>
      <c r="W72" s="2129"/>
      <c r="X72" s="2129"/>
      <c r="Y72" s="2129"/>
      <c r="Z72" s="2129"/>
      <c r="AA72" s="2129"/>
      <c r="AB72" s="2129"/>
      <c r="AC72" s="2129"/>
    </row>
    <row r="73" spans="1:29" s="1215" customFormat="1" ht="15.75" thickTop="1">
      <c r="A73" s="708"/>
      <c r="B73" s="672">
        <f>B23</f>
        <v>111</v>
      </c>
      <c r="C73" s="540"/>
      <c r="D73" s="540"/>
      <c r="E73" s="540"/>
      <c r="F73" s="540"/>
      <c r="G73" s="687"/>
      <c r="H73" s="687"/>
      <c r="I73" s="687"/>
      <c r="J73" s="687"/>
      <c r="K73" s="687"/>
      <c r="L73" s="889"/>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215" customFormat="1" ht="15.75" thickTop="1">
      <c r="A75" s="708"/>
      <c r="B75" s="672">
        <f>B24</f>
        <v>111</v>
      </c>
      <c r="C75" s="540"/>
      <c r="D75" s="540"/>
      <c r="E75" s="540"/>
      <c r="F75" s="540"/>
      <c r="G75" s="687"/>
      <c r="H75" s="687"/>
      <c r="I75" s="687"/>
      <c r="J75" s="687"/>
      <c r="K75" s="687"/>
      <c r="L75" s="687"/>
      <c r="M75" s="890"/>
      <c r="N75" s="2146"/>
      <c r="O75" s="2146"/>
      <c r="P75" s="2149"/>
      <c r="Q75" s="2142"/>
      <c r="R75" s="1977"/>
      <c r="S75" s="1977"/>
      <c r="T75" s="1977"/>
      <c r="U75" s="1977"/>
      <c r="V75" s="1977"/>
      <c r="W75" s="1977"/>
      <c r="X75" s="1977"/>
      <c r="Y75" s="1977"/>
      <c r="Z75" s="1977"/>
      <c r="AA75" s="1977"/>
      <c r="AB75" s="1977"/>
      <c r="AC75" s="1977"/>
    </row>
    <row r="76" spans="1:29" s="1215" customFormat="1" ht="15.75" thickBot="1">
      <c r="A76" s="708"/>
      <c r="B76" s="677"/>
      <c r="C76" s="691"/>
      <c r="D76" s="670"/>
      <c r="E76" s="670"/>
      <c r="F76" s="670"/>
      <c r="G76" s="670"/>
      <c r="H76" s="670"/>
      <c r="I76" s="670"/>
      <c r="J76" s="670"/>
      <c r="K76" s="670"/>
      <c r="L76" s="670"/>
      <c r="M76" s="671"/>
      <c r="N76" s="2150"/>
      <c r="O76" s="2150"/>
      <c r="P76" s="2149"/>
      <c r="Q76" s="2142"/>
      <c r="R76" s="1977"/>
      <c r="S76" s="1977"/>
      <c r="T76" s="1977"/>
      <c r="U76" s="1977"/>
      <c r="V76" s="1977"/>
      <c r="W76" s="1977"/>
      <c r="X76" s="1977"/>
      <c r="Y76" s="1977"/>
      <c r="Z76" s="1977"/>
      <c r="AA76" s="1977"/>
      <c r="AB76" s="1977"/>
      <c r="AC76" s="1977"/>
    </row>
    <row r="77" spans="1:29" s="1334" customFormat="1" ht="15.75" thickTop="1">
      <c r="A77" s="686"/>
      <c r="B77" s="672">
        <f>B25</f>
        <v>111</v>
      </c>
      <c r="C77" s="687"/>
      <c r="D77" s="687"/>
      <c r="E77" s="687"/>
      <c r="F77" s="687"/>
      <c r="G77" s="687"/>
      <c r="H77" s="688"/>
      <c r="I77" s="688"/>
      <c r="J77" s="688"/>
      <c r="K77" s="688"/>
      <c r="L77" s="689"/>
      <c r="M77" s="690"/>
      <c r="N77" s="2151"/>
      <c r="O77" s="2151"/>
      <c r="P77" s="2152"/>
      <c r="Q77" s="2153"/>
      <c r="R77" s="2154"/>
      <c r="S77" s="2154"/>
      <c r="T77" s="2154"/>
      <c r="U77" s="2154"/>
      <c r="V77" s="2154"/>
      <c r="W77" s="2154"/>
      <c r="X77" s="2154"/>
      <c r="Y77" s="2154"/>
      <c r="Z77" s="2154"/>
      <c r="AA77" s="2154"/>
      <c r="AB77" s="2154"/>
      <c r="AC77" s="2154"/>
    </row>
    <row r="78" spans="1:29" s="1334" customFormat="1" ht="15.75" thickBot="1">
      <c r="A78" s="686"/>
      <c r="B78" s="677"/>
      <c r="C78" s="691"/>
      <c r="D78" s="691"/>
      <c r="E78" s="691"/>
      <c r="F78" s="691"/>
      <c r="G78" s="670"/>
      <c r="H78" s="670"/>
      <c r="I78" s="670"/>
      <c r="J78" s="670"/>
      <c r="K78" s="670"/>
      <c r="L78" s="670"/>
      <c r="M78" s="671"/>
      <c r="N78" s="2151"/>
      <c r="O78" s="2151"/>
      <c r="P78" s="2152"/>
      <c r="Q78" s="2153"/>
      <c r="R78" s="2154"/>
      <c r="S78" s="2154"/>
      <c r="T78" s="2154"/>
      <c r="U78" s="2154"/>
      <c r="V78" s="2154"/>
      <c r="W78" s="2154"/>
      <c r="X78" s="2154"/>
      <c r="Y78" s="2154"/>
      <c r="Z78" s="2154"/>
      <c r="AA78" s="2154"/>
      <c r="AB78" s="2154"/>
      <c r="AC78" s="2154"/>
    </row>
    <row r="79" spans="1:29" ht="27.75" thickTop="1">
      <c r="A79" s="663" t="s">
        <v>551</v>
      </c>
      <c r="B79" s="664" t="s">
        <v>814</v>
      </c>
      <c r="C79" s="703">
        <f>C26</f>
        <v>0</v>
      </c>
      <c r="D79" s="597"/>
      <c r="E79" s="597"/>
      <c r="F79" s="597"/>
      <c r="G79" s="597"/>
      <c r="H79" s="597"/>
      <c r="I79" s="597"/>
      <c r="J79" s="597"/>
      <c r="K79" s="665"/>
      <c r="L79" s="666"/>
      <c r="M79" s="667"/>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8"/>
      <c r="B81" s="672"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4" customFormat="1" ht="15.75" thickBot="1">
      <c r="A82" s="686"/>
      <c r="B82" s="677"/>
      <c r="C82" s="691"/>
      <c r="D82" s="670"/>
      <c r="E82" s="670"/>
      <c r="F82" s="670"/>
      <c r="G82" s="670"/>
      <c r="H82" s="670"/>
      <c r="I82" s="670"/>
      <c r="J82" s="670"/>
      <c r="K82" s="670"/>
      <c r="L82" s="670"/>
      <c r="M82" s="671"/>
      <c r="N82" s="2150"/>
      <c r="O82" s="2150"/>
      <c r="P82" s="2152"/>
      <c r="Q82" s="2153"/>
      <c r="R82" s="2154"/>
      <c r="S82" s="2154"/>
      <c r="T82" s="2154"/>
      <c r="U82" s="2154"/>
      <c r="V82" s="2154"/>
      <c r="W82" s="2154"/>
      <c r="X82" s="2154"/>
      <c r="Y82" s="2154"/>
      <c r="Z82" s="2154"/>
      <c r="AA82" s="2154"/>
      <c r="AB82" s="2154"/>
      <c r="AC82" s="2154"/>
    </row>
    <row r="83" spans="1:29" ht="15" thickTop="1">
      <c r="A83" s="734"/>
      <c r="B83" s="672" t="s">
        <v>751</v>
      </c>
      <c r="C83" s="687"/>
      <c r="D83" s="687"/>
      <c r="E83" s="717"/>
      <c r="F83" s="717"/>
      <c r="G83" s="717"/>
      <c r="H83" s="717"/>
      <c r="I83" s="717"/>
      <c r="J83" s="717"/>
      <c r="K83" s="718"/>
      <c r="L83" s="719"/>
      <c r="M83" s="720"/>
      <c r="N83" s="2148"/>
      <c r="O83" s="2148"/>
      <c r="P83" s="2149"/>
      <c r="Q83" s="2142"/>
      <c r="R83" s="2129"/>
      <c r="S83" s="2129"/>
      <c r="T83" s="2129"/>
      <c r="U83" s="2129"/>
      <c r="V83" s="2129"/>
      <c r="W83" s="2129"/>
      <c r="X83" s="2129"/>
      <c r="Y83" s="2129"/>
      <c r="Z83" s="2129"/>
      <c r="AA83" s="2129"/>
      <c r="AB83" s="2129"/>
      <c r="AC83" s="2129"/>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8"/>
      <c r="O85" s="2148"/>
      <c r="P85" s="2149"/>
      <c r="Q85" s="2142"/>
      <c r="R85" s="2129"/>
      <c r="S85" s="2129"/>
      <c r="T85" s="2129"/>
      <c r="U85" s="2129"/>
      <c r="V85" s="2129"/>
      <c r="W85" s="2129"/>
      <c r="X85" s="2129"/>
      <c r="Y85" s="2129"/>
      <c r="Z85" s="2129"/>
      <c r="AA85" s="2129"/>
      <c r="AB85" s="2129"/>
      <c r="AC85" s="2129"/>
    </row>
    <row r="86" spans="1:29">
      <c r="A86" s="734"/>
      <c r="B86" s="680"/>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4"/>
      <c r="B88" s="680" t="s">
        <v>817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7"/>
      <c r="B91" s="680"/>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1"/>
      <c r="O92" s="2151"/>
      <c r="P92" s="2152"/>
      <c r="Q92" s="2153"/>
      <c r="R92" s="2154"/>
      <c r="S92" s="2154"/>
      <c r="T92" s="2154"/>
      <c r="U92" s="2154"/>
      <c r="V92" s="2154"/>
      <c r="W92" s="2154"/>
      <c r="X92" s="2154"/>
      <c r="Y92" s="2154"/>
      <c r="Z92" s="2154"/>
      <c r="AA92" s="2154"/>
      <c r="AB92" s="2154"/>
      <c r="AC92" s="2154"/>
    </row>
    <row r="93" spans="1:29" ht="15" thickTop="1">
      <c r="A93" s="734"/>
      <c r="B93" s="672" t="s">
        <v>819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820</v>
      </c>
      <c r="C95" s="597"/>
      <c r="D95" s="597"/>
      <c r="E95" s="597"/>
      <c r="F95" s="597"/>
      <c r="G95" s="597"/>
      <c r="H95" s="597"/>
      <c r="I95" s="597"/>
      <c r="J95" s="597"/>
      <c r="K95" s="665"/>
      <c r="L95" s="666"/>
      <c r="M95" s="667"/>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0"/>
      <c r="O96" s="2150"/>
      <c r="P96" s="2149"/>
      <c r="Q96" s="2142"/>
      <c r="R96" s="2129"/>
      <c r="S96" s="2129"/>
      <c r="T96" s="2129"/>
      <c r="U96" s="2129"/>
      <c r="V96" s="2129"/>
      <c r="W96" s="2129"/>
      <c r="X96" s="2129"/>
      <c r="Y96" s="2129"/>
      <c r="Z96" s="2129"/>
      <c r="AA96" s="2129"/>
      <c r="AB96" s="2129"/>
      <c r="AC96" s="2129"/>
    </row>
    <row r="97" spans="1:29" ht="15" thickTop="1">
      <c r="A97" s="734"/>
      <c r="B97" s="916">
        <f>B34</f>
        <v>111</v>
      </c>
      <c r="C97" s="540"/>
      <c r="D97" s="540"/>
      <c r="E97" s="540"/>
      <c r="F97" s="540"/>
      <c r="G97" s="687"/>
      <c r="H97" s="688"/>
      <c r="I97" s="688"/>
      <c r="J97" s="688"/>
      <c r="K97" s="688"/>
      <c r="L97" s="689"/>
      <c r="M97" s="690"/>
      <c r="N97" s="2150"/>
      <c r="O97" s="2150"/>
      <c r="P97" s="2189"/>
      <c r="Q97" s="2190"/>
      <c r="R97" s="2129"/>
      <c r="S97" s="2129"/>
      <c r="T97" s="2129"/>
      <c r="U97" s="2129"/>
      <c r="V97" s="2129"/>
      <c r="W97" s="2129"/>
      <c r="X97" s="2129"/>
      <c r="Y97" s="2129"/>
      <c r="Z97" s="2129"/>
      <c r="AA97" s="2129"/>
      <c r="AB97" s="2129"/>
      <c r="AC97" s="2129"/>
    </row>
    <row r="98" spans="1:29" ht="15.75" thickBot="1">
      <c r="A98" s="668"/>
      <c r="B98" s="677"/>
      <c r="C98" s="691"/>
      <c r="D98" s="670"/>
      <c r="E98" s="670"/>
      <c r="F98" s="670"/>
      <c r="G98" s="691"/>
      <c r="H98" s="692"/>
      <c r="I98" s="692"/>
      <c r="J98" s="692"/>
      <c r="K98" s="692"/>
      <c r="L98" s="692"/>
      <c r="M98" s="693"/>
      <c r="N98" s="2150"/>
      <c r="O98" s="2150"/>
      <c r="P98" s="2149"/>
      <c r="Q98" s="2142"/>
      <c r="R98" s="2129"/>
      <c r="S98" s="2129"/>
      <c r="T98" s="2129"/>
      <c r="U98" s="2129"/>
      <c r="V98" s="2129"/>
      <c r="W98" s="2129"/>
      <c r="X98" s="2129"/>
      <c r="Y98" s="2129"/>
      <c r="Z98" s="2129"/>
      <c r="AA98" s="2129"/>
      <c r="AB98" s="2129"/>
      <c r="AC98" s="2129"/>
    </row>
    <row r="99" spans="1:29" s="1334" customFormat="1" ht="15" thickTop="1">
      <c r="A99" s="727"/>
      <c r="B99" s="672">
        <f>B35</f>
        <v>111</v>
      </c>
      <c r="C99" s="540"/>
      <c r="D99" s="540"/>
      <c r="E99" s="540"/>
      <c r="F99" s="540"/>
      <c r="G99" s="687"/>
      <c r="H99" s="688"/>
      <c r="I99" s="688"/>
      <c r="J99" s="688"/>
      <c r="K99" s="688"/>
      <c r="L99" s="689"/>
      <c r="M99" s="690"/>
      <c r="N99" s="2151"/>
      <c r="O99" s="2151"/>
      <c r="P99" s="2152"/>
      <c r="Q99" s="2153"/>
      <c r="R99" s="2154"/>
      <c r="S99" s="2154"/>
      <c r="T99" s="2154"/>
      <c r="U99" s="2154"/>
      <c r="V99" s="2154"/>
      <c r="W99" s="2154"/>
      <c r="X99" s="2154"/>
      <c r="Y99" s="2154"/>
      <c r="Z99" s="2154"/>
      <c r="AA99" s="2154"/>
      <c r="AB99" s="2154"/>
      <c r="AC99" s="2154"/>
    </row>
    <row r="100" spans="1:29" s="1334" customFormat="1" ht="15.75" thickBot="1">
      <c r="A100" s="686"/>
      <c r="B100" s="669"/>
      <c r="C100" s="691"/>
      <c r="D100" s="670"/>
      <c r="E100" s="670"/>
      <c r="F100" s="670"/>
      <c r="G100" s="691"/>
      <c r="H100" s="692"/>
      <c r="I100" s="692"/>
      <c r="J100" s="692"/>
      <c r="K100" s="692"/>
      <c r="L100" s="692"/>
      <c r="M100" s="693"/>
      <c r="N100" s="2151"/>
      <c r="O100" s="2151"/>
      <c r="P100" s="2152"/>
      <c r="Q100" s="2153"/>
      <c r="R100" s="2154"/>
      <c r="S100" s="2154"/>
      <c r="T100" s="2154"/>
      <c r="U100" s="2154"/>
      <c r="V100" s="2154"/>
      <c r="W100" s="2154"/>
      <c r="X100" s="2154"/>
      <c r="Y100" s="2154"/>
      <c r="Z100" s="2154"/>
      <c r="AA100" s="2154"/>
      <c r="AB100" s="2154"/>
      <c r="AC100" s="2154"/>
    </row>
    <row r="101" spans="1:29" ht="15" thickTop="1">
      <c r="A101" s="734"/>
      <c r="B101" s="672">
        <f>B36</f>
        <v>111</v>
      </c>
      <c r="C101" s="687"/>
      <c r="D101" s="687"/>
      <c r="E101" s="687"/>
      <c r="F101" s="687"/>
      <c r="G101" s="687"/>
      <c r="H101" s="688"/>
      <c r="I101" s="688"/>
      <c r="J101" s="688"/>
      <c r="K101" s="688"/>
      <c r="L101" s="689"/>
      <c r="M101" s="69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91"/>
      <c r="D102" s="691"/>
      <c r="E102" s="691"/>
      <c r="F102" s="691"/>
      <c r="G102" s="691"/>
      <c r="H102" s="692"/>
      <c r="I102" s="692"/>
      <c r="J102" s="692"/>
      <c r="K102" s="692"/>
      <c r="L102" s="692"/>
      <c r="M102" s="693"/>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645"/>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795</v>
      </c>
      <c r="B3" s="509" t="e">
        <f>C37</f>
        <v>#DIV/0!</v>
      </c>
      <c r="C3" s="851" t="s">
        <v>796</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3481" t="s">
        <v>798</v>
      </c>
      <c r="D4" s="3482"/>
      <c r="E4" s="3483" t="s">
        <v>799</v>
      </c>
      <c r="F4" s="3484"/>
      <c r="G4" s="3481" t="s">
        <v>800</v>
      </c>
      <c r="H4" s="3482"/>
      <c r="I4" s="3481" t="s">
        <v>801</v>
      </c>
      <c r="J4" s="3482"/>
      <c r="K4" s="513" t="s">
        <v>802</v>
      </c>
      <c r="L4" s="2117"/>
      <c r="M4" s="2118"/>
      <c r="N4" s="2118"/>
      <c r="O4" s="2118"/>
      <c r="P4" s="3485" t="s">
        <v>803</v>
      </c>
      <c r="Q4" s="3486"/>
      <c r="R4" s="3491" t="s">
        <v>799</v>
      </c>
      <c r="S4" s="3492"/>
      <c r="T4" s="3491" t="s">
        <v>800</v>
      </c>
      <c r="U4" s="3492"/>
      <c r="V4" s="3471" t="s">
        <v>801</v>
      </c>
      <c r="W4" s="3471"/>
      <c r="X4" s="1552"/>
      <c r="Y4" s="3491" t="s">
        <v>803</v>
      </c>
      <c r="Z4" s="3492"/>
      <c r="AA4" s="3478" t="s">
        <v>799</v>
      </c>
      <c r="AB4" s="3479" t="s">
        <v>800</v>
      </c>
      <c r="AC4" s="3478" t="s">
        <v>801</v>
      </c>
    </row>
    <row r="5" spans="1:29" ht="15">
      <c r="A5" s="514"/>
      <c r="B5" s="515"/>
      <c r="C5" s="3499" t="s">
        <v>2926</v>
      </c>
      <c r="D5" s="3500"/>
      <c r="E5" s="3497" t="s">
        <v>2927</v>
      </c>
      <c r="F5" s="3498"/>
      <c r="G5" s="3499" t="s">
        <v>2928</v>
      </c>
      <c r="H5" s="3500"/>
      <c r="I5" s="3499" t="s">
        <v>2929</v>
      </c>
      <c r="J5" s="3500"/>
      <c r="K5" s="513"/>
      <c r="L5" s="2117"/>
      <c r="M5" s="2118"/>
      <c r="N5" s="2118"/>
      <c r="O5" s="2118"/>
      <c r="P5" s="3487"/>
      <c r="Q5" s="3488"/>
      <c r="R5" s="3493"/>
      <c r="S5" s="3494"/>
      <c r="T5" s="3493"/>
      <c r="U5" s="3494"/>
      <c r="V5" s="3471"/>
      <c r="W5" s="3471"/>
      <c r="X5" s="1552"/>
      <c r="Y5" s="3493"/>
      <c r="Z5" s="3494"/>
      <c r="AA5" s="3479"/>
      <c r="AB5" s="3479"/>
      <c r="AC5" s="3479"/>
    </row>
    <row r="6" spans="1:29" ht="15.75" thickBot="1">
      <c r="A6" s="516"/>
      <c r="B6" s="517"/>
      <c r="C6" s="3501" t="s">
        <v>2930</v>
      </c>
      <c r="D6" s="3502"/>
      <c r="E6" s="3504" t="s">
        <v>2930</v>
      </c>
      <c r="F6" s="3505"/>
      <c r="G6" s="3501" t="s">
        <v>2930</v>
      </c>
      <c r="H6" s="3502"/>
      <c r="I6" s="3501" t="s">
        <v>2930</v>
      </c>
      <c r="J6" s="3502"/>
      <c r="K6" s="513" t="s">
        <v>528</v>
      </c>
      <c r="L6" s="2117"/>
      <c r="M6" s="2118"/>
      <c r="N6" s="2118"/>
      <c r="O6" s="2118"/>
      <c r="P6" s="3489"/>
      <c r="Q6" s="3490"/>
      <c r="R6" s="3493"/>
      <c r="S6" s="3494"/>
      <c r="T6" s="3495"/>
      <c r="U6" s="3496"/>
      <c r="V6" s="3471"/>
      <c r="W6" s="3471"/>
      <c r="X6" s="1552"/>
      <c r="Y6" s="3495"/>
      <c r="Z6" s="3496"/>
      <c r="AA6" s="3480"/>
      <c r="AB6" s="3480"/>
      <c r="AC6" s="3480"/>
    </row>
    <row r="7" spans="1:29" s="1215" customFormat="1" ht="15.75" thickBot="1">
      <c r="A7" s="2750"/>
      <c r="B7" s="2757" t="s">
        <v>529</v>
      </c>
      <c r="C7" s="518">
        <f>'数据-取费表'!B2</f>
        <v>44078</v>
      </c>
      <c r="D7" s="519">
        <v>100</v>
      </c>
      <c r="E7" s="520"/>
      <c r="F7" s="521">
        <f>SUMIF(46:46,YEAR(E7)&amp;"-"&amp;MONTH(E7),47:47)</f>
        <v>0</v>
      </c>
      <c r="G7" s="522"/>
      <c r="H7" s="519">
        <f>SUMIF(46:46,YEAR(G7)&amp;"-"&amp;MONTH(G7),47:47)</f>
        <v>0</v>
      </c>
      <c r="I7" s="522"/>
      <c r="J7" s="519">
        <f>SUMIF(46:46,YEAR(I7)&amp;"-"&amp;MONTH(I7),47:47)</f>
        <v>0</v>
      </c>
      <c r="K7" s="523"/>
      <c r="L7" s="2119"/>
      <c r="M7" s="2120"/>
      <c r="N7" s="2120"/>
      <c r="O7" s="2120"/>
      <c r="P7" s="3476" t="s">
        <v>530</v>
      </c>
      <c r="Q7" s="3503"/>
      <c r="R7" s="1553" t="s">
        <v>8</v>
      </c>
      <c r="S7" s="1554">
        <f t="shared" ref="S7:S14" si="0">F7</f>
        <v>0</v>
      </c>
      <c r="T7" s="1553" t="s">
        <v>8</v>
      </c>
      <c r="U7" s="1554">
        <f t="shared" ref="U7:U14" si="1">H7</f>
        <v>0</v>
      </c>
      <c r="V7" s="1553" t="s">
        <v>8</v>
      </c>
      <c r="W7" s="1554">
        <f t="shared" ref="W7:W14" si="2">J7</f>
        <v>0</v>
      </c>
      <c r="X7" s="1555"/>
      <c r="Y7" s="3476" t="s">
        <v>530</v>
      </c>
      <c r="Z7" s="3477"/>
      <c r="AA7" s="1556" t="e">
        <f>D7/F7</f>
        <v>#DIV/0!</v>
      </c>
      <c r="AB7" s="1556" t="e">
        <f>D7/H7</f>
        <v>#DIV/0!</v>
      </c>
      <c r="AC7" s="1556" t="e">
        <f>D7/J7</f>
        <v>#DIV/0!</v>
      </c>
    </row>
    <row r="8" spans="1:29" s="1215" customFormat="1" ht="15.75" thickBot="1">
      <c r="A8" s="2751"/>
      <c r="B8" s="2758" t="s">
        <v>531</v>
      </c>
      <c r="C8" s="524" t="s">
        <v>576</v>
      </c>
      <c r="D8" s="519">
        <v>100</v>
      </c>
      <c r="E8" s="524"/>
      <c r="F8" s="521">
        <f>SUMIF(49:49,E8,50:50)-SUMIF(49:49,C8,50:50)+100</f>
        <v>0</v>
      </c>
      <c r="G8" s="524"/>
      <c r="H8" s="519">
        <f>SUMIF(49:49,G8,50:50)-SUMIF(49:49,C8,50:50)+100</f>
        <v>0</v>
      </c>
      <c r="I8" s="524"/>
      <c r="J8" s="519">
        <f>SUMIF(49:49,I8,50:50)-SUMIF(49:49,C8,50:50)+100</f>
        <v>0</v>
      </c>
      <c r="K8" s="523"/>
      <c r="L8" s="2119"/>
      <c r="M8" s="2120"/>
      <c r="N8" s="2120"/>
      <c r="O8" s="2120"/>
      <c r="P8" s="3476" t="s">
        <v>533</v>
      </c>
      <c r="Q8" s="3477"/>
      <c r="R8" s="1553" t="s">
        <v>8</v>
      </c>
      <c r="S8" s="1554">
        <f t="shared" si="0"/>
        <v>0</v>
      </c>
      <c r="T8" s="1553" t="s">
        <v>8</v>
      </c>
      <c r="U8" s="1554">
        <f t="shared" si="1"/>
        <v>0</v>
      </c>
      <c r="V8" s="1553" t="s">
        <v>8</v>
      </c>
      <c r="W8" s="1554">
        <f t="shared" si="2"/>
        <v>0</v>
      </c>
      <c r="X8" s="1555"/>
      <c r="Y8" s="3476" t="s">
        <v>533</v>
      </c>
      <c r="Z8" s="3477"/>
      <c r="AA8" s="1556" t="e">
        <f t="shared" ref="AA8:AA34" si="3">D8/F8</f>
        <v>#DIV/0!</v>
      </c>
      <c r="AB8" s="1556" t="e">
        <f t="shared" ref="AB8:AB34" si="4">D8/H8</f>
        <v>#DIV/0!</v>
      </c>
      <c r="AC8" s="1556" t="e">
        <f t="shared" ref="AC8:AC34" si="5">D8/J8</f>
        <v>#DIV/0!</v>
      </c>
    </row>
    <row r="9" spans="1:29" s="1215" customFormat="1" ht="15">
      <c r="A9" s="2752"/>
      <c r="B9" s="2759" t="s">
        <v>2752</v>
      </c>
      <c r="C9" s="856"/>
      <c r="D9" s="253">
        <v>100</v>
      </c>
      <c r="E9" s="859"/>
      <c r="F9" s="253">
        <f>SUMIF(51:51,E9,52:52)-SUMIF(51:51,C9,52:52)+100</f>
        <v>100</v>
      </c>
      <c r="G9" s="859"/>
      <c r="H9" s="253">
        <f>SUMIF(51:51,G9,52:52)-SUMIF(51:51,C9,52:52)+100</f>
        <v>100</v>
      </c>
      <c r="I9" s="859"/>
      <c r="J9" s="253">
        <f>SUMIF(51:51,I9,52:52)-SUMIF(51:51,C9,52:52)+100</f>
        <v>100</v>
      </c>
      <c r="K9" s="523"/>
      <c r="L9" s="2119"/>
      <c r="M9" s="2120"/>
      <c r="N9" s="2120"/>
      <c r="O9" s="2121"/>
      <c r="P9" s="3469" t="s">
        <v>535</v>
      </c>
      <c r="Q9" s="1146" t="str">
        <f t="shared" ref="Q9:Q14" si="6">B9</f>
        <v>用途</v>
      </c>
      <c r="R9" s="1553" t="s">
        <v>8</v>
      </c>
      <c r="S9" s="1554">
        <f t="shared" si="0"/>
        <v>100</v>
      </c>
      <c r="T9" s="1553" t="s">
        <v>8</v>
      </c>
      <c r="U9" s="1554">
        <f t="shared" si="1"/>
        <v>100</v>
      </c>
      <c r="V9" s="1553" t="s">
        <v>8</v>
      </c>
      <c r="W9" s="1554">
        <f t="shared" si="2"/>
        <v>100</v>
      </c>
      <c r="X9" s="1555"/>
      <c r="Y9" s="3413" t="s">
        <v>536</v>
      </c>
      <c r="Z9" s="1145" t="str">
        <f t="shared" ref="Z9:Z14" si="7">Q9</f>
        <v>用途</v>
      </c>
      <c r="AA9" s="1556">
        <f t="shared" si="3"/>
        <v>1</v>
      </c>
      <c r="AB9" s="1556">
        <f t="shared" si="4"/>
        <v>1</v>
      </c>
      <c r="AC9" s="1556">
        <f t="shared" si="5"/>
        <v>1</v>
      </c>
    </row>
    <row r="10" spans="1:29" s="1333" customFormat="1" ht="27">
      <c r="A10" s="2753"/>
      <c r="B10" s="2758" t="s">
        <v>2753</v>
      </c>
      <c r="C10" s="860"/>
      <c r="D10" s="254">
        <v>100</v>
      </c>
      <c r="E10" s="860"/>
      <c r="F10" s="254">
        <f>SUMIF(53:53,E10,54:54)-SUMIF(53:53,C10,54:54)+100</f>
        <v>100</v>
      </c>
      <c r="G10" s="861"/>
      <c r="H10" s="254">
        <f>SUMIF(53:53,G10,54:54)-SUMIF(53:53,C10,54:54)+100</f>
        <v>100</v>
      </c>
      <c r="I10" s="860"/>
      <c r="J10" s="254">
        <f>SUMIF(53:53,I10,54:54)-SUMIF(53:53,C10,54:54)+100</f>
        <v>100</v>
      </c>
      <c r="K10" s="583"/>
      <c r="L10" s="2122"/>
      <c r="M10" s="2162"/>
      <c r="N10" s="2162"/>
      <c r="O10" s="2123"/>
      <c r="P10" s="3469"/>
      <c r="Q10" s="1146" t="str">
        <f t="shared" si="6"/>
        <v>土地使用年限（年）</v>
      </c>
      <c r="R10" s="1553" t="s">
        <v>8</v>
      </c>
      <c r="S10" s="1554">
        <f t="shared" si="0"/>
        <v>100</v>
      </c>
      <c r="T10" s="1553" t="s">
        <v>8</v>
      </c>
      <c r="U10" s="1554">
        <f t="shared" si="1"/>
        <v>100</v>
      </c>
      <c r="V10" s="1553" t="s">
        <v>8</v>
      </c>
      <c r="W10" s="1554">
        <f t="shared" si="2"/>
        <v>100</v>
      </c>
      <c r="X10" s="1555"/>
      <c r="Y10" s="3413"/>
      <c r="Z10" s="1145" t="str">
        <f t="shared" si="7"/>
        <v>土地使用年限（年）</v>
      </c>
      <c r="AA10" s="1556">
        <f t="shared" si="3"/>
        <v>1</v>
      </c>
      <c r="AB10" s="1556">
        <f t="shared" si="4"/>
        <v>1</v>
      </c>
      <c r="AC10" s="1556">
        <f t="shared" si="5"/>
        <v>1</v>
      </c>
    </row>
    <row r="11" spans="1:29" ht="15">
      <c r="A11" s="2755"/>
      <c r="B11" s="2761">
        <v>111</v>
      </c>
      <c r="C11" s="527"/>
      <c r="D11" s="254">
        <v>100</v>
      </c>
      <c r="E11" s="879"/>
      <c r="F11" s="254">
        <f>SUMIF(55:55,E11,56:56)-SUMIF(55:55,C11,56:56)+100</f>
        <v>100</v>
      </c>
      <c r="G11" s="879"/>
      <c r="H11" s="254">
        <f>SUMIF(55:55,G11,56:56)-SUMIF(55:55,C11,56:56)+100</f>
        <v>100</v>
      </c>
      <c r="I11" s="879"/>
      <c r="J11" s="254">
        <f>SUMIF(55:55,I11,56:56)-SUMIF(55:55,C11,56:56)+100</f>
        <v>100</v>
      </c>
      <c r="K11" s="580"/>
      <c r="L11" s="2124"/>
      <c r="M11" s="2118"/>
      <c r="N11" s="2118"/>
      <c r="O11" s="2125"/>
      <c r="P11" s="3469"/>
      <c r="Q11" s="1146">
        <f t="shared" si="6"/>
        <v>111</v>
      </c>
      <c r="R11" s="1553" t="s">
        <v>8</v>
      </c>
      <c r="S11" s="1554">
        <f t="shared" si="0"/>
        <v>100</v>
      </c>
      <c r="T11" s="1553" t="s">
        <v>8</v>
      </c>
      <c r="U11" s="1554">
        <f t="shared" si="1"/>
        <v>100</v>
      </c>
      <c r="V11" s="1553" t="s">
        <v>8</v>
      </c>
      <c r="W11" s="1554">
        <f t="shared" si="2"/>
        <v>100</v>
      </c>
      <c r="X11" s="1555"/>
      <c r="Y11" s="3413"/>
      <c r="Z11" s="1145">
        <f t="shared" si="7"/>
        <v>111</v>
      </c>
      <c r="AA11" s="1556">
        <f t="shared" si="3"/>
        <v>1</v>
      </c>
      <c r="AB11" s="1556">
        <f t="shared" si="4"/>
        <v>1</v>
      </c>
      <c r="AC11" s="1556">
        <f t="shared" si="5"/>
        <v>1</v>
      </c>
    </row>
    <row r="12" spans="1:29" s="1215" customFormat="1" ht="15">
      <c r="A12" s="2755"/>
      <c r="B12" s="2761">
        <v>111</v>
      </c>
      <c r="C12" s="527"/>
      <c r="D12" s="537">
        <v>100</v>
      </c>
      <c r="E12" s="879"/>
      <c r="F12" s="254">
        <f>SUMIF(57:57,E12,58:58)-SUMIF(57:57,C12,58:58)+100</f>
        <v>100</v>
      </c>
      <c r="G12" s="879"/>
      <c r="H12" s="254">
        <f>SUMIF(57:57,G12,58:58)-SUMIF(57:57,C12,58:58)+100</f>
        <v>100</v>
      </c>
      <c r="I12" s="879"/>
      <c r="J12" s="254">
        <f>SUMIF(57:57,I12,58:58)-SUMIF(57:57,C12,58:58)+100</f>
        <v>100</v>
      </c>
      <c r="K12" s="580"/>
      <c r="L12" s="2119"/>
      <c r="M12" s="2120"/>
      <c r="N12" s="2120"/>
      <c r="O12" s="2121"/>
      <c r="P12" s="3469"/>
      <c r="Q12" s="1146">
        <f t="shared" si="6"/>
        <v>111</v>
      </c>
      <c r="R12" s="1553" t="s">
        <v>8</v>
      </c>
      <c r="S12" s="1554">
        <f t="shared" si="0"/>
        <v>100</v>
      </c>
      <c r="T12" s="1553" t="s">
        <v>8</v>
      </c>
      <c r="U12" s="1554">
        <f t="shared" si="1"/>
        <v>100</v>
      </c>
      <c r="V12" s="1553" t="s">
        <v>8</v>
      </c>
      <c r="W12" s="1554">
        <f t="shared" si="2"/>
        <v>100</v>
      </c>
      <c r="X12" s="1555"/>
      <c r="Y12" s="3413"/>
      <c r="Z12" s="1145">
        <f t="shared" si="7"/>
        <v>111</v>
      </c>
      <c r="AA12" s="1556">
        <f>D12/F12</f>
        <v>1</v>
      </c>
      <c r="AB12" s="1556">
        <f>D12/H12</f>
        <v>1</v>
      </c>
      <c r="AC12" s="1556">
        <f>D12/J12</f>
        <v>1</v>
      </c>
    </row>
    <row r="13" spans="1:29" ht="15.75" thickBot="1">
      <c r="A13" s="2756"/>
      <c r="B13" s="2762">
        <v>111</v>
      </c>
      <c r="C13" s="538"/>
      <c r="D13" s="539">
        <v>100</v>
      </c>
      <c r="E13" s="879"/>
      <c r="F13" s="254">
        <f>SUMIF(59:59,E13,60:60)-SUMIF(59:59,C13,60:60)+100</f>
        <v>100</v>
      </c>
      <c r="G13" s="879"/>
      <c r="H13" s="539">
        <f>SUMIF(59:59,G13,60:60)-SUMIF(59:59,C13,60:60)+100</f>
        <v>100</v>
      </c>
      <c r="I13" s="879"/>
      <c r="J13" s="539">
        <f>SUMIF(59:59,I13,60:60)-SUMIF(59:59,C13,60:60)+100</f>
        <v>100</v>
      </c>
      <c r="K13" s="580"/>
      <c r="L13" s="2126"/>
      <c r="M13" s="2118"/>
      <c r="N13" s="2118"/>
      <c r="O13" s="2125"/>
      <c r="P13" s="3469"/>
      <c r="Q13" s="1146">
        <f t="shared" si="6"/>
        <v>111</v>
      </c>
      <c r="R13" s="1553" t="s">
        <v>8</v>
      </c>
      <c r="S13" s="1554">
        <f t="shared" si="0"/>
        <v>100</v>
      </c>
      <c r="T13" s="1553" t="s">
        <v>8</v>
      </c>
      <c r="U13" s="1554">
        <f t="shared" si="1"/>
        <v>100</v>
      </c>
      <c r="V13" s="1553" t="s">
        <v>8</v>
      </c>
      <c r="W13" s="1554">
        <f t="shared" si="2"/>
        <v>100</v>
      </c>
      <c r="X13" s="1555"/>
      <c r="Y13" s="3413"/>
      <c r="Z13" s="1145">
        <f t="shared" si="7"/>
        <v>111</v>
      </c>
      <c r="AA13" s="1556">
        <f t="shared" si="3"/>
        <v>1</v>
      </c>
      <c r="AB13" s="1556">
        <f t="shared" si="4"/>
        <v>1</v>
      </c>
      <c r="AC13" s="1556">
        <f t="shared" si="5"/>
        <v>1</v>
      </c>
    </row>
    <row r="14" spans="1:29" ht="85.5">
      <c r="A14" s="2748" t="s">
        <v>2750</v>
      </c>
      <c r="B14" s="166"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26"/>
      <c r="M14" s="2118"/>
      <c r="N14" s="2118"/>
      <c r="O14" s="2125"/>
      <c r="P14" s="3472" t="s">
        <v>540</v>
      </c>
      <c r="Q14" s="1557" t="str">
        <f t="shared" si="6"/>
        <v>交通便捷度</v>
      </c>
      <c r="R14" s="1558" t="s">
        <v>8</v>
      </c>
      <c r="S14" s="1559">
        <f t="shared" si="0"/>
        <v>100</v>
      </c>
      <c r="T14" s="1558" t="s">
        <v>8</v>
      </c>
      <c r="U14" s="1559">
        <f t="shared" si="1"/>
        <v>100</v>
      </c>
      <c r="V14" s="1558" t="s">
        <v>8</v>
      </c>
      <c r="W14" s="1559">
        <f t="shared" si="2"/>
        <v>100</v>
      </c>
      <c r="X14" s="1552"/>
      <c r="Y14" s="3472" t="s">
        <v>540</v>
      </c>
      <c r="Z14" s="1560" t="str">
        <f t="shared" si="7"/>
        <v>交通便捷度</v>
      </c>
      <c r="AA14" s="1561">
        <f t="shared" si="3"/>
        <v>1</v>
      </c>
      <c r="AB14" s="1561">
        <f t="shared" si="4"/>
        <v>1</v>
      </c>
      <c r="AC14" s="1561">
        <f t="shared" si="5"/>
        <v>1</v>
      </c>
    </row>
    <row r="15" spans="1:29" ht="15">
      <c r="A15" s="531"/>
      <c r="B15" s="868"/>
      <c r="C15" s="575"/>
      <c r="D15" s="554"/>
      <c r="E15" s="575"/>
      <c r="F15" s="556"/>
      <c r="G15" s="575"/>
      <c r="H15" s="558"/>
      <c r="I15" s="575"/>
      <c r="J15" s="554"/>
      <c r="K15" s="898"/>
      <c r="L15" s="2126"/>
      <c r="M15" s="2118"/>
      <c r="N15" s="2118"/>
      <c r="O15" s="2125"/>
      <c r="P15" s="3473"/>
      <c r="Q15" s="1557"/>
      <c r="R15" s="1558"/>
      <c r="S15" s="1559"/>
      <c r="T15" s="1558"/>
      <c r="U15" s="1559"/>
      <c r="V15" s="1558"/>
      <c r="W15" s="1559"/>
      <c r="X15" s="1552"/>
      <c r="Y15" s="3473"/>
      <c r="Z15" s="1560"/>
      <c r="AA15" s="1561">
        <v>1</v>
      </c>
      <c r="AB15" s="1561">
        <v>1</v>
      </c>
      <c r="AC15" s="1561">
        <v>1</v>
      </c>
    </row>
    <row r="16" spans="1:29" ht="42.75">
      <c r="A16" s="531"/>
      <c r="B16" s="2566" t="s">
        <v>2543</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26"/>
      <c r="M16" s="2118"/>
      <c r="N16" s="2118"/>
      <c r="O16" s="2125"/>
      <c r="P16" s="3473"/>
      <c r="Q16" s="1557" t="str">
        <f>B16</f>
        <v>公共配套设施</v>
      </c>
      <c r="R16" s="1558" t="s">
        <v>8</v>
      </c>
      <c r="S16" s="1559">
        <f>F16</f>
        <v>100</v>
      </c>
      <c r="T16" s="1558" t="s">
        <v>8</v>
      </c>
      <c r="U16" s="1559">
        <f>H16</f>
        <v>100</v>
      </c>
      <c r="V16" s="1558" t="s">
        <v>8</v>
      </c>
      <c r="W16" s="1559">
        <f>J16</f>
        <v>100</v>
      </c>
      <c r="X16" s="1552"/>
      <c r="Y16" s="3473"/>
      <c r="Z16" s="1560" t="str">
        <f>Q16</f>
        <v>公共配套设施</v>
      </c>
      <c r="AA16" s="1561">
        <f t="shared" si="3"/>
        <v>1</v>
      </c>
      <c r="AB16" s="1561">
        <f t="shared" si="4"/>
        <v>1</v>
      </c>
      <c r="AC16" s="1561">
        <f t="shared" si="5"/>
        <v>1</v>
      </c>
    </row>
    <row r="17" spans="1:29" ht="15">
      <c r="A17" s="531"/>
      <c r="B17" s="565"/>
      <c r="C17" s="872"/>
      <c r="D17" s="554"/>
      <c r="E17" s="575"/>
      <c r="F17" s="556"/>
      <c r="G17" s="575"/>
      <c r="H17" s="554"/>
      <c r="I17" s="575"/>
      <c r="J17" s="554"/>
      <c r="K17" s="898"/>
      <c r="L17" s="2126"/>
      <c r="M17" s="2118"/>
      <c r="N17" s="2118"/>
      <c r="O17" s="2125"/>
      <c r="P17" s="3473"/>
      <c r="Q17" s="1557"/>
      <c r="R17" s="1558"/>
      <c r="S17" s="1559"/>
      <c r="T17" s="1558"/>
      <c r="U17" s="1559"/>
      <c r="V17" s="1558"/>
      <c r="W17" s="1559"/>
      <c r="X17" s="1552"/>
      <c r="Y17" s="3473"/>
      <c r="Z17" s="1560"/>
      <c r="AA17" s="1561">
        <v>1</v>
      </c>
      <c r="AB17" s="1561">
        <v>1</v>
      </c>
      <c r="AC17" s="1561">
        <v>1</v>
      </c>
    </row>
    <row r="18" spans="1:29" ht="28.5">
      <c r="A18" s="531"/>
      <c r="B18" s="2554" t="s">
        <v>2555</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26"/>
      <c r="M18" s="2118"/>
      <c r="N18" s="2118"/>
      <c r="O18" s="2125"/>
      <c r="P18" s="3473"/>
      <c r="Q18" s="2542" t="str">
        <f>B18</f>
        <v>基础设施水平</v>
      </c>
      <c r="R18" s="1558" t="s">
        <v>8</v>
      </c>
      <c r="S18" s="1559">
        <f>F18</f>
        <v>100</v>
      </c>
      <c r="T18" s="1558" t="s">
        <v>8</v>
      </c>
      <c r="U18" s="1559">
        <f>H18</f>
        <v>100</v>
      </c>
      <c r="V18" s="1558" t="s">
        <v>8</v>
      </c>
      <c r="W18" s="1559">
        <f>J18</f>
        <v>100</v>
      </c>
      <c r="X18" s="2544"/>
      <c r="Y18" s="3473"/>
      <c r="Z18" s="2543" t="str">
        <f>Q18</f>
        <v>基础设施水平</v>
      </c>
      <c r="AA18" s="1561">
        <f t="shared" ref="AA18" si="8">D18/F18</f>
        <v>1</v>
      </c>
      <c r="AB18" s="1561">
        <f t="shared" ref="AB18" si="9">D18/H18</f>
        <v>1</v>
      </c>
      <c r="AC18" s="1561">
        <f t="shared" ref="AC18" si="10">D18/J18</f>
        <v>1</v>
      </c>
    </row>
    <row r="19" spans="1:29" ht="15">
      <c r="A19" s="531"/>
      <c r="B19" s="577"/>
      <c r="C19" s="872"/>
      <c r="D19" s="558"/>
      <c r="E19" s="872"/>
      <c r="F19" s="562"/>
      <c r="G19" s="872"/>
      <c r="H19" s="554"/>
      <c r="I19" s="575"/>
      <c r="J19" s="554"/>
      <c r="K19" s="2565"/>
      <c r="L19" s="2126"/>
      <c r="M19" s="2118"/>
      <c r="N19" s="2118"/>
      <c r="O19" s="2125"/>
      <c r="P19" s="3473"/>
      <c r="Q19" s="2542"/>
      <c r="R19" s="1558"/>
      <c r="S19" s="1559"/>
      <c r="T19" s="1558"/>
      <c r="U19" s="1559"/>
      <c r="V19" s="1558"/>
      <c r="W19" s="1559"/>
      <c r="X19" s="2544"/>
      <c r="Y19" s="3473"/>
      <c r="Z19" s="2543"/>
      <c r="AA19" s="1561">
        <v>1</v>
      </c>
      <c r="AB19" s="1561">
        <v>1</v>
      </c>
      <c r="AC19" s="1561">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26"/>
      <c r="M20" s="2118"/>
      <c r="N20" s="2118"/>
      <c r="O20" s="2125"/>
      <c r="P20" s="3473"/>
      <c r="Q20" s="1557" t="str">
        <f>B20</f>
        <v>自然及人文环境</v>
      </c>
      <c r="R20" s="1558" t="s">
        <v>8</v>
      </c>
      <c r="S20" s="1559">
        <f>F20</f>
        <v>100</v>
      </c>
      <c r="T20" s="1558" t="s">
        <v>8</v>
      </c>
      <c r="U20" s="1559">
        <f>H20</f>
        <v>100</v>
      </c>
      <c r="V20" s="1558" t="s">
        <v>8</v>
      </c>
      <c r="W20" s="1559">
        <f>J20</f>
        <v>100</v>
      </c>
      <c r="X20" s="1552"/>
      <c r="Y20" s="3473"/>
      <c r="Z20" s="1560" t="str">
        <f>Q20</f>
        <v>自然及人文环境</v>
      </c>
      <c r="AA20" s="1561">
        <f t="shared" si="3"/>
        <v>1</v>
      </c>
      <c r="AB20" s="1561">
        <f t="shared" si="4"/>
        <v>1</v>
      </c>
      <c r="AC20" s="1561">
        <f t="shared" si="5"/>
        <v>1</v>
      </c>
    </row>
    <row r="21" spans="1:29" ht="15">
      <c r="A21" s="531"/>
      <c r="B21" s="594"/>
      <c r="C21" s="575"/>
      <c r="D21" s="554"/>
      <c r="E21" s="575"/>
      <c r="F21" s="556"/>
      <c r="G21" s="575"/>
      <c r="H21" s="554"/>
      <c r="I21" s="575"/>
      <c r="J21" s="554"/>
      <c r="K21" s="898"/>
      <c r="L21" s="2126"/>
      <c r="M21" s="2118"/>
      <c r="N21" s="2118"/>
      <c r="O21" s="2125"/>
      <c r="P21" s="3473"/>
      <c r="Q21" s="1557"/>
      <c r="R21" s="1558"/>
      <c r="S21" s="1559"/>
      <c r="T21" s="1558"/>
      <c r="U21" s="1559"/>
      <c r="V21" s="1558"/>
      <c r="W21" s="1559"/>
      <c r="X21" s="1552"/>
      <c r="Y21" s="3473"/>
      <c r="Z21" s="1560"/>
      <c r="AA21" s="1561">
        <v>1</v>
      </c>
      <c r="AB21" s="1561">
        <v>1</v>
      </c>
      <c r="AC21" s="1561">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6"/>
      <c r="M22" s="2118"/>
      <c r="N22" s="2118"/>
      <c r="O22" s="2125"/>
      <c r="P22" s="3473"/>
      <c r="Q22" s="1557" t="str">
        <f>B22</f>
        <v>楼层</v>
      </c>
      <c r="R22" s="1558" t="s">
        <v>8</v>
      </c>
      <c r="S22" s="1559">
        <f>F22</f>
        <v>100</v>
      </c>
      <c r="T22" s="1558" t="s">
        <v>8</v>
      </c>
      <c r="U22" s="1559">
        <f>H22</f>
        <v>100</v>
      </c>
      <c r="V22" s="1558" t="s">
        <v>8</v>
      </c>
      <c r="W22" s="1559">
        <f>J22</f>
        <v>100</v>
      </c>
      <c r="X22" s="1552"/>
      <c r="Y22" s="3473"/>
      <c r="Z22" s="1560" t="str">
        <f>Q22</f>
        <v>楼层</v>
      </c>
      <c r="AA22" s="1561">
        <f t="shared" si="3"/>
        <v>1</v>
      </c>
      <c r="AB22" s="1561">
        <f t="shared" si="4"/>
        <v>1</v>
      </c>
      <c r="AC22" s="1561">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6"/>
      <c r="M23" s="2118"/>
      <c r="N23" s="2118"/>
      <c r="O23" s="2125"/>
      <c r="P23" s="3473"/>
      <c r="Q23" s="1557">
        <f>B23</f>
        <v>111</v>
      </c>
      <c r="R23" s="1558" t="s">
        <v>8</v>
      </c>
      <c r="S23" s="1559">
        <f>F23</f>
        <v>100</v>
      </c>
      <c r="T23" s="1558" t="s">
        <v>8</v>
      </c>
      <c r="U23" s="1559">
        <f>H23</f>
        <v>100</v>
      </c>
      <c r="V23" s="1558" t="s">
        <v>8</v>
      </c>
      <c r="W23" s="1559">
        <f>J23</f>
        <v>100</v>
      </c>
      <c r="X23" s="1552"/>
      <c r="Y23" s="3473"/>
      <c r="Z23" s="1560">
        <f>Q23</f>
        <v>111</v>
      </c>
      <c r="AA23" s="1561">
        <f t="shared" si="3"/>
        <v>1</v>
      </c>
      <c r="AB23" s="1561">
        <f t="shared" si="4"/>
        <v>1</v>
      </c>
      <c r="AC23" s="1561">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6"/>
      <c r="M24" s="2118"/>
      <c r="N24" s="2118"/>
      <c r="O24" s="2125"/>
      <c r="P24" s="3473"/>
      <c r="Q24" s="1557">
        <f t="shared" ref="Q24:Q34" si="11">B24</f>
        <v>111</v>
      </c>
      <c r="R24" s="1558" t="s">
        <v>8</v>
      </c>
      <c r="S24" s="1559">
        <f>F24</f>
        <v>100</v>
      </c>
      <c r="T24" s="1558" t="s">
        <v>8</v>
      </c>
      <c r="U24" s="1559">
        <f>H24</f>
        <v>100</v>
      </c>
      <c r="V24" s="1558" t="s">
        <v>8</v>
      </c>
      <c r="W24" s="1559">
        <f>J24</f>
        <v>100</v>
      </c>
      <c r="X24" s="1552"/>
      <c r="Y24" s="3473"/>
      <c r="Z24" s="1560">
        <f>Q24</f>
        <v>111</v>
      </c>
      <c r="AA24" s="1561">
        <f t="shared" si="3"/>
        <v>1</v>
      </c>
      <c r="AB24" s="1561">
        <f t="shared" si="4"/>
        <v>1</v>
      </c>
      <c r="AC24" s="1561">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9"/>
      <c r="M25" s="2120"/>
      <c r="N25" s="2120"/>
      <c r="O25" s="2121"/>
      <c r="P25" s="3473"/>
      <c r="Q25" s="1146">
        <f t="shared" si="11"/>
        <v>111</v>
      </c>
      <c r="R25" s="1553" t="s">
        <v>8</v>
      </c>
      <c r="S25" s="1554">
        <f>F25</f>
        <v>100</v>
      </c>
      <c r="T25" s="1553" t="s">
        <v>8</v>
      </c>
      <c r="U25" s="1554">
        <f>H25</f>
        <v>100</v>
      </c>
      <c r="V25" s="1553" t="s">
        <v>8</v>
      </c>
      <c r="W25" s="1554">
        <f>J25</f>
        <v>100</v>
      </c>
      <c r="X25" s="1555"/>
      <c r="Y25" s="3473"/>
      <c r="Z25" s="1145">
        <f>Q25</f>
        <v>111</v>
      </c>
      <c r="AA25" s="1561">
        <f>D25/F25</f>
        <v>1</v>
      </c>
      <c r="AB25" s="1561">
        <f>D25/H25</f>
        <v>1</v>
      </c>
      <c r="AC25" s="1561">
        <f>D25/J25</f>
        <v>1</v>
      </c>
    </row>
    <row r="26" spans="1:29" ht="15">
      <c r="A26" s="2745" t="s">
        <v>2751</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26"/>
      <c r="M26" s="2118"/>
      <c r="N26" s="2118"/>
      <c r="O26" s="2125"/>
      <c r="P26" s="3474"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75" t="s">
        <v>821</v>
      </c>
      <c r="Z26" s="1560" t="str">
        <f t="shared" ref="Z26:Z34" si="15">Q26</f>
        <v>公共部分装修</v>
      </c>
      <c r="AA26" s="1561">
        <f t="shared" si="3"/>
        <v>1</v>
      </c>
      <c r="AB26" s="1561">
        <f t="shared" si="4"/>
        <v>1</v>
      </c>
      <c r="AC26" s="1561">
        <f t="shared" si="5"/>
        <v>1</v>
      </c>
    </row>
    <row r="27" spans="1:29" s="1334"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4"/>
      <c r="M27" s="2155"/>
      <c r="N27" s="2155"/>
      <c r="O27" s="2127"/>
      <c r="P27" s="3475"/>
      <c r="Q27" s="1589" t="str">
        <f t="shared" si="11"/>
        <v>成新率</v>
      </c>
      <c r="R27" s="1562" t="s">
        <v>8</v>
      </c>
      <c r="S27" s="1563" t="e">
        <f t="shared" si="12"/>
        <v>#N/A</v>
      </c>
      <c r="T27" s="1562" t="s">
        <v>8</v>
      </c>
      <c r="U27" s="1563" t="e">
        <f t="shared" si="13"/>
        <v>#N/A</v>
      </c>
      <c r="V27" s="1562" t="s">
        <v>8</v>
      </c>
      <c r="W27" s="1563" t="e">
        <f t="shared" si="14"/>
        <v>#N/A</v>
      </c>
      <c r="X27" s="1564"/>
      <c r="Y27" s="3475"/>
      <c r="Z27" s="1565" t="str">
        <f t="shared" si="15"/>
        <v>成新率</v>
      </c>
      <c r="AA27" s="1561" t="e">
        <f t="shared" si="3"/>
        <v>#N/A</v>
      </c>
      <c r="AB27" s="1561" t="e">
        <f t="shared" si="4"/>
        <v>#N/A</v>
      </c>
      <c r="AC27" s="1561"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6"/>
      <c r="M28" s="2118"/>
      <c r="N28" s="2118"/>
      <c r="O28" s="2125"/>
      <c r="P28" s="3475"/>
      <c r="Q28" s="1557" t="str">
        <f t="shared" si="11"/>
        <v>物业等级</v>
      </c>
      <c r="R28" s="1558" t="s">
        <v>8</v>
      </c>
      <c r="S28" s="1559">
        <f t="shared" si="12"/>
        <v>100</v>
      </c>
      <c r="T28" s="1558" t="s">
        <v>8</v>
      </c>
      <c r="U28" s="1559">
        <f t="shared" si="13"/>
        <v>100</v>
      </c>
      <c r="V28" s="1558" t="s">
        <v>8</v>
      </c>
      <c r="W28" s="1559">
        <f t="shared" si="14"/>
        <v>100</v>
      </c>
      <c r="X28" s="1552"/>
      <c r="Y28" s="3475"/>
      <c r="Z28" s="1560" t="str">
        <f t="shared" si="15"/>
        <v>物业等级</v>
      </c>
      <c r="AA28" s="1561">
        <f t="shared" si="3"/>
        <v>1</v>
      </c>
      <c r="AB28" s="1561">
        <f t="shared" si="4"/>
        <v>1</v>
      </c>
      <c r="AC28" s="1561">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6"/>
      <c r="M29" s="2118"/>
      <c r="N29" s="2118"/>
      <c r="O29" s="2125"/>
      <c r="P29" s="3475"/>
      <c r="Q29" s="1557" t="str">
        <f t="shared" si="11"/>
        <v>有无电梯</v>
      </c>
      <c r="R29" s="1558" t="s">
        <v>8</v>
      </c>
      <c r="S29" s="1559">
        <f t="shared" si="12"/>
        <v>100</v>
      </c>
      <c r="T29" s="1558" t="s">
        <v>8</v>
      </c>
      <c r="U29" s="1559">
        <f t="shared" si="13"/>
        <v>100</v>
      </c>
      <c r="V29" s="1558" t="s">
        <v>8</v>
      </c>
      <c r="W29" s="1559">
        <f t="shared" si="14"/>
        <v>100</v>
      </c>
      <c r="X29" s="1552"/>
      <c r="Y29" s="3475"/>
      <c r="Z29" s="1560" t="str">
        <f t="shared" si="15"/>
        <v>有无电梯</v>
      </c>
      <c r="AA29" s="1561">
        <f t="shared" si="3"/>
        <v>1</v>
      </c>
      <c r="AB29" s="1561">
        <f t="shared" si="4"/>
        <v>1</v>
      </c>
      <c r="AC29" s="1561">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6"/>
      <c r="M30" s="2118"/>
      <c r="N30" s="2118"/>
      <c r="O30" s="2125"/>
      <c r="P30" s="3475"/>
      <c r="Q30" s="1557" t="str">
        <f t="shared" si="11"/>
        <v>建筑面积</v>
      </c>
      <c r="R30" s="1558" t="s">
        <v>8</v>
      </c>
      <c r="S30" s="1559" t="e">
        <f t="shared" si="12"/>
        <v>#N/A</v>
      </c>
      <c r="T30" s="1558" t="s">
        <v>8</v>
      </c>
      <c r="U30" s="1559" t="e">
        <f t="shared" si="13"/>
        <v>#N/A</v>
      </c>
      <c r="V30" s="1558" t="s">
        <v>8</v>
      </c>
      <c r="W30" s="1559" t="e">
        <f t="shared" si="14"/>
        <v>#N/A</v>
      </c>
      <c r="X30" s="1552"/>
      <c r="Y30" s="3475"/>
      <c r="Z30" s="1560" t="str">
        <f t="shared" si="15"/>
        <v>建筑面积</v>
      </c>
      <c r="AA30" s="1561" t="e">
        <f t="shared" si="3"/>
        <v>#N/A</v>
      </c>
      <c r="AB30" s="1561" t="e">
        <f t="shared" si="4"/>
        <v>#N/A</v>
      </c>
      <c r="AC30" s="1561" t="e">
        <f t="shared" si="5"/>
        <v>#N/A</v>
      </c>
    </row>
    <row r="31" spans="1:29" s="1215"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19"/>
      <c r="M31" s="2120"/>
      <c r="N31" s="2120"/>
      <c r="O31" s="2121"/>
      <c r="P31" s="3475"/>
      <c r="Q31" s="1146" t="str">
        <f t="shared" si="11"/>
        <v>是否封闭</v>
      </c>
      <c r="R31" s="1553" t="s">
        <v>8</v>
      </c>
      <c r="S31" s="1554">
        <f t="shared" si="12"/>
        <v>100</v>
      </c>
      <c r="T31" s="1553" t="s">
        <v>8</v>
      </c>
      <c r="U31" s="1554">
        <f t="shared" si="13"/>
        <v>100</v>
      </c>
      <c r="V31" s="1553" t="s">
        <v>8</v>
      </c>
      <c r="W31" s="1554">
        <f t="shared" si="14"/>
        <v>100</v>
      </c>
      <c r="X31" s="1555"/>
      <c r="Y31" s="3475"/>
      <c r="Z31" s="1145" t="str">
        <f t="shared" si="15"/>
        <v>是否封闭</v>
      </c>
      <c r="AA31" s="1556">
        <f t="shared" si="3"/>
        <v>1</v>
      </c>
      <c r="AB31" s="1556">
        <f t="shared" si="4"/>
        <v>1</v>
      </c>
      <c r="AC31" s="1556">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6"/>
      <c r="M32" s="2118"/>
      <c r="N32" s="2118"/>
      <c r="O32" s="2125"/>
      <c r="P32" s="3475" t="s">
        <v>550</v>
      </c>
      <c r="Q32" s="1557">
        <f t="shared" si="11"/>
        <v>111</v>
      </c>
      <c r="R32" s="1558" t="s">
        <v>8</v>
      </c>
      <c r="S32" s="1559">
        <f t="shared" si="12"/>
        <v>100</v>
      </c>
      <c r="T32" s="1558" t="s">
        <v>8</v>
      </c>
      <c r="U32" s="1559">
        <f t="shared" si="13"/>
        <v>100</v>
      </c>
      <c r="V32" s="1558" t="s">
        <v>8</v>
      </c>
      <c r="W32" s="1559">
        <f t="shared" si="14"/>
        <v>100</v>
      </c>
      <c r="X32" s="1552"/>
      <c r="Y32" s="3475" t="s">
        <v>550</v>
      </c>
      <c r="Z32" s="1560">
        <f t="shared" si="15"/>
        <v>111</v>
      </c>
      <c r="AA32" s="1561">
        <f t="shared" si="3"/>
        <v>1</v>
      </c>
      <c r="AB32" s="1561">
        <f t="shared" si="4"/>
        <v>1</v>
      </c>
      <c r="AC32" s="1561">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6"/>
      <c r="M33" s="2118"/>
      <c r="N33" s="2118"/>
      <c r="O33" s="2125"/>
      <c r="P33" s="3475"/>
      <c r="Q33" s="1557">
        <f t="shared" si="11"/>
        <v>111</v>
      </c>
      <c r="R33" s="1558" t="s">
        <v>8</v>
      </c>
      <c r="S33" s="1559">
        <f t="shared" si="12"/>
        <v>100</v>
      </c>
      <c r="T33" s="1558" t="s">
        <v>8</v>
      </c>
      <c r="U33" s="1559">
        <f t="shared" si="13"/>
        <v>100</v>
      </c>
      <c r="V33" s="1558" t="s">
        <v>8</v>
      </c>
      <c r="W33" s="1559">
        <f t="shared" si="14"/>
        <v>100</v>
      </c>
      <c r="X33" s="1552"/>
      <c r="Y33" s="3475"/>
      <c r="Z33" s="1560">
        <f t="shared" si="15"/>
        <v>111</v>
      </c>
      <c r="AA33" s="1561">
        <f t="shared" si="3"/>
        <v>1</v>
      </c>
      <c r="AB33" s="1561">
        <f t="shared" si="4"/>
        <v>1</v>
      </c>
      <c r="AC33" s="1561">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6"/>
      <c r="M34" s="2118"/>
      <c r="N34" s="2118"/>
      <c r="O34" s="2125"/>
      <c r="P34" s="3475"/>
      <c r="Q34" s="1557">
        <f t="shared" si="11"/>
        <v>111</v>
      </c>
      <c r="R34" s="1558" t="s">
        <v>8</v>
      </c>
      <c r="S34" s="1559">
        <f t="shared" si="12"/>
        <v>100</v>
      </c>
      <c r="T34" s="1558" t="s">
        <v>8</v>
      </c>
      <c r="U34" s="1559">
        <f t="shared" si="13"/>
        <v>100</v>
      </c>
      <c r="V34" s="1558" t="s">
        <v>8</v>
      </c>
      <c r="W34" s="1559">
        <f t="shared" si="14"/>
        <v>100</v>
      </c>
      <c r="X34" s="1552"/>
      <c r="Y34" s="3475"/>
      <c r="Z34" s="1560">
        <f t="shared" si="15"/>
        <v>111</v>
      </c>
      <c r="AA34" s="1561">
        <f t="shared" si="3"/>
        <v>1</v>
      </c>
      <c r="AB34" s="1561">
        <f t="shared" si="4"/>
        <v>1</v>
      </c>
      <c r="AC34" s="1561">
        <f t="shared" si="5"/>
        <v>1</v>
      </c>
    </row>
    <row r="35" spans="1:29" ht="15">
      <c r="A35" s="606" t="s">
        <v>736</v>
      </c>
      <c r="B35" s="886"/>
      <c r="C35" s="2590" t="s">
        <v>1</v>
      </c>
      <c r="D35" s="2591"/>
      <c r="E35" s="2592"/>
      <c r="F35" s="2593"/>
      <c r="G35" s="2594"/>
      <c r="H35" s="2595"/>
      <c r="I35" s="2592"/>
      <c r="J35" s="2595"/>
      <c r="K35" s="1595"/>
      <c r="L35" s="2128"/>
      <c r="M35" s="2129"/>
      <c r="N35" s="2118"/>
      <c r="O35" s="2129"/>
      <c r="P35" s="3469" t="str">
        <f>A35</f>
        <v>成交单价（元/平方米）</v>
      </c>
      <c r="Q35" s="3469"/>
      <c r="R35" s="3533">
        <f>E35</f>
        <v>0</v>
      </c>
      <c r="S35" s="3533"/>
      <c r="T35" s="3533">
        <f>G35</f>
        <v>0</v>
      </c>
      <c r="U35" s="3533"/>
      <c r="V35" s="3533">
        <f>I35</f>
        <v>0</v>
      </c>
      <c r="W35" s="3533"/>
      <c r="X35" s="1544"/>
      <c r="Y35" s="1566"/>
      <c r="Z35" s="1544"/>
      <c r="AA35" s="1544"/>
      <c r="AB35" s="1544"/>
      <c r="AC35" s="1544"/>
    </row>
    <row r="36" spans="1:29" ht="15.75" thickBot="1">
      <c r="A36" s="614" t="s">
        <v>2756</v>
      </c>
      <c r="B36" s="887"/>
      <c r="C36" s="2596" t="e">
        <f>R37</f>
        <v>#DIV/0!</v>
      </c>
      <c r="D36" s="2597"/>
      <c r="E36" s="2598" t="e">
        <f>R36</f>
        <v>#DIV/0!</v>
      </c>
      <c r="F36" s="2598"/>
      <c r="G36" s="2596" t="e">
        <f>T36</f>
        <v>#DIV/0!</v>
      </c>
      <c r="H36" s="2597"/>
      <c r="I36" s="2598" t="e">
        <f>V36</f>
        <v>#DIV/0!</v>
      </c>
      <c r="J36" s="2597"/>
      <c r="K36" s="1596"/>
      <c r="L36" s="2128"/>
      <c r="M36" s="2129"/>
      <c r="N36" s="2118"/>
      <c r="O36" s="2129"/>
      <c r="P36" s="3469" t="str">
        <f>A36</f>
        <v>比较价格（元/平方米）</v>
      </c>
      <c r="Q36" s="3469"/>
      <c r="R36" s="3533" t="e">
        <f>IF(F1="售价",ROUND(PRODUCT(R35,AA7:AA34),0),ROUND(PRODUCT(R35,AA7:AA34),1))</f>
        <v>#DIV/0!</v>
      </c>
      <c r="S36" s="3533"/>
      <c r="T36" s="3533" t="e">
        <f>IF(F1="售价",ROUND(PRODUCT(T35,AB7:AB34),0),ROUND(PRODUCT(T35,AB7:AB34),1))</f>
        <v>#DIV/0!</v>
      </c>
      <c r="U36" s="3533"/>
      <c r="V36" s="3533" t="e">
        <f>IF(F1="售价",ROUND(PRODUCT(V35,AC7:AC34),0),ROUND(PRODUCT(V35,AC7:AC34),1))</f>
        <v>#DIV/0!</v>
      </c>
      <c r="W36" s="3533"/>
      <c r="X36" s="1544"/>
      <c r="Y36" s="1544"/>
      <c r="Z36" s="1544"/>
      <c r="AA36" s="1544"/>
      <c r="AB36" s="1544"/>
      <c r="AC36" s="1544"/>
    </row>
    <row r="37" spans="1:29" ht="15.75" thickBot="1">
      <c r="A37" s="620" t="s">
        <v>2932</v>
      </c>
      <c r="B37" s="621"/>
      <c r="C37" s="2599" t="e">
        <f>R37</f>
        <v>#DIV/0!</v>
      </c>
      <c r="D37" s="2599"/>
      <c r="E37" s="2599"/>
      <c r="F37" s="2599"/>
      <c r="G37" s="2599"/>
      <c r="H37" s="2599"/>
      <c r="I37" s="2599"/>
      <c r="J37" s="2599"/>
      <c r="K37" s="1597"/>
      <c r="L37" s="2128"/>
      <c r="M37" s="2129"/>
      <c r="N37" s="2129"/>
      <c r="O37" s="2129"/>
      <c r="P37" s="3466" t="str">
        <f>A37</f>
        <v>估价对象XX用房的比较价格（楼面单价，元/平方米）</v>
      </c>
      <c r="Q37" s="3467"/>
      <c r="R37" s="3532" t="e">
        <f>IF(F1="售价",ROUND(AVERAGE(R36:V36),0),ROUND(AVERAGE(R36:V36),1))</f>
        <v>#DIV/0!</v>
      </c>
      <c r="S37" s="3532"/>
      <c r="T37" s="3532"/>
      <c r="U37" s="3532"/>
      <c r="V37" s="3532"/>
      <c r="W37" s="3532"/>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2" customFormat="1" ht="15">
      <c r="A46" s="644" t="s">
        <v>529</v>
      </c>
      <c r="B46" s="645"/>
      <c r="C46" s="2640" t="str">
        <f>YEAR(C7)&amp;"-"&amp;MONTH(C7)</f>
        <v>2020-9</v>
      </c>
      <c r="D46" s="2642">
        <f>EDATE(C46,-1)</f>
        <v>44044</v>
      </c>
      <c r="E46" s="2642">
        <f t="shared" ref="E46:O46" si="16">EDATE(D46,-1)</f>
        <v>44013</v>
      </c>
      <c r="F46" s="2642">
        <f t="shared" si="16"/>
        <v>43983</v>
      </c>
      <c r="G46" s="2642">
        <f t="shared" si="16"/>
        <v>43952</v>
      </c>
      <c r="H46" s="2642">
        <f t="shared" si="16"/>
        <v>43922</v>
      </c>
      <c r="I46" s="2642">
        <f t="shared" si="16"/>
        <v>43891</v>
      </c>
      <c r="J46" s="2642">
        <f t="shared" si="16"/>
        <v>43862</v>
      </c>
      <c r="K46" s="2642">
        <f t="shared" si="16"/>
        <v>43831</v>
      </c>
      <c r="L46" s="2642">
        <f t="shared" si="16"/>
        <v>43800</v>
      </c>
      <c r="M46" s="2642">
        <f t="shared" si="16"/>
        <v>43770</v>
      </c>
      <c r="N46" s="2642">
        <f t="shared" si="16"/>
        <v>43739</v>
      </c>
      <c r="O46" s="2642">
        <f t="shared" si="16"/>
        <v>43709</v>
      </c>
      <c r="P46" s="2144"/>
      <c r="Q46" s="2145"/>
      <c r="R46" s="2145"/>
      <c r="S46" s="2145"/>
      <c r="T46" s="2145"/>
      <c r="U46" s="2145"/>
      <c r="V46" s="2145"/>
      <c r="W46" s="2145"/>
      <c r="X46" s="2145"/>
      <c r="Y46" s="2145"/>
      <c r="Z46" s="2145"/>
      <c r="AA46" s="2145"/>
      <c r="AB46" s="2145"/>
      <c r="AC46" s="2145"/>
    </row>
    <row r="47" spans="1:29" s="1215" customFormat="1" ht="15">
      <c r="A47" s="646"/>
      <c r="B47" s="647"/>
      <c r="C47" s="648">
        <v>100</v>
      </c>
      <c r="D47" s="649"/>
      <c r="E47" s="649"/>
      <c r="F47" s="649"/>
      <c r="G47" s="649"/>
      <c r="H47" s="649"/>
      <c r="I47" s="649"/>
      <c r="J47" s="649"/>
      <c r="K47" s="649"/>
      <c r="L47" s="649"/>
      <c r="M47" s="650"/>
      <c r="N47" s="649"/>
      <c r="O47" s="651"/>
      <c r="P47" s="2142"/>
      <c r="Q47" s="1977"/>
      <c r="R47" s="1977"/>
      <c r="S47" s="1977"/>
      <c r="T47" s="1977"/>
      <c r="U47" s="1977"/>
      <c r="V47" s="1977"/>
      <c r="W47" s="1977"/>
      <c r="X47" s="1977"/>
      <c r="Y47" s="1977"/>
      <c r="Z47" s="1977"/>
      <c r="AA47" s="1977"/>
      <c r="AB47" s="1977"/>
      <c r="AC47" s="1977"/>
    </row>
    <row r="48" spans="1:29" s="1215" customFormat="1" ht="15.75" thickBot="1">
      <c r="A48" s="652" t="s">
        <v>575</v>
      </c>
      <c r="B48" s="653"/>
      <c r="C48" s="654"/>
      <c r="D48" s="655"/>
      <c r="E48" s="655"/>
      <c r="F48" s="655"/>
      <c r="G48" s="655"/>
      <c r="H48" s="655"/>
      <c r="I48" s="655"/>
      <c r="J48" s="655"/>
      <c r="K48" s="655"/>
      <c r="L48" s="655"/>
      <c r="M48" s="656"/>
      <c r="N48" s="655"/>
      <c r="O48" s="657"/>
      <c r="P48" s="2142"/>
      <c r="Q48" s="2142"/>
      <c r="R48" s="1977"/>
      <c r="S48" s="1977"/>
      <c r="T48" s="1977"/>
      <c r="U48" s="1977"/>
      <c r="V48" s="1977"/>
      <c r="W48" s="1977"/>
      <c r="X48" s="1977"/>
      <c r="Y48" s="1977"/>
      <c r="Z48" s="1977"/>
      <c r="AA48" s="1977"/>
      <c r="AB48" s="1977"/>
      <c r="AC48" s="1977"/>
    </row>
    <row r="49" spans="1:29" s="1215" customFormat="1" ht="15">
      <c r="A49" s="658" t="s">
        <v>531</v>
      </c>
      <c r="B49" s="647"/>
      <c r="C49" s="659" t="s">
        <v>576</v>
      </c>
      <c r="D49" s="660"/>
      <c r="E49" s="660"/>
      <c r="F49" s="660"/>
      <c r="G49" s="660"/>
      <c r="H49" s="660"/>
      <c r="I49" s="660"/>
      <c r="J49" s="660"/>
      <c r="K49" s="660"/>
      <c r="L49" s="661"/>
      <c r="M49" s="662"/>
      <c r="N49" s="2146"/>
      <c r="O49" s="2146"/>
      <c r="P49" s="2147"/>
      <c r="Q49" s="2142"/>
      <c r="R49" s="1977"/>
      <c r="S49" s="1977"/>
      <c r="T49" s="1977"/>
      <c r="U49" s="1977"/>
      <c r="V49" s="1977"/>
      <c r="W49" s="1977"/>
      <c r="X49" s="1977"/>
      <c r="Y49" s="1977"/>
      <c r="Z49" s="1977"/>
      <c r="AA49" s="1977"/>
      <c r="AB49" s="1977"/>
      <c r="AC49" s="1977"/>
    </row>
    <row r="50" spans="1:29" s="1215" customFormat="1" ht="15.75" thickBot="1">
      <c r="A50" s="658"/>
      <c r="B50" s="647"/>
      <c r="C50" s="648">
        <v>100</v>
      </c>
      <c r="D50" s="649"/>
      <c r="E50" s="649"/>
      <c r="F50" s="649"/>
      <c r="G50" s="649"/>
      <c r="H50" s="649"/>
      <c r="I50" s="649"/>
      <c r="J50" s="649"/>
      <c r="K50" s="649"/>
      <c r="L50" s="649"/>
      <c r="M50" s="651"/>
      <c r="N50" s="2146"/>
      <c r="O50" s="2146"/>
      <c r="P50" s="2142"/>
      <c r="Q50" s="2142"/>
      <c r="R50" s="1977"/>
      <c r="S50" s="1977"/>
      <c r="T50" s="1977"/>
      <c r="U50" s="1977"/>
      <c r="V50" s="1977"/>
      <c r="W50" s="1977"/>
      <c r="X50" s="1977"/>
      <c r="Y50" s="1977"/>
      <c r="Z50" s="1977"/>
      <c r="AA50" s="1977"/>
      <c r="AB50" s="1977"/>
      <c r="AC50" s="1977"/>
    </row>
    <row r="51" spans="1:29">
      <c r="A51" s="663" t="s">
        <v>577</v>
      </c>
      <c r="B51" s="664" t="s">
        <v>534</v>
      </c>
      <c r="C51" s="703">
        <f>C9</f>
        <v>0</v>
      </c>
      <c r="D51" s="597"/>
      <c r="E51" s="597"/>
      <c r="F51" s="597"/>
      <c r="G51" s="597"/>
      <c r="H51" s="597"/>
      <c r="I51" s="597"/>
      <c r="J51" s="597"/>
      <c r="K51" s="665"/>
      <c r="L51" s="666"/>
      <c r="M51" s="667"/>
      <c r="N51" s="2148"/>
      <c r="O51" s="2148"/>
      <c r="P51" s="2149"/>
      <c r="Q51" s="2142"/>
      <c r="R51" s="2129"/>
      <c r="S51" s="2129"/>
      <c r="T51" s="2129"/>
      <c r="U51" s="2129"/>
      <c r="V51" s="2129"/>
      <c r="W51" s="2129"/>
      <c r="X51" s="2129"/>
      <c r="Y51" s="2129"/>
      <c r="Z51" s="2129"/>
      <c r="AA51" s="2129"/>
      <c r="AB51" s="2129"/>
      <c r="AC51" s="2129"/>
    </row>
    <row r="52" spans="1:29" ht="15.75" thickBot="1">
      <c r="A52" s="668"/>
      <c r="B52" s="669"/>
      <c r="C52" s="670">
        <v>100</v>
      </c>
      <c r="D52" s="670"/>
      <c r="E52" s="670"/>
      <c r="F52" s="670"/>
      <c r="G52" s="670"/>
      <c r="H52" s="670"/>
      <c r="I52" s="670"/>
      <c r="J52" s="670"/>
      <c r="K52" s="670"/>
      <c r="L52" s="670"/>
      <c r="M52" s="671"/>
      <c r="N52" s="2150"/>
      <c r="O52" s="2150"/>
      <c r="P52" s="2149"/>
      <c r="Q52" s="2142"/>
      <c r="R52" s="2129"/>
      <c r="S52" s="2129"/>
      <c r="T52" s="2129"/>
      <c r="U52" s="2129"/>
      <c r="V52" s="2129"/>
      <c r="W52" s="2129"/>
      <c r="X52" s="2129"/>
      <c r="Y52" s="2129"/>
      <c r="Z52" s="2129"/>
      <c r="AA52" s="2129"/>
      <c r="AB52" s="2129"/>
      <c r="AC52" s="2129"/>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8"/>
      <c r="O53" s="2148"/>
      <c r="P53" s="2149"/>
      <c r="Q53" s="2142"/>
      <c r="R53" s="2129"/>
      <c r="S53" s="2129"/>
      <c r="T53" s="2129"/>
      <c r="U53" s="2129"/>
      <c r="V53" s="2129"/>
      <c r="W53" s="2129"/>
      <c r="X53" s="2129"/>
      <c r="Y53" s="2129"/>
      <c r="Z53" s="2129"/>
      <c r="AA53" s="2129"/>
      <c r="AB53" s="2129"/>
      <c r="AC53" s="2129"/>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50"/>
      <c r="O54" s="2150"/>
      <c r="P54" s="2149"/>
      <c r="Q54" s="2142"/>
      <c r="R54" s="2129"/>
      <c r="S54" s="2129"/>
      <c r="T54" s="2129"/>
      <c r="U54" s="2129"/>
      <c r="V54" s="2129"/>
      <c r="W54" s="2129"/>
      <c r="X54" s="2129"/>
      <c r="Y54" s="2129"/>
      <c r="Z54" s="2129"/>
      <c r="AA54" s="2129"/>
      <c r="AB54" s="2129"/>
      <c r="AC54" s="2129"/>
    </row>
    <row r="55" spans="1:29" ht="15.75" thickTop="1">
      <c r="A55" s="668"/>
      <c r="B55" s="934">
        <f>B11</f>
        <v>111</v>
      </c>
      <c r="C55" s="540"/>
      <c r="D55" s="540"/>
      <c r="E55" s="540"/>
      <c r="F55" s="540"/>
      <c r="G55" s="540"/>
      <c r="H55" s="540"/>
      <c r="I55" s="540"/>
      <c r="J55" s="540"/>
      <c r="K55" s="683"/>
      <c r="L55" s="684"/>
      <c r="M55" s="685"/>
      <c r="N55" s="2148"/>
      <c r="O55" s="2148"/>
      <c r="P55" s="2149"/>
      <c r="Q55" s="2142"/>
      <c r="R55" s="2129"/>
      <c r="S55" s="2129"/>
      <c r="T55" s="2129"/>
      <c r="U55" s="2129"/>
      <c r="V55" s="2129"/>
      <c r="W55" s="2129"/>
      <c r="X55" s="2129"/>
      <c r="Y55" s="2129"/>
      <c r="Z55" s="2129"/>
      <c r="AA55" s="2129"/>
      <c r="AB55" s="2129"/>
      <c r="AC55" s="2129"/>
    </row>
    <row r="56" spans="1:29" ht="15.75" thickBot="1">
      <c r="A56" s="668"/>
      <c r="B56" s="669"/>
      <c r="C56" s="691"/>
      <c r="D56" s="670"/>
      <c r="E56" s="670"/>
      <c r="F56" s="670"/>
      <c r="G56" s="670"/>
      <c r="H56" s="670"/>
      <c r="I56" s="670"/>
      <c r="J56" s="670"/>
      <c r="K56" s="670"/>
      <c r="L56" s="670"/>
      <c r="M56" s="671"/>
      <c r="N56" s="2150"/>
      <c r="O56" s="2150"/>
      <c r="P56" s="2149"/>
      <c r="Q56" s="2142"/>
      <c r="R56" s="2129"/>
      <c r="S56" s="2129"/>
      <c r="T56" s="2129"/>
      <c r="U56" s="2129"/>
      <c r="V56" s="2129"/>
      <c r="W56" s="2129"/>
      <c r="X56" s="2129"/>
      <c r="Y56" s="2129"/>
      <c r="Z56" s="2129"/>
      <c r="AA56" s="2129"/>
      <c r="AB56" s="2129"/>
      <c r="AC56" s="2129"/>
    </row>
    <row r="57" spans="1:29" s="1334" customFormat="1" ht="15.75" thickTop="1">
      <c r="A57" s="686"/>
      <c r="B57" s="672">
        <f>B12</f>
        <v>111</v>
      </c>
      <c r="C57" s="540"/>
      <c r="D57" s="540"/>
      <c r="E57" s="540"/>
      <c r="F57" s="540"/>
      <c r="G57" s="687"/>
      <c r="H57" s="688"/>
      <c r="I57" s="688"/>
      <c r="J57" s="688"/>
      <c r="K57" s="688"/>
      <c r="L57" s="689"/>
      <c r="M57" s="690"/>
      <c r="N57" s="2151"/>
      <c r="O57" s="2151"/>
      <c r="P57" s="2152"/>
      <c r="Q57" s="2153"/>
      <c r="R57" s="2154"/>
      <c r="S57" s="2154"/>
      <c r="T57" s="2154"/>
      <c r="U57" s="2154"/>
      <c r="V57" s="2154"/>
      <c r="W57" s="2154"/>
      <c r="X57" s="2154"/>
      <c r="Y57" s="2154"/>
      <c r="Z57" s="2154"/>
      <c r="AA57" s="2154"/>
      <c r="AB57" s="2154"/>
      <c r="AC57" s="2154"/>
    </row>
    <row r="58" spans="1:29" s="1334" customFormat="1" ht="15.75" thickBot="1">
      <c r="A58" s="686"/>
      <c r="B58" s="677"/>
      <c r="C58" s="691"/>
      <c r="D58" s="670"/>
      <c r="E58" s="670"/>
      <c r="F58" s="670"/>
      <c r="G58" s="670"/>
      <c r="H58" s="670"/>
      <c r="I58" s="670"/>
      <c r="J58" s="670"/>
      <c r="K58" s="670"/>
      <c r="L58" s="670"/>
      <c r="M58" s="671"/>
      <c r="N58" s="2150"/>
      <c r="O58" s="2150"/>
      <c r="P58" s="2152"/>
      <c r="Q58" s="2153"/>
      <c r="R58" s="2154"/>
      <c r="S58" s="2154"/>
      <c r="T58" s="2154"/>
      <c r="U58" s="2154"/>
      <c r="V58" s="2154"/>
      <c r="W58" s="2154"/>
      <c r="X58" s="2154"/>
      <c r="Y58" s="2154"/>
      <c r="Z58" s="2154"/>
      <c r="AA58" s="2154"/>
      <c r="AB58" s="2154"/>
      <c r="AC58" s="2154"/>
    </row>
    <row r="59" spans="1:29" s="1334" customFormat="1" ht="15.75" thickTop="1">
      <c r="A59" s="686"/>
      <c r="B59" s="672">
        <f>B13</f>
        <v>111</v>
      </c>
      <c r="C59" s="540"/>
      <c r="D59" s="540"/>
      <c r="E59" s="540"/>
      <c r="F59" s="540"/>
      <c r="G59" s="687"/>
      <c r="H59" s="688"/>
      <c r="I59" s="688"/>
      <c r="J59" s="688"/>
      <c r="K59" s="688"/>
      <c r="L59" s="689"/>
      <c r="M59" s="690"/>
      <c r="N59" s="2151"/>
      <c r="O59" s="2151"/>
      <c r="P59" s="2155"/>
      <c r="Q59" s="2156"/>
      <c r="R59" s="2154"/>
      <c r="S59" s="2154"/>
      <c r="T59" s="2154"/>
      <c r="U59" s="2154"/>
      <c r="V59" s="2154"/>
      <c r="W59" s="2154"/>
      <c r="X59" s="2154"/>
      <c r="Y59" s="2154"/>
      <c r="Z59" s="2154"/>
      <c r="AA59" s="2154"/>
      <c r="AB59" s="2154"/>
      <c r="AC59" s="2154"/>
    </row>
    <row r="60" spans="1:29" s="1334" customFormat="1" ht="15.75" thickBot="1">
      <c r="A60" s="686"/>
      <c r="B60" s="677"/>
      <c r="C60" s="691"/>
      <c r="D60" s="691"/>
      <c r="E60" s="691"/>
      <c r="F60" s="691"/>
      <c r="G60" s="691"/>
      <c r="H60" s="692"/>
      <c r="I60" s="692"/>
      <c r="J60" s="692"/>
      <c r="K60" s="692"/>
      <c r="L60" s="692"/>
      <c r="M60" s="693"/>
      <c r="N60" s="2151"/>
      <c r="O60" s="2151"/>
      <c r="P60" s="2152"/>
      <c r="Q60" s="2153"/>
      <c r="R60" s="2154"/>
      <c r="S60" s="2154"/>
      <c r="T60" s="2154"/>
      <c r="U60" s="2154"/>
      <c r="V60" s="2154"/>
      <c r="W60" s="2154"/>
      <c r="X60" s="2154"/>
      <c r="Y60" s="2154"/>
      <c r="Z60" s="2154"/>
      <c r="AA60" s="2154"/>
      <c r="AB60" s="2154"/>
      <c r="AC60" s="2154"/>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8"/>
      <c r="O61" s="2148"/>
      <c r="P61" s="2158"/>
      <c r="Q61" s="2142"/>
      <c r="R61" s="2129"/>
      <c r="S61" s="2129"/>
      <c r="T61" s="2129"/>
      <c r="U61" s="2129"/>
      <c r="V61" s="2129"/>
      <c r="W61" s="2129"/>
      <c r="X61" s="2129"/>
      <c r="Y61" s="2129"/>
      <c r="Z61" s="2129"/>
      <c r="AA61" s="2129"/>
      <c r="AB61" s="2129"/>
      <c r="AC61" s="2129"/>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0"/>
      <c r="O62" s="2150"/>
      <c r="P62" s="2149"/>
      <c r="Q62" s="2142"/>
      <c r="R62" s="2129"/>
      <c r="S62" s="2129"/>
      <c r="T62" s="2129"/>
      <c r="U62" s="2129"/>
      <c r="V62" s="2129"/>
      <c r="W62" s="2129"/>
      <c r="X62" s="2129"/>
      <c r="Y62" s="2129"/>
      <c r="Z62" s="2129"/>
      <c r="AA62" s="2129"/>
      <c r="AB62" s="2129"/>
      <c r="AC62" s="2129"/>
    </row>
    <row r="63" spans="1:29" ht="15.75" thickTop="1">
      <c r="A63" s="668"/>
      <c r="B63" s="1880" t="s">
        <v>2554</v>
      </c>
      <c r="C63" s="707" t="s">
        <v>579</v>
      </c>
      <c r="D63" s="707" t="s">
        <v>580</v>
      </c>
      <c r="E63" s="707" t="s">
        <v>581</v>
      </c>
      <c r="F63" s="707" t="s">
        <v>582</v>
      </c>
      <c r="G63" s="707" t="s">
        <v>583</v>
      </c>
      <c r="H63" s="673"/>
      <c r="I63" s="673"/>
      <c r="J63" s="673"/>
      <c r="K63" s="674"/>
      <c r="L63" s="675"/>
      <c r="M63" s="676"/>
      <c r="N63" s="2148"/>
      <c r="O63" s="2148"/>
      <c r="P63" s="2149"/>
      <c r="Q63" s="2142"/>
      <c r="R63" s="2129"/>
      <c r="S63" s="2129"/>
      <c r="T63" s="2129"/>
      <c r="U63" s="2129"/>
      <c r="V63" s="2129"/>
      <c r="W63" s="2129"/>
      <c r="X63" s="2129"/>
      <c r="Y63" s="2129"/>
      <c r="Z63" s="2129"/>
      <c r="AA63" s="2129"/>
      <c r="AB63" s="2129"/>
      <c r="AC63" s="2129"/>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2560" t="s">
        <v>2555</v>
      </c>
      <c r="C65" s="2561" t="s">
        <v>2556</v>
      </c>
      <c r="D65" s="2561" t="s">
        <v>2557</v>
      </c>
      <c r="E65" s="2561" t="s">
        <v>2558</v>
      </c>
      <c r="F65" s="2561" t="s">
        <v>2559</v>
      </c>
      <c r="G65" s="2561" t="s">
        <v>2560</v>
      </c>
      <c r="H65" s="673"/>
      <c r="I65" s="673"/>
      <c r="J65" s="673"/>
      <c r="K65" s="673"/>
      <c r="L65" s="673"/>
      <c r="M65" s="2564"/>
      <c r="N65" s="2150"/>
      <c r="O65" s="2150"/>
      <c r="P65" s="2149"/>
      <c r="Q65" s="2142"/>
      <c r="R65" s="2129"/>
      <c r="S65" s="2129"/>
      <c r="T65" s="2129"/>
      <c r="U65" s="2129"/>
      <c r="V65" s="2129"/>
      <c r="W65" s="2129"/>
      <c r="X65" s="2129"/>
      <c r="Y65" s="2129"/>
      <c r="Z65" s="2129"/>
      <c r="AA65" s="2129"/>
      <c r="AB65" s="2129"/>
      <c r="AC65" s="2129"/>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50"/>
      <c r="O66" s="2150"/>
      <c r="P66" s="2149"/>
      <c r="Q66" s="2142"/>
      <c r="R66" s="2129"/>
      <c r="S66" s="2129"/>
      <c r="T66" s="2129"/>
      <c r="U66" s="2129"/>
      <c r="V66" s="2129"/>
      <c r="W66" s="2129"/>
      <c r="X66" s="2129"/>
      <c r="Y66" s="2129"/>
      <c r="Z66" s="2129"/>
      <c r="AA66" s="2129"/>
      <c r="AB66" s="2129"/>
      <c r="AC66" s="2129"/>
    </row>
    <row r="67" spans="1:29" ht="15.75" thickTop="1">
      <c r="A67" s="668"/>
      <c r="B67" s="672" t="s">
        <v>744</v>
      </c>
      <c r="C67" s="707" t="s">
        <v>579</v>
      </c>
      <c r="D67" s="707" t="s">
        <v>580</v>
      </c>
      <c r="E67" s="707" t="s">
        <v>581</v>
      </c>
      <c r="F67" s="707" t="s">
        <v>582</v>
      </c>
      <c r="G67" s="707" t="s">
        <v>583</v>
      </c>
      <c r="H67" s="673"/>
      <c r="I67" s="673"/>
      <c r="J67" s="673"/>
      <c r="K67" s="674"/>
      <c r="L67" s="675"/>
      <c r="M67" s="676"/>
      <c r="N67" s="2148"/>
      <c r="O67" s="2148"/>
      <c r="P67" s="2149"/>
      <c r="Q67" s="2142"/>
      <c r="R67" s="2129"/>
      <c r="S67" s="2129"/>
      <c r="T67" s="2129"/>
      <c r="U67" s="2129"/>
      <c r="V67" s="2129"/>
      <c r="W67" s="2129"/>
      <c r="X67" s="2129"/>
      <c r="Y67" s="2129"/>
      <c r="Z67" s="2129"/>
      <c r="AA67" s="2129"/>
      <c r="AB67" s="2129"/>
      <c r="AC67" s="2129"/>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745</v>
      </c>
      <c r="C69" s="687"/>
      <c r="D69" s="687"/>
      <c r="E69" s="687"/>
      <c r="F69" s="687"/>
      <c r="G69" s="687"/>
      <c r="H69" s="717"/>
      <c r="I69" s="717"/>
      <c r="J69" s="717"/>
      <c r="K69" s="718"/>
      <c r="L69" s="719"/>
      <c r="M69" s="720"/>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C70-$K22</f>
        <v>100</v>
      </c>
      <c r="E70" s="678"/>
      <c r="F70" s="678"/>
      <c r="G70" s="678"/>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s="1215" customFormat="1" ht="15.75" thickTop="1">
      <c r="A71" s="708"/>
      <c r="B71" s="672">
        <f>B23</f>
        <v>111</v>
      </c>
      <c r="C71" s="540"/>
      <c r="D71" s="540"/>
      <c r="E71" s="540"/>
      <c r="F71" s="540"/>
      <c r="G71" s="687"/>
      <c r="H71" s="687"/>
      <c r="I71" s="687"/>
      <c r="J71" s="687"/>
      <c r="K71" s="687"/>
      <c r="L71" s="889"/>
      <c r="M71" s="890"/>
      <c r="N71" s="2146"/>
      <c r="O71" s="2146"/>
      <c r="P71" s="2149"/>
      <c r="Q71" s="2142"/>
      <c r="R71" s="1977"/>
      <c r="S71" s="1977"/>
      <c r="T71" s="1977"/>
      <c r="U71" s="1977"/>
      <c r="V71" s="1977"/>
      <c r="W71" s="1977"/>
      <c r="X71" s="1977"/>
      <c r="Y71" s="1977"/>
      <c r="Z71" s="1977"/>
      <c r="AA71" s="1977"/>
      <c r="AB71" s="1977"/>
      <c r="AC71" s="1977"/>
    </row>
    <row r="72" spans="1:29" s="1215" customFormat="1" ht="15.75" thickBot="1">
      <c r="A72" s="708"/>
      <c r="B72" s="677"/>
      <c r="C72" s="691"/>
      <c r="D72" s="670"/>
      <c r="E72" s="670"/>
      <c r="F72" s="670"/>
      <c r="G72" s="670"/>
      <c r="H72" s="670"/>
      <c r="I72" s="670"/>
      <c r="J72" s="670"/>
      <c r="K72" s="670"/>
      <c r="L72" s="670"/>
      <c r="M72" s="671"/>
      <c r="N72" s="2150"/>
      <c r="O72" s="2150"/>
      <c r="P72" s="2149"/>
      <c r="Q72" s="2142"/>
      <c r="R72" s="1977"/>
      <c r="S72" s="1977"/>
      <c r="T72" s="1977"/>
      <c r="U72" s="1977"/>
      <c r="V72" s="1977"/>
      <c r="W72" s="1977"/>
      <c r="X72" s="1977"/>
      <c r="Y72" s="1977"/>
      <c r="Z72" s="1977"/>
      <c r="AA72" s="1977"/>
      <c r="AB72" s="1977"/>
      <c r="AC72" s="1977"/>
    </row>
    <row r="73" spans="1:29" s="1215" customFormat="1" ht="15.75" thickTop="1">
      <c r="A73" s="708"/>
      <c r="B73" s="672">
        <f>B24</f>
        <v>111</v>
      </c>
      <c r="C73" s="540"/>
      <c r="D73" s="540"/>
      <c r="E73" s="540"/>
      <c r="F73" s="540"/>
      <c r="G73" s="687"/>
      <c r="H73" s="687"/>
      <c r="I73" s="687"/>
      <c r="J73" s="687"/>
      <c r="K73" s="687"/>
      <c r="L73" s="687"/>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334" customFormat="1" ht="15.75" thickTop="1">
      <c r="A75" s="686"/>
      <c r="B75" s="672">
        <f>B25</f>
        <v>111</v>
      </c>
      <c r="C75" s="540"/>
      <c r="D75" s="540"/>
      <c r="E75" s="540"/>
      <c r="F75" s="540"/>
      <c r="G75" s="687"/>
      <c r="H75" s="688"/>
      <c r="I75" s="688"/>
      <c r="J75" s="688"/>
      <c r="K75" s="688"/>
      <c r="L75" s="689"/>
      <c r="M75" s="690"/>
      <c r="N75" s="2151"/>
      <c r="O75" s="2151"/>
      <c r="P75" s="2152"/>
      <c r="Q75" s="2153"/>
      <c r="R75" s="2154"/>
      <c r="S75" s="2154"/>
      <c r="T75" s="2154"/>
      <c r="U75" s="2154"/>
      <c r="V75" s="2154"/>
      <c r="W75" s="2154"/>
      <c r="X75" s="2154"/>
      <c r="Y75" s="2154"/>
      <c r="Z75" s="2154"/>
      <c r="AA75" s="2154"/>
      <c r="AB75" s="2154"/>
      <c r="AC75" s="2154"/>
    </row>
    <row r="76" spans="1:29" s="1334" customFormat="1" ht="15.75" thickBot="1">
      <c r="A76" s="686"/>
      <c r="B76" s="677"/>
      <c r="C76" s="691"/>
      <c r="D76" s="691"/>
      <c r="E76" s="691"/>
      <c r="F76" s="691"/>
      <c r="G76" s="670"/>
      <c r="H76" s="670"/>
      <c r="I76" s="670"/>
      <c r="J76" s="670"/>
      <c r="K76" s="670"/>
      <c r="L76" s="670"/>
      <c r="M76" s="671"/>
      <c r="N76" s="2151"/>
      <c r="O76" s="2151"/>
      <c r="P76" s="2152"/>
      <c r="Q76" s="2153"/>
      <c r="R76" s="2154"/>
      <c r="S76" s="2154"/>
      <c r="T76" s="2154"/>
      <c r="U76" s="2154"/>
      <c r="V76" s="2154"/>
      <c r="W76" s="2154"/>
      <c r="X76" s="2154"/>
      <c r="Y76" s="2154"/>
      <c r="Z76" s="2154"/>
      <c r="AA76" s="2154"/>
      <c r="AB76" s="2154"/>
      <c r="AC76" s="2154"/>
    </row>
    <row r="77" spans="1:29" ht="15" thickTop="1">
      <c r="A77" s="663" t="s">
        <v>551</v>
      </c>
      <c r="B77" s="664" t="s">
        <v>751</v>
      </c>
      <c r="C77" s="687"/>
      <c r="D77" s="68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6"/>
      <c r="O79" s="2146"/>
      <c r="P79" s="2149"/>
      <c r="Q79" s="2142"/>
      <c r="R79" s="2129"/>
      <c r="S79" s="2129"/>
      <c r="T79" s="2129"/>
      <c r="U79" s="2129"/>
      <c r="V79" s="2129"/>
      <c r="W79" s="2129"/>
      <c r="X79" s="2129"/>
      <c r="Y79" s="2129"/>
      <c r="Z79" s="2129"/>
      <c r="AA79" s="2129"/>
      <c r="AB79" s="2129"/>
      <c r="AC79" s="2129"/>
    </row>
    <row r="80" spans="1:29" ht="15">
      <c r="A80" s="668"/>
      <c r="B80" s="680"/>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4"/>
      <c r="B82" s="680" t="s">
        <v>817</v>
      </c>
      <c r="C82" s="687"/>
      <c r="D82" s="687"/>
      <c r="E82" s="717"/>
      <c r="F82" s="717"/>
      <c r="G82" s="717"/>
      <c r="H82" s="717"/>
      <c r="I82" s="717"/>
      <c r="J82" s="717"/>
      <c r="K82" s="718"/>
      <c r="L82" s="719"/>
      <c r="M82" s="720"/>
      <c r="N82" s="2148"/>
      <c r="O82" s="2148"/>
      <c r="P82" s="2149"/>
      <c r="Q82" s="2142"/>
      <c r="R82" s="2129"/>
      <c r="S82" s="2129"/>
      <c r="T82" s="2129"/>
      <c r="U82" s="2129"/>
      <c r="V82" s="2129"/>
      <c r="W82" s="2129"/>
      <c r="X82" s="2129"/>
      <c r="Y82" s="2129"/>
      <c r="Z82" s="2129"/>
      <c r="AA82" s="2129"/>
      <c r="AB82" s="2129"/>
      <c r="AC82" s="2129"/>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4"/>
      <c r="B84" s="672" t="s">
        <v>825</v>
      </c>
      <c r="C84" s="687"/>
      <c r="D84" s="687"/>
      <c r="E84" s="687"/>
      <c r="F84" s="687"/>
      <c r="G84" s="687"/>
      <c r="H84" s="687"/>
      <c r="I84" s="717"/>
      <c r="J84" s="717"/>
      <c r="K84" s="718"/>
      <c r="L84" s="719"/>
      <c r="M84" s="720"/>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8"/>
      <c r="O86" s="2148"/>
      <c r="P86" s="2149"/>
      <c r="Q86" s="2142"/>
      <c r="R86" s="2129"/>
      <c r="S86" s="2129"/>
      <c r="T86" s="2129"/>
      <c r="U86" s="2129"/>
      <c r="V86" s="2129"/>
      <c r="W86" s="2129"/>
      <c r="X86" s="2129"/>
      <c r="Y86" s="2129"/>
      <c r="Z86" s="2129"/>
      <c r="AA86" s="2129"/>
      <c r="AB86" s="2129"/>
      <c r="AC86" s="2129"/>
    </row>
    <row r="87" spans="1:29">
      <c r="A87" s="734"/>
      <c r="B87" s="680"/>
      <c r="C87" s="729"/>
      <c r="D87" s="729"/>
      <c r="E87" s="729"/>
      <c r="F87" s="729"/>
      <c r="G87" s="729"/>
      <c r="H87" s="729"/>
      <c r="I87" s="729"/>
      <c r="J87" s="730"/>
      <c r="K87" s="730"/>
      <c r="L87" s="731"/>
      <c r="M87" s="732"/>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91"/>
      <c r="D88" s="670"/>
      <c r="E88" s="670"/>
      <c r="F88" s="670"/>
      <c r="G88" s="670"/>
      <c r="H88" s="670"/>
      <c r="I88" s="670"/>
      <c r="J88" s="670"/>
      <c r="K88" s="670"/>
      <c r="L88" s="670"/>
      <c r="M88" s="670"/>
      <c r="N88" s="2150"/>
      <c r="O88" s="2150"/>
      <c r="P88" s="2149"/>
      <c r="Q88" s="2142"/>
      <c r="R88" s="2129"/>
      <c r="S88" s="2129"/>
      <c r="T88" s="2129"/>
      <c r="U88" s="2129"/>
      <c r="V88" s="2129"/>
      <c r="W88" s="2129"/>
      <c r="X88" s="2129"/>
      <c r="Y88" s="2129"/>
      <c r="Z88" s="2129"/>
      <c r="AA88" s="2129"/>
      <c r="AB88" s="2129"/>
      <c r="AC88" s="2129"/>
    </row>
    <row r="89" spans="1:29" s="1334" customFormat="1" ht="15" thickTop="1">
      <c r="A89" s="727"/>
      <c r="B89" s="672" t="s">
        <v>827</v>
      </c>
      <c r="C89" s="687"/>
      <c r="D89" s="687"/>
      <c r="E89" s="687"/>
      <c r="F89" s="687"/>
      <c r="G89" s="687"/>
      <c r="H89" s="687"/>
      <c r="I89" s="687"/>
      <c r="J89" s="687"/>
      <c r="K89" s="687"/>
      <c r="L89" s="687"/>
      <c r="M89" s="890"/>
      <c r="N89" s="2151"/>
      <c r="O89" s="2151"/>
      <c r="P89" s="2152"/>
      <c r="Q89" s="2153"/>
      <c r="R89" s="2154"/>
      <c r="S89" s="2154"/>
      <c r="T89" s="2154"/>
      <c r="U89" s="2154"/>
      <c r="V89" s="2154"/>
      <c r="W89" s="2154"/>
      <c r="X89" s="2154"/>
      <c r="Y89" s="2154"/>
      <c r="Z89" s="2154"/>
      <c r="AA89" s="2154"/>
      <c r="AB89" s="2154"/>
      <c r="AC89" s="2154"/>
    </row>
    <row r="90" spans="1:29" s="1334" customFormat="1" ht="15.75" thickBot="1">
      <c r="A90" s="686"/>
      <c r="B90" s="677"/>
      <c r="C90" s="691"/>
      <c r="D90" s="670"/>
      <c r="E90" s="670"/>
      <c r="F90" s="670"/>
      <c r="G90" s="670"/>
      <c r="H90" s="670"/>
      <c r="I90" s="670"/>
      <c r="J90" s="670"/>
      <c r="K90" s="670"/>
      <c r="L90" s="670"/>
      <c r="M90" s="671"/>
      <c r="N90" s="2151"/>
      <c r="O90" s="2151"/>
      <c r="P90" s="2152"/>
      <c r="Q90" s="2153"/>
      <c r="R90" s="2154"/>
      <c r="S90" s="2154"/>
      <c r="T90" s="2154"/>
      <c r="U90" s="2154"/>
      <c r="V90" s="2154"/>
      <c r="W90" s="2154"/>
      <c r="X90" s="2154"/>
      <c r="Y90" s="2154"/>
      <c r="Z90" s="2154"/>
      <c r="AA90" s="2154"/>
      <c r="AB90" s="2154"/>
      <c r="AC90" s="2154"/>
    </row>
    <row r="91" spans="1:29" ht="15" thickTop="1">
      <c r="A91" s="734"/>
      <c r="B91" s="672">
        <f>B32</f>
        <v>111</v>
      </c>
      <c r="C91" s="540"/>
      <c r="D91" s="540"/>
      <c r="E91" s="540"/>
      <c r="F91" s="540"/>
      <c r="G91" s="687"/>
      <c r="H91" s="688"/>
      <c r="I91" s="688"/>
      <c r="J91" s="688"/>
      <c r="K91" s="688"/>
      <c r="L91" s="689"/>
      <c r="M91" s="690"/>
      <c r="N91" s="2148"/>
      <c r="O91" s="2148"/>
      <c r="P91" s="2149"/>
      <c r="Q91" s="2142"/>
      <c r="R91" s="2129"/>
      <c r="S91" s="2129"/>
      <c r="T91" s="2129"/>
      <c r="U91" s="2129"/>
      <c r="V91" s="2129"/>
      <c r="W91" s="2129"/>
      <c r="X91" s="2129"/>
      <c r="Y91" s="2129"/>
      <c r="Z91" s="2129"/>
      <c r="AA91" s="2129"/>
      <c r="AB91" s="2129"/>
      <c r="AC91" s="2129"/>
    </row>
    <row r="92" spans="1:29" ht="15.75" thickBot="1">
      <c r="A92" s="668"/>
      <c r="B92" s="677"/>
      <c r="C92" s="691"/>
      <c r="D92" s="670"/>
      <c r="E92" s="670"/>
      <c r="F92" s="670"/>
      <c r="G92" s="691"/>
      <c r="H92" s="692"/>
      <c r="I92" s="692"/>
      <c r="J92" s="692"/>
      <c r="K92" s="692"/>
      <c r="L92" s="692"/>
      <c r="M92" s="693"/>
      <c r="N92" s="2150"/>
      <c r="O92" s="2150"/>
      <c r="P92" s="2149"/>
      <c r="Q92" s="2142"/>
      <c r="R92" s="2129"/>
      <c r="S92" s="2129"/>
      <c r="T92" s="2129"/>
      <c r="U92" s="2129"/>
      <c r="V92" s="2129"/>
      <c r="W92" s="2129"/>
      <c r="X92" s="2129"/>
      <c r="Y92" s="2129"/>
      <c r="Z92" s="2129"/>
      <c r="AA92" s="2129"/>
      <c r="AB92" s="2129"/>
      <c r="AC92" s="2129"/>
    </row>
    <row r="93" spans="1:29" ht="15" thickTop="1">
      <c r="A93" s="734"/>
      <c r="B93" s="672">
        <f>B33</f>
        <v>111</v>
      </c>
      <c r="C93" s="540"/>
      <c r="D93" s="540"/>
      <c r="E93" s="540"/>
      <c r="F93" s="540"/>
      <c r="G93" s="687"/>
      <c r="H93" s="688"/>
      <c r="I93" s="688"/>
      <c r="J93" s="688"/>
      <c r="K93" s="688"/>
      <c r="L93" s="689"/>
      <c r="M93" s="69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91"/>
      <c r="H94" s="692"/>
      <c r="I94" s="692"/>
      <c r="J94" s="692"/>
      <c r="K94" s="692"/>
      <c r="L94" s="692"/>
      <c r="M94" s="693"/>
      <c r="N94" s="2150"/>
      <c r="O94" s="2150"/>
      <c r="P94" s="2149"/>
      <c r="Q94" s="2142"/>
      <c r="R94" s="2129"/>
      <c r="S94" s="2129"/>
      <c r="T94" s="2129"/>
      <c r="U94" s="2129"/>
      <c r="V94" s="2129"/>
      <c r="W94" s="2129"/>
      <c r="X94" s="2129"/>
      <c r="Y94" s="2129"/>
      <c r="Z94" s="2129"/>
      <c r="AA94" s="2129"/>
      <c r="AB94" s="2129"/>
      <c r="AC94" s="2129"/>
    </row>
    <row r="95" spans="1:29" ht="15" thickTop="1">
      <c r="A95" s="734"/>
      <c r="B95" s="916">
        <f>B34</f>
        <v>111</v>
      </c>
      <c r="C95" s="540"/>
      <c r="D95" s="540"/>
      <c r="E95" s="540"/>
      <c r="F95" s="540"/>
      <c r="G95" s="687"/>
      <c r="H95" s="688"/>
      <c r="I95" s="688"/>
      <c r="J95" s="688"/>
      <c r="K95" s="688"/>
      <c r="L95" s="689"/>
      <c r="M95" s="690"/>
      <c r="N95" s="2150"/>
      <c r="O95" s="2150"/>
      <c r="P95" s="2189"/>
      <c r="Q95" s="2190"/>
      <c r="R95" s="2129"/>
      <c r="S95" s="2129"/>
      <c r="T95" s="2129"/>
      <c r="U95" s="2129"/>
      <c r="V95" s="2129"/>
      <c r="W95" s="2129"/>
      <c r="X95" s="2129"/>
      <c r="Y95" s="2129"/>
      <c r="Z95" s="2129"/>
      <c r="AA95" s="2129"/>
      <c r="AB95" s="2129"/>
      <c r="AC95" s="2129"/>
    </row>
    <row r="96" spans="1:29" ht="15.75" thickBot="1">
      <c r="A96" s="668"/>
      <c r="B96" s="677"/>
      <c r="C96" s="691"/>
      <c r="D96" s="691"/>
      <c r="E96" s="691"/>
      <c r="F96" s="691"/>
      <c r="G96" s="691"/>
      <c r="H96" s="692"/>
      <c r="I96" s="692"/>
      <c r="J96" s="692"/>
      <c r="K96" s="692"/>
      <c r="L96" s="692"/>
      <c r="M96" s="693"/>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6"/>
    <col min="36" max="16384" width="9" style="1245"/>
  </cols>
  <sheetData>
    <row r="1" spans="1:45" s="256" customFormat="1" ht="14.25" customHeight="1" thickBot="1">
      <c r="A1" s="364"/>
      <c r="B1" s="2218" t="s">
        <v>2300</v>
      </c>
      <c r="C1" s="3556" t="s">
        <v>2301</v>
      </c>
      <c r="D1" s="3557"/>
      <c r="E1" s="3557"/>
      <c r="F1" s="3557"/>
      <c r="G1" s="3557"/>
      <c r="H1" s="3557"/>
      <c r="I1" s="3557"/>
      <c r="J1" s="3557"/>
      <c r="K1" s="3557"/>
      <c r="L1" s="3557"/>
      <c r="M1" s="3557"/>
      <c r="N1" s="3557"/>
      <c r="O1" s="3557"/>
      <c r="P1" s="3557"/>
      <c r="Q1" s="3557"/>
      <c r="R1" s="3557"/>
      <c r="S1" s="3558"/>
      <c r="T1" s="2218" t="s">
        <v>2302</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8" t="s">
        <v>2303</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2917" t="s">
        <v>2925</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2919" t="s">
        <v>2924</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2919" t="s">
        <v>2923</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2918"/>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2917" t="s">
        <v>2936</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2917" t="s">
        <v>2922</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2917" t="s">
        <v>2921</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2304</v>
      </c>
      <c r="B17" s="2262" t="s">
        <v>2305</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0"/>
      <c r="B19" s="947"/>
      <c r="C19" s="1974"/>
      <c r="D19" s="1974"/>
      <c r="E19" s="1974"/>
      <c r="F19" s="1974"/>
      <c r="G19" s="1974"/>
      <c r="H19" s="1974"/>
      <c r="I19" s="1974"/>
      <c r="J19" s="1974"/>
      <c r="K19" s="1974"/>
      <c r="L19" s="1974"/>
      <c r="M19" s="1974"/>
      <c r="N19" s="1974"/>
      <c r="O19" s="1974"/>
      <c r="P19" s="1974"/>
      <c r="Q19" s="1974"/>
      <c r="R19" s="2209"/>
      <c r="S19" s="2012"/>
    </row>
    <row r="20" spans="1:45" ht="15.75">
      <c r="A20" s="959" t="s">
        <v>828</v>
      </c>
      <c r="B20" s="774">
        <f>S22</f>
        <v>0</v>
      </c>
      <c r="C20" s="1974"/>
      <c r="D20" s="1974"/>
      <c r="E20" s="1974"/>
      <c r="F20" s="1974"/>
      <c r="G20" s="1974"/>
      <c r="H20" s="1974"/>
      <c r="I20" s="1974"/>
      <c r="J20" s="1974"/>
      <c r="K20" s="1974"/>
      <c r="L20" s="1974"/>
      <c r="M20" s="1974"/>
      <c r="N20" s="1974"/>
      <c r="O20" s="1974"/>
      <c r="P20" s="1974"/>
      <c r="Q20" s="1974"/>
      <c r="R20" s="2209"/>
      <c r="S20" s="2012"/>
    </row>
    <row r="21" spans="1:45" ht="15.75">
      <c r="A21" s="959" t="s">
        <v>829</v>
      </c>
      <c r="B21" s="774" t="e">
        <f>R22</f>
        <v>#DIV/0!</v>
      </c>
      <c r="C21" s="1974"/>
      <c r="D21" s="1974"/>
      <c r="E21" s="1974"/>
      <c r="F21" s="1974"/>
      <c r="G21" s="1974"/>
      <c r="H21" s="1974"/>
      <c r="I21" s="1974"/>
      <c r="J21" s="1974"/>
      <c r="K21" s="1974"/>
      <c r="L21" s="1974"/>
      <c r="M21" s="1974"/>
      <c r="N21" s="1974"/>
      <c r="O21" s="1974"/>
      <c r="P21" s="1974"/>
      <c r="Q21" s="1974"/>
      <c r="R21" s="2209"/>
      <c r="S21" s="2012"/>
    </row>
    <row r="22" spans="1:45">
      <c r="A22" s="798" t="s">
        <v>830</v>
      </c>
      <c r="B22" s="53">
        <f>SUM(B24:B10000)</f>
        <v>0</v>
      </c>
      <c r="C22" s="3553" t="s">
        <v>20</v>
      </c>
      <c r="D22" s="3554"/>
      <c r="E22" s="3554"/>
      <c r="F22" s="3554"/>
      <c r="G22" s="3554"/>
      <c r="H22" s="3554"/>
      <c r="I22" s="3554"/>
      <c r="J22" s="3554"/>
      <c r="K22" s="3554"/>
      <c r="L22" s="3554"/>
      <c r="M22" s="3554"/>
      <c r="N22" s="3554"/>
      <c r="O22" s="3554"/>
      <c r="P22" s="3554"/>
      <c r="Q22" s="3555"/>
      <c r="R22" s="489"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9"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10"/>
      <c r="S525" s="256"/>
    </row>
    <row r="526" spans="1:19">
      <c r="A526" s="256"/>
      <c r="B526" s="57"/>
      <c r="C526" s="57"/>
      <c r="D526" s="57"/>
      <c r="E526" s="57"/>
      <c r="F526" s="57"/>
      <c r="G526" s="57"/>
      <c r="H526" s="57"/>
      <c r="I526" s="57"/>
      <c r="J526" s="57"/>
      <c r="K526" s="57"/>
      <c r="L526" s="57"/>
      <c r="M526" s="57"/>
      <c r="N526" s="57"/>
      <c r="O526" s="57"/>
      <c r="P526" s="57"/>
      <c r="Q526" s="57"/>
      <c r="R526" s="2210"/>
      <c r="S526" s="256"/>
    </row>
    <row r="527" spans="1:19">
      <c r="A527" s="256"/>
      <c r="B527" s="57"/>
      <c r="C527" s="57"/>
      <c r="D527" s="57"/>
      <c r="E527" s="57"/>
      <c r="F527" s="57"/>
      <c r="G527" s="57"/>
      <c r="H527" s="57"/>
      <c r="I527" s="57"/>
      <c r="J527" s="57"/>
      <c r="K527" s="57"/>
      <c r="L527" s="57"/>
      <c r="M527" s="57"/>
      <c r="N527" s="57"/>
      <c r="O527" s="57"/>
      <c r="P527" s="57"/>
      <c r="Q527" s="57"/>
      <c r="R527" s="2210"/>
      <c r="S527" s="256"/>
    </row>
    <row r="528" spans="1:19">
      <c r="A528" s="256"/>
      <c r="B528" s="57"/>
      <c r="C528" s="57"/>
      <c r="D528" s="57"/>
      <c r="E528" s="57"/>
      <c r="F528" s="57"/>
      <c r="G528" s="57"/>
      <c r="H528" s="57"/>
      <c r="I528" s="57"/>
      <c r="J528" s="57"/>
      <c r="K528" s="57"/>
      <c r="L528" s="57"/>
      <c r="M528" s="57"/>
      <c r="N528" s="57"/>
      <c r="O528" s="57"/>
      <c r="P528" s="57"/>
      <c r="Q528" s="57"/>
      <c r="R528" s="2210"/>
      <c r="S528" s="256"/>
    </row>
    <row r="529" spans="1:19">
      <c r="A529" s="256"/>
      <c r="B529" s="57"/>
      <c r="C529" s="57"/>
      <c r="D529" s="57"/>
      <c r="E529" s="57"/>
      <c r="F529" s="57"/>
      <c r="G529" s="57"/>
      <c r="H529" s="57"/>
      <c r="I529" s="57"/>
      <c r="J529" s="57"/>
      <c r="K529" s="57"/>
      <c r="L529" s="57"/>
      <c r="M529" s="57"/>
      <c r="N529" s="57"/>
      <c r="O529" s="57"/>
      <c r="P529" s="57"/>
      <c r="Q529" s="57"/>
      <c r="R529" s="2210"/>
      <c r="S529" s="256"/>
    </row>
    <row r="530" spans="1:19">
      <c r="A530" s="256"/>
      <c r="B530" s="57"/>
      <c r="C530" s="57"/>
      <c r="D530" s="57"/>
      <c r="E530" s="57"/>
      <c r="F530" s="57"/>
      <c r="G530" s="57"/>
      <c r="H530" s="57"/>
      <c r="I530" s="57"/>
      <c r="J530" s="57"/>
      <c r="K530" s="57"/>
      <c r="L530" s="57"/>
      <c r="M530" s="57"/>
      <c r="N530" s="57"/>
      <c r="O530" s="57"/>
      <c r="P530" s="57"/>
      <c r="Q530" s="57"/>
      <c r="R530" s="2210"/>
      <c r="S530" s="256"/>
    </row>
    <row r="531" spans="1:19">
      <c r="A531" s="256"/>
      <c r="B531" s="57"/>
      <c r="C531" s="57"/>
      <c r="D531" s="57"/>
      <c r="E531" s="57"/>
      <c r="F531" s="57"/>
      <c r="G531" s="57"/>
      <c r="H531" s="57"/>
      <c r="I531" s="57"/>
      <c r="J531" s="57"/>
      <c r="K531" s="57"/>
      <c r="L531" s="57"/>
      <c r="M531" s="57"/>
      <c r="N531" s="57"/>
      <c r="O531" s="57"/>
      <c r="P531" s="57"/>
      <c r="Q531" s="57"/>
      <c r="R531" s="2210"/>
      <c r="S531" s="256"/>
    </row>
    <row r="532" spans="1:19">
      <c r="A532" s="256"/>
      <c r="B532" s="57"/>
      <c r="C532" s="57"/>
      <c r="D532" s="57"/>
      <c r="E532" s="57"/>
      <c r="F532" s="57"/>
      <c r="G532" s="57"/>
      <c r="H532" s="57"/>
      <c r="I532" s="57"/>
      <c r="J532" s="57"/>
      <c r="K532" s="57"/>
      <c r="L532" s="57"/>
      <c r="M532" s="57"/>
      <c r="N532" s="57"/>
      <c r="O532" s="57"/>
      <c r="P532" s="57"/>
      <c r="Q532" s="57"/>
      <c r="R532" s="2210"/>
      <c r="S532" s="256"/>
    </row>
    <row r="533" spans="1:19">
      <c r="A533" s="256"/>
      <c r="B533" s="57"/>
      <c r="C533" s="57"/>
      <c r="D533" s="57"/>
      <c r="E533" s="57"/>
      <c r="F533" s="57"/>
      <c r="G533" s="57"/>
      <c r="H533" s="57"/>
      <c r="I533" s="57"/>
      <c r="J533" s="57"/>
      <c r="K533" s="57"/>
      <c r="L533" s="57"/>
      <c r="M533" s="57"/>
      <c r="N533" s="57"/>
      <c r="O533" s="57"/>
      <c r="P533" s="57"/>
      <c r="Q533" s="57"/>
      <c r="R533" s="2210"/>
      <c r="S533" s="256"/>
    </row>
    <row r="534" spans="1:19">
      <c r="A534" s="256"/>
      <c r="B534" s="57"/>
      <c r="C534" s="57"/>
      <c r="D534" s="57"/>
      <c r="E534" s="57"/>
      <c r="F534" s="57"/>
      <c r="G534" s="57"/>
      <c r="H534" s="57"/>
      <c r="I534" s="57"/>
      <c r="J534" s="57"/>
      <c r="K534" s="57"/>
      <c r="L534" s="57"/>
      <c r="M534" s="57"/>
      <c r="N534" s="57"/>
      <c r="O534" s="57"/>
      <c r="P534" s="57"/>
      <c r="Q534" s="57"/>
      <c r="R534" s="2210"/>
      <c r="S534" s="256"/>
    </row>
    <row r="535" spans="1:19">
      <c r="A535" s="256"/>
      <c r="B535" s="57"/>
      <c r="C535" s="57"/>
      <c r="D535" s="57"/>
      <c r="E535" s="57"/>
      <c r="F535" s="57"/>
      <c r="G535" s="57"/>
      <c r="H535" s="57"/>
      <c r="I535" s="57"/>
      <c r="J535" s="57"/>
      <c r="K535" s="57"/>
      <c r="L535" s="57"/>
      <c r="M535" s="57"/>
      <c r="N535" s="57"/>
      <c r="O535" s="57"/>
      <c r="P535" s="57"/>
      <c r="Q535" s="57"/>
      <c r="R535" s="2210"/>
      <c r="S535" s="256"/>
    </row>
    <row r="536" spans="1:19">
      <c r="A536" s="256"/>
      <c r="B536" s="57"/>
      <c r="C536" s="57"/>
      <c r="D536" s="57"/>
      <c r="E536" s="57"/>
      <c r="F536" s="57"/>
      <c r="G536" s="57"/>
      <c r="H536" s="57"/>
      <c r="I536" s="57"/>
      <c r="J536" s="57"/>
      <c r="K536" s="57"/>
      <c r="L536" s="57"/>
      <c r="M536" s="57"/>
      <c r="N536" s="57"/>
      <c r="O536" s="57"/>
      <c r="P536" s="57"/>
      <c r="Q536" s="57"/>
      <c r="R536" s="2210"/>
      <c r="S536" s="256"/>
    </row>
    <row r="537" spans="1:19">
      <c r="A537" s="256"/>
      <c r="B537" s="57"/>
      <c r="C537" s="57"/>
      <c r="D537" s="57"/>
      <c r="E537" s="57"/>
      <c r="F537" s="57"/>
      <c r="G537" s="57"/>
      <c r="H537" s="57"/>
      <c r="I537" s="57"/>
      <c r="J537" s="57"/>
      <c r="K537" s="57"/>
      <c r="L537" s="57"/>
      <c r="M537" s="57"/>
      <c r="N537" s="57"/>
      <c r="O537" s="57"/>
      <c r="P537" s="57"/>
      <c r="Q537" s="57"/>
      <c r="R537" s="2210"/>
      <c r="S537" s="256"/>
    </row>
    <row r="538" spans="1:19">
      <c r="A538" s="256"/>
      <c r="B538" s="57"/>
      <c r="C538" s="57"/>
      <c r="D538" s="57"/>
      <c r="E538" s="57"/>
      <c r="F538" s="57"/>
      <c r="G538" s="57"/>
      <c r="H538" s="57"/>
      <c r="I538" s="57"/>
      <c r="J538" s="57"/>
      <c r="K538" s="57"/>
      <c r="L538" s="57"/>
      <c r="M538" s="57"/>
      <c r="N538" s="57"/>
      <c r="O538" s="57"/>
      <c r="P538" s="57"/>
      <c r="Q538" s="57"/>
      <c r="R538" s="2210"/>
      <c r="S538" s="256"/>
    </row>
    <row r="539" spans="1:19">
      <c r="A539" s="256"/>
      <c r="B539" s="57"/>
      <c r="C539" s="57"/>
      <c r="D539" s="57"/>
      <c r="E539" s="57"/>
      <c r="F539" s="57"/>
      <c r="G539" s="57"/>
      <c r="H539" s="57"/>
      <c r="I539" s="57"/>
      <c r="J539" s="57"/>
      <c r="K539" s="57"/>
      <c r="L539" s="57"/>
      <c r="M539" s="57"/>
      <c r="N539" s="57"/>
      <c r="O539" s="57"/>
      <c r="P539" s="57"/>
      <c r="Q539" s="57"/>
      <c r="R539" s="2210"/>
      <c r="S539" s="256"/>
    </row>
    <row r="540" spans="1:19">
      <c r="A540" s="256"/>
      <c r="B540" s="57"/>
      <c r="C540" s="57"/>
      <c r="D540" s="57"/>
      <c r="E540" s="57"/>
      <c r="F540" s="57"/>
      <c r="G540" s="57"/>
      <c r="H540" s="57"/>
      <c r="I540" s="57"/>
      <c r="J540" s="57"/>
      <c r="K540" s="57"/>
      <c r="L540" s="57"/>
      <c r="M540" s="57"/>
      <c r="N540" s="57"/>
      <c r="O540" s="57"/>
      <c r="P540" s="57"/>
      <c r="Q540" s="57"/>
      <c r="R540" s="2210"/>
      <c r="S540" s="256"/>
    </row>
    <row r="541" spans="1:19">
      <c r="A541" s="256"/>
      <c r="B541" s="57"/>
      <c r="C541" s="57"/>
      <c r="D541" s="57"/>
      <c r="E541" s="57"/>
      <c r="F541" s="57"/>
      <c r="G541" s="57"/>
      <c r="H541" s="57"/>
      <c r="I541" s="57"/>
      <c r="J541" s="57"/>
      <c r="K541" s="57"/>
      <c r="L541" s="57"/>
      <c r="M541" s="57"/>
      <c r="N541" s="57"/>
      <c r="O541" s="57"/>
      <c r="P541" s="57"/>
      <c r="Q541" s="57"/>
      <c r="R541" s="2210"/>
      <c r="S541" s="256"/>
    </row>
    <row r="542" spans="1:19">
      <c r="A542" s="256"/>
      <c r="B542" s="57"/>
      <c r="C542" s="57"/>
      <c r="D542" s="57"/>
      <c r="E542" s="57"/>
      <c r="F542" s="57"/>
      <c r="G542" s="57"/>
      <c r="H542" s="57"/>
      <c r="I542" s="57"/>
      <c r="J542" s="57"/>
      <c r="K542" s="57"/>
      <c r="L542" s="57"/>
      <c r="M542" s="57"/>
      <c r="N542" s="57"/>
      <c r="O542" s="57"/>
      <c r="P542" s="57"/>
      <c r="Q542" s="57"/>
      <c r="R542" s="2210"/>
      <c r="S542" s="256"/>
    </row>
    <row r="543" spans="1:19">
      <c r="A543" s="256"/>
      <c r="B543" s="57"/>
      <c r="C543" s="57"/>
      <c r="D543" s="57"/>
      <c r="E543" s="57"/>
      <c r="F543" s="57"/>
      <c r="G543" s="57"/>
      <c r="H543" s="57"/>
      <c r="I543" s="57"/>
      <c r="J543" s="57"/>
      <c r="K543" s="57"/>
      <c r="L543" s="57"/>
      <c r="M543" s="57"/>
      <c r="N543" s="57"/>
      <c r="O543" s="57"/>
      <c r="P543" s="57"/>
      <c r="Q543" s="57"/>
      <c r="R543" s="2210"/>
      <c r="S543" s="256"/>
    </row>
    <row r="544" spans="1:19">
      <c r="A544" s="256"/>
      <c r="B544" s="57"/>
      <c r="C544" s="57"/>
      <c r="D544" s="57"/>
      <c r="E544" s="57"/>
      <c r="F544" s="57"/>
      <c r="G544" s="57"/>
      <c r="H544" s="57"/>
      <c r="I544" s="57"/>
      <c r="J544" s="57"/>
      <c r="K544" s="57"/>
      <c r="L544" s="57"/>
      <c r="M544" s="57"/>
      <c r="N544" s="57"/>
      <c r="O544" s="57"/>
      <c r="P544" s="57"/>
      <c r="Q544" s="57"/>
      <c r="R544" s="2210"/>
      <c r="S544" s="256"/>
    </row>
    <row r="545" spans="1:19">
      <c r="A545" s="256"/>
      <c r="B545" s="57"/>
      <c r="C545" s="57"/>
      <c r="D545" s="57"/>
      <c r="E545" s="57"/>
      <c r="F545" s="57"/>
      <c r="G545" s="57"/>
      <c r="H545" s="57"/>
      <c r="I545" s="57"/>
      <c r="J545" s="57"/>
      <c r="K545" s="57"/>
      <c r="L545" s="57"/>
      <c r="M545" s="57"/>
      <c r="N545" s="57"/>
      <c r="O545" s="57"/>
      <c r="P545" s="57"/>
      <c r="Q545" s="57"/>
      <c r="R545" s="2210"/>
      <c r="S545" s="256"/>
    </row>
    <row r="546" spans="1:19">
      <c r="A546" s="256"/>
      <c r="B546" s="57"/>
      <c r="C546" s="57"/>
      <c r="D546" s="57"/>
      <c r="E546" s="57"/>
      <c r="F546" s="57"/>
      <c r="G546" s="57"/>
      <c r="H546" s="57"/>
      <c r="I546" s="57"/>
      <c r="J546" s="57"/>
      <c r="K546" s="57"/>
      <c r="L546" s="57"/>
      <c r="M546" s="57"/>
      <c r="N546" s="57"/>
      <c r="O546" s="57"/>
      <c r="P546" s="57"/>
      <c r="Q546" s="57"/>
      <c r="R546" s="2210"/>
      <c r="S546" s="256"/>
    </row>
    <row r="547" spans="1:19">
      <c r="A547" s="256"/>
      <c r="B547" s="57"/>
      <c r="C547" s="57"/>
      <c r="D547" s="57"/>
      <c r="E547" s="57"/>
      <c r="F547" s="57"/>
      <c r="G547" s="57"/>
      <c r="H547" s="57"/>
      <c r="I547" s="57"/>
      <c r="J547" s="57"/>
      <c r="K547" s="57"/>
      <c r="L547" s="57"/>
      <c r="M547" s="57"/>
      <c r="N547" s="57"/>
      <c r="O547" s="57"/>
      <c r="P547" s="57"/>
      <c r="Q547" s="57"/>
      <c r="R547" s="2210"/>
      <c r="S547" s="256"/>
    </row>
    <row r="548" spans="1:19">
      <c r="A548" s="256"/>
      <c r="B548" s="57"/>
      <c r="C548" s="57"/>
      <c r="D548" s="57"/>
      <c r="E548" s="57"/>
      <c r="F548" s="57"/>
      <c r="G548" s="57"/>
      <c r="H548" s="57"/>
      <c r="I548" s="57"/>
      <c r="J548" s="57"/>
      <c r="K548" s="57"/>
      <c r="L548" s="57"/>
      <c r="M548" s="57"/>
      <c r="N548" s="57"/>
      <c r="O548" s="57"/>
      <c r="P548" s="57"/>
      <c r="Q548" s="57"/>
      <c r="R548" s="2210"/>
      <c r="S548" s="256"/>
    </row>
    <row r="549" spans="1:19">
      <c r="A549" s="256"/>
      <c r="B549" s="57"/>
      <c r="C549" s="57"/>
      <c r="D549" s="57"/>
      <c r="E549" s="57"/>
      <c r="F549" s="57"/>
      <c r="G549" s="57"/>
      <c r="H549" s="57"/>
      <c r="I549" s="57"/>
      <c r="J549" s="57"/>
      <c r="K549" s="57"/>
      <c r="L549" s="57"/>
      <c r="M549" s="57"/>
      <c r="N549" s="57"/>
      <c r="O549" s="57"/>
      <c r="P549" s="57"/>
      <c r="Q549" s="57"/>
      <c r="R549" s="2210"/>
      <c r="S549" s="256"/>
    </row>
    <row r="550" spans="1:19">
      <c r="A550" s="256"/>
      <c r="B550" s="57"/>
      <c r="C550" s="57"/>
      <c r="D550" s="57"/>
      <c r="E550" s="57"/>
      <c r="F550" s="57"/>
      <c r="G550" s="57"/>
      <c r="H550" s="57"/>
      <c r="I550" s="57"/>
      <c r="J550" s="57"/>
      <c r="K550" s="57"/>
      <c r="L550" s="57"/>
      <c r="M550" s="57"/>
      <c r="N550" s="57"/>
      <c r="O550" s="57"/>
      <c r="P550" s="57"/>
      <c r="Q550" s="57"/>
      <c r="R550" s="2210"/>
      <c r="S550" s="256"/>
    </row>
    <row r="551" spans="1:19">
      <c r="A551" s="256"/>
      <c r="B551" s="57"/>
      <c r="C551" s="57"/>
      <c r="D551" s="57"/>
      <c r="E551" s="57"/>
      <c r="F551" s="57"/>
      <c r="G551" s="57"/>
      <c r="H551" s="57"/>
      <c r="I551" s="57"/>
      <c r="J551" s="57"/>
      <c r="K551" s="57"/>
      <c r="L551" s="57"/>
      <c r="M551" s="57"/>
      <c r="N551" s="57"/>
      <c r="O551" s="57"/>
      <c r="P551" s="57"/>
      <c r="Q551" s="57"/>
      <c r="R551" s="2210"/>
      <c r="S551" s="256"/>
    </row>
    <row r="552" spans="1:19">
      <c r="A552" s="256"/>
      <c r="B552" s="57"/>
      <c r="C552" s="57"/>
      <c r="D552" s="57"/>
      <c r="E552" s="57"/>
      <c r="F552" s="57"/>
      <c r="G552" s="57"/>
      <c r="H552" s="57"/>
      <c r="I552" s="57"/>
      <c r="J552" s="57"/>
      <c r="K552" s="57"/>
      <c r="L552" s="57"/>
      <c r="M552" s="57"/>
      <c r="N552" s="57"/>
      <c r="O552" s="57"/>
      <c r="P552" s="57"/>
      <c r="Q552" s="57"/>
      <c r="R552" s="2210"/>
      <c r="S552" s="256"/>
    </row>
    <row r="553" spans="1:19">
      <c r="A553" s="256"/>
      <c r="B553" s="57"/>
      <c r="C553" s="57"/>
      <c r="D553" s="57"/>
      <c r="E553" s="57"/>
      <c r="F553" s="57"/>
      <c r="G553" s="57"/>
      <c r="H553" s="57"/>
      <c r="I553" s="57"/>
      <c r="J553" s="57"/>
      <c r="K553" s="57"/>
      <c r="L553" s="57"/>
      <c r="M553" s="57"/>
      <c r="N553" s="57"/>
      <c r="O553" s="57"/>
      <c r="P553" s="57"/>
      <c r="Q553" s="57"/>
      <c r="R553" s="2210"/>
      <c r="S553" s="256"/>
    </row>
    <row r="554" spans="1:19">
      <c r="A554" s="256"/>
      <c r="B554" s="57"/>
      <c r="C554" s="57"/>
      <c r="D554" s="57"/>
      <c r="E554" s="57"/>
      <c r="F554" s="57"/>
      <c r="G554" s="57"/>
      <c r="H554" s="57"/>
      <c r="I554" s="57"/>
      <c r="J554" s="57"/>
      <c r="K554" s="57"/>
      <c r="L554" s="57"/>
      <c r="M554" s="57"/>
      <c r="N554" s="57"/>
      <c r="O554" s="57"/>
      <c r="P554" s="57"/>
      <c r="Q554" s="57"/>
      <c r="R554" s="2210"/>
      <c r="S554" s="256"/>
    </row>
    <row r="555" spans="1:19">
      <c r="A555" s="256"/>
      <c r="B555" s="57"/>
      <c r="C555" s="57"/>
      <c r="D555" s="57"/>
      <c r="E555" s="57"/>
      <c r="F555" s="57"/>
      <c r="G555" s="57"/>
      <c r="H555" s="57"/>
      <c r="I555" s="57"/>
      <c r="J555" s="57"/>
      <c r="K555" s="57"/>
      <c r="L555" s="57"/>
      <c r="M555" s="57"/>
      <c r="N555" s="57"/>
      <c r="O555" s="57"/>
      <c r="P555" s="57"/>
      <c r="Q555" s="57"/>
      <c r="R555" s="2210"/>
      <c r="S555" s="256"/>
    </row>
    <row r="556" spans="1:19">
      <c r="A556" s="256"/>
      <c r="B556" s="57"/>
      <c r="C556" s="57"/>
      <c r="D556" s="57"/>
      <c r="E556" s="57"/>
      <c r="F556" s="57"/>
      <c r="G556" s="57"/>
      <c r="H556" s="57"/>
      <c r="I556" s="57"/>
      <c r="J556" s="57"/>
      <c r="K556" s="57"/>
      <c r="L556" s="57"/>
      <c r="M556" s="57"/>
      <c r="N556" s="57"/>
      <c r="O556" s="57"/>
      <c r="P556" s="57"/>
      <c r="Q556" s="57"/>
      <c r="R556" s="2210"/>
      <c r="S556" s="256"/>
    </row>
    <row r="557" spans="1:19">
      <c r="A557" s="256"/>
      <c r="B557" s="57"/>
      <c r="C557" s="57"/>
      <c r="D557" s="57"/>
      <c r="E557" s="57"/>
      <c r="F557" s="57"/>
      <c r="G557" s="57"/>
      <c r="H557" s="57"/>
      <c r="I557" s="57"/>
      <c r="J557" s="57"/>
      <c r="K557" s="57"/>
      <c r="L557" s="57"/>
      <c r="M557" s="57"/>
      <c r="N557" s="57"/>
      <c r="O557" s="57"/>
      <c r="P557" s="57"/>
      <c r="Q557" s="57"/>
      <c r="R557" s="2210"/>
      <c r="S557" s="256"/>
    </row>
    <row r="558" spans="1:19">
      <c r="A558" s="256"/>
      <c r="B558" s="57"/>
      <c r="C558" s="57"/>
      <c r="D558" s="57"/>
      <c r="E558" s="57"/>
      <c r="F558" s="57"/>
      <c r="G558" s="57"/>
      <c r="H558" s="57"/>
      <c r="I558" s="57"/>
      <c r="J558" s="57"/>
      <c r="K558" s="57"/>
      <c r="L558" s="57"/>
      <c r="M558" s="57"/>
      <c r="N558" s="57"/>
      <c r="O558" s="57"/>
      <c r="P558" s="57"/>
      <c r="Q558" s="57"/>
      <c r="R558" s="2210"/>
      <c r="S558" s="256"/>
    </row>
    <row r="559" spans="1:19">
      <c r="A559" s="256"/>
      <c r="B559" s="57"/>
      <c r="C559" s="57"/>
      <c r="D559" s="57"/>
      <c r="E559" s="57"/>
      <c r="F559" s="57"/>
      <c r="G559" s="57"/>
      <c r="H559" s="57"/>
      <c r="I559" s="57"/>
      <c r="J559" s="57"/>
      <c r="K559" s="57"/>
      <c r="L559" s="57"/>
      <c r="M559" s="57"/>
      <c r="N559" s="57"/>
      <c r="O559" s="57"/>
      <c r="P559" s="57"/>
      <c r="Q559" s="57"/>
      <c r="R559" s="2210"/>
      <c r="S559" s="256"/>
    </row>
    <row r="560" spans="1:19">
      <c r="A560" s="256"/>
      <c r="B560" s="57"/>
      <c r="C560" s="57"/>
      <c r="D560" s="57"/>
      <c r="E560" s="57"/>
      <c r="F560" s="57"/>
      <c r="G560" s="57"/>
      <c r="H560" s="57"/>
      <c r="I560" s="57"/>
      <c r="J560" s="57"/>
      <c r="K560" s="57"/>
      <c r="L560" s="57"/>
      <c r="M560" s="57"/>
      <c r="N560" s="57"/>
      <c r="O560" s="57"/>
      <c r="P560" s="57"/>
      <c r="Q560" s="57"/>
      <c r="R560" s="2210"/>
      <c r="S560" s="256"/>
    </row>
    <row r="561" spans="1:19">
      <c r="A561" s="256"/>
      <c r="B561" s="57"/>
      <c r="C561" s="57"/>
      <c r="D561" s="57"/>
      <c r="E561" s="57"/>
      <c r="F561" s="57"/>
      <c r="G561" s="57"/>
      <c r="H561" s="57"/>
      <c r="I561" s="57"/>
      <c r="J561" s="57"/>
      <c r="K561" s="57"/>
      <c r="L561" s="57"/>
      <c r="M561" s="57"/>
      <c r="N561" s="57"/>
      <c r="O561" s="57"/>
      <c r="P561" s="57"/>
      <c r="Q561" s="57"/>
      <c r="R561" s="2210"/>
      <c r="S561" s="256"/>
    </row>
    <row r="562" spans="1:19">
      <c r="A562" s="256"/>
      <c r="B562" s="57"/>
      <c r="C562" s="57"/>
      <c r="D562" s="57"/>
      <c r="E562" s="57"/>
      <c r="F562" s="57"/>
      <c r="G562" s="57"/>
      <c r="H562" s="57"/>
      <c r="I562" s="57"/>
      <c r="J562" s="57"/>
      <c r="K562" s="57"/>
      <c r="L562" s="57"/>
      <c r="M562" s="57"/>
      <c r="N562" s="57"/>
      <c r="O562" s="57"/>
      <c r="P562" s="57"/>
      <c r="Q562" s="57"/>
      <c r="R562" s="2210"/>
      <c r="S562" s="256"/>
    </row>
    <row r="563" spans="1:19">
      <c r="A563" s="256"/>
      <c r="B563" s="57"/>
      <c r="C563" s="57"/>
      <c r="D563" s="57"/>
      <c r="E563" s="57"/>
      <c r="F563" s="57"/>
      <c r="G563" s="57"/>
      <c r="H563" s="57"/>
      <c r="I563" s="57"/>
      <c r="J563" s="57"/>
      <c r="K563" s="57"/>
      <c r="L563" s="57"/>
      <c r="M563" s="57"/>
      <c r="N563" s="57"/>
      <c r="O563" s="57"/>
      <c r="P563" s="57"/>
      <c r="Q563" s="57"/>
      <c r="R563" s="2210"/>
      <c r="S563" s="256"/>
    </row>
    <row r="564" spans="1:19">
      <c r="A564" s="256"/>
      <c r="B564" s="57"/>
      <c r="C564" s="57"/>
      <c r="D564" s="57"/>
      <c r="E564" s="57"/>
      <c r="F564" s="57"/>
      <c r="G564" s="57"/>
      <c r="H564" s="57"/>
      <c r="I564" s="57"/>
      <c r="J564" s="57"/>
      <c r="K564" s="57"/>
      <c r="L564" s="57"/>
      <c r="M564" s="57"/>
      <c r="N564" s="57"/>
      <c r="O564" s="57"/>
      <c r="P564" s="57"/>
      <c r="Q564" s="57"/>
      <c r="R564" s="2210"/>
      <c r="S564" s="256"/>
    </row>
    <row r="565" spans="1:19">
      <c r="A565" s="256"/>
      <c r="B565" s="57"/>
      <c r="C565" s="57"/>
      <c r="D565" s="57"/>
      <c r="E565" s="57"/>
      <c r="F565" s="57"/>
      <c r="G565" s="57"/>
      <c r="H565" s="57"/>
      <c r="I565" s="57"/>
      <c r="J565" s="57"/>
      <c r="K565" s="57"/>
      <c r="L565" s="57"/>
      <c r="M565" s="57"/>
      <c r="N565" s="57"/>
      <c r="O565" s="57"/>
      <c r="P565" s="57"/>
      <c r="Q565" s="57"/>
      <c r="R565" s="2210"/>
      <c r="S565" s="256"/>
    </row>
    <row r="566" spans="1:19">
      <c r="A566" s="256"/>
      <c r="B566" s="57"/>
      <c r="C566" s="57"/>
      <c r="D566" s="57"/>
      <c r="E566" s="57"/>
      <c r="F566" s="57"/>
      <c r="G566" s="57"/>
      <c r="H566" s="57"/>
      <c r="I566" s="57"/>
      <c r="J566" s="57"/>
      <c r="K566" s="57"/>
      <c r="L566" s="57"/>
      <c r="M566" s="57"/>
      <c r="N566" s="57"/>
      <c r="O566" s="57"/>
      <c r="P566" s="57"/>
      <c r="Q566" s="57"/>
      <c r="R566" s="2210"/>
      <c r="S566" s="256"/>
    </row>
    <row r="567" spans="1:19">
      <c r="A567" s="256"/>
      <c r="B567" s="57"/>
      <c r="C567" s="57"/>
      <c r="D567" s="57"/>
      <c r="E567" s="57"/>
      <c r="F567" s="57"/>
      <c r="G567" s="57"/>
      <c r="H567" s="57"/>
      <c r="I567" s="57"/>
      <c r="J567" s="57"/>
      <c r="K567" s="57"/>
      <c r="L567" s="57"/>
      <c r="M567" s="57"/>
      <c r="N567" s="57"/>
      <c r="O567" s="57"/>
      <c r="P567" s="57"/>
      <c r="Q567" s="57"/>
      <c r="R567" s="2210"/>
      <c r="S567" s="256"/>
    </row>
    <row r="568" spans="1:19">
      <c r="A568" s="256"/>
      <c r="B568" s="57"/>
      <c r="C568" s="57"/>
      <c r="D568" s="57"/>
      <c r="E568" s="57"/>
      <c r="F568" s="57"/>
      <c r="G568" s="57"/>
      <c r="H568" s="57"/>
      <c r="I568" s="57"/>
      <c r="J568" s="57"/>
      <c r="K568" s="57"/>
      <c r="L568" s="57"/>
      <c r="M568" s="57"/>
      <c r="N568" s="57"/>
      <c r="O568" s="57"/>
      <c r="P568" s="57"/>
      <c r="Q568" s="57"/>
      <c r="R568" s="2210"/>
      <c r="S568" s="256"/>
    </row>
    <row r="569" spans="1:19">
      <c r="A569" s="256"/>
      <c r="B569" s="57"/>
      <c r="C569" s="57"/>
      <c r="D569" s="57"/>
      <c r="E569" s="57"/>
      <c r="F569" s="57"/>
      <c r="G569" s="57"/>
      <c r="H569" s="57"/>
      <c r="I569" s="57"/>
      <c r="J569" s="57"/>
      <c r="K569" s="57"/>
      <c r="L569" s="57"/>
      <c r="M569" s="57"/>
      <c r="N569" s="57"/>
      <c r="O569" s="57"/>
      <c r="P569" s="57"/>
      <c r="Q569" s="57"/>
      <c r="R569" s="2210"/>
      <c r="S569" s="256"/>
    </row>
    <row r="570" spans="1:19">
      <c r="A570" s="256"/>
      <c r="B570" s="57"/>
      <c r="C570" s="57"/>
      <c r="D570" s="57"/>
      <c r="E570" s="57"/>
      <c r="F570" s="57"/>
      <c r="G570" s="57"/>
      <c r="H570" s="57"/>
      <c r="I570" s="57"/>
      <c r="J570" s="57"/>
      <c r="K570" s="57"/>
      <c r="L570" s="57"/>
      <c r="M570" s="57"/>
      <c r="N570" s="57"/>
      <c r="O570" s="57"/>
      <c r="P570" s="57"/>
      <c r="Q570" s="57"/>
      <c r="R570" s="2210"/>
      <c r="S570" s="256"/>
    </row>
    <row r="571" spans="1:19">
      <c r="A571" s="256"/>
      <c r="B571" s="57"/>
      <c r="C571" s="57"/>
      <c r="D571" s="57"/>
      <c r="E571" s="57"/>
      <c r="F571" s="57"/>
      <c r="G571" s="57"/>
      <c r="H571" s="57"/>
      <c r="I571" s="57"/>
      <c r="J571" s="57"/>
      <c r="K571" s="57"/>
      <c r="L571" s="57"/>
      <c r="M571" s="57"/>
      <c r="N571" s="57"/>
      <c r="O571" s="57"/>
      <c r="P571" s="57"/>
      <c r="Q571" s="57"/>
      <c r="R571" s="2210"/>
      <c r="S571" s="256"/>
    </row>
    <row r="572" spans="1:19">
      <c r="A572" s="256"/>
      <c r="B572" s="57"/>
      <c r="C572" s="57"/>
      <c r="D572" s="57"/>
      <c r="E572" s="57"/>
      <c r="F572" s="57"/>
      <c r="G572" s="57"/>
      <c r="H572" s="57"/>
      <c r="I572" s="57"/>
      <c r="J572" s="57"/>
      <c r="K572" s="57"/>
      <c r="L572" s="57"/>
      <c r="M572" s="57"/>
      <c r="N572" s="57"/>
      <c r="O572" s="57"/>
      <c r="P572" s="57"/>
      <c r="Q572" s="57"/>
      <c r="R572" s="2210"/>
      <c r="S572" s="256"/>
    </row>
    <row r="573" spans="1:19">
      <c r="A573" s="256"/>
      <c r="B573" s="57"/>
      <c r="C573" s="57"/>
      <c r="D573" s="57"/>
      <c r="E573" s="57"/>
      <c r="F573" s="57"/>
      <c r="G573" s="57"/>
      <c r="H573" s="57"/>
      <c r="I573" s="57"/>
      <c r="J573" s="57"/>
      <c r="K573" s="57"/>
      <c r="L573" s="57"/>
      <c r="M573" s="57"/>
      <c r="N573" s="57"/>
      <c r="O573" s="57"/>
      <c r="P573" s="57"/>
      <c r="Q573" s="57"/>
      <c r="R573" s="2210"/>
      <c r="S573" s="256"/>
    </row>
    <row r="574" spans="1:19">
      <c r="A574" s="256"/>
      <c r="B574" s="57"/>
      <c r="C574" s="57"/>
      <c r="D574" s="57"/>
      <c r="E574" s="57"/>
      <c r="F574" s="57"/>
      <c r="G574" s="57"/>
      <c r="H574" s="57"/>
      <c r="I574" s="57"/>
      <c r="J574" s="57"/>
      <c r="K574" s="57"/>
      <c r="L574" s="57"/>
      <c r="M574" s="57"/>
      <c r="N574" s="57"/>
      <c r="O574" s="57"/>
      <c r="P574" s="57"/>
      <c r="Q574" s="57"/>
      <c r="R574" s="2210"/>
      <c r="S574" s="256"/>
    </row>
    <row r="575" spans="1:19">
      <c r="A575" s="256"/>
      <c r="B575" s="57"/>
      <c r="C575" s="57"/>
      <c r="D575" s="57"/>
      <c r="E575" s="57"/>
      <c r="F575" s="57"/>
      <c r="G575" s="57"/>
      <c r="H575" s="57"/>
      <c r="I575" s="57"/>
      <c r="J575" s="57"/>
      <c r="K575" s="57"/>
      <c r="L575" s="57"/>
      <c r="M575" s="57"/>
      <c r="N575" s="57"/>
      <c r="O575" s="57"/>
      <c r="P575" s="57"/>
      <c r="Q575" s="57"/>
      <c r="R575" s="2210"/>
      <c r="S575" s="256"/>
    </row>
    <row r="576" spans="1:19">
      <c r="A576" s="256"/>
      <c r="B576" s="57"/>
      <c r="C576" s="57"/>
      <c r="D576" s="57"/>
      <c r="E576" s="57"/>
      <c r="F576" s="57"/>
      <c r="G576" s="57"/>
      <c r="H576" s="57"/>
      <c r="I576" s="57"/>
      <c r="J576" s="57"/>
      <c r="K576" s="57"/>
      <c r="L576" s="57"/>
      <c r="M576" s="57"/>
      <c r="N576" s="57"/>
      <c r="O576" s="57"/>
      <c r="P576" s="57"/>
      <c r="Q576" s="57"/>
      <c r="R576" s="2210"/>
      <c r="S576" s="256"/>
    </row>
    <row r="577" spans="1:19">
      <c r="A577" s="256"/>
      <c r="B577" s="57"/>
      <c r="C577" s="57"/>
      <c r="D577" s="57"/>
      <c r="E577" s="57"/>
      <c r="F577" s="57"/>
      <c r="G577" s="57"/>
      <c r="H577" s="57"/>
      <c r="I577" s="57"/>
      <c r="J577" s="57"/>
      <c r="K577" s="57"/>
      <c r="L577" s="57"/>
      <c r="M577" s="57"/>
      <c r="N577" s="57"/>
      <c r="O577" s="57"/>
      <c r="P577" s="57"/>
      <c r="Q577" s="57"/>
      <c r="R577" s="2210"/>
      <c r="S577" s="256"/>
    </row>
    <row r="578" spans="1:19">
      <c r="A578" s="256"/>
      <c r="B578" s="57"/>
      <c r="C578" s="57"/>
      <c r="D578" s="57"/>
      <c r="E578" s="57"/>
      <c r="F578" s="57"/>
      <c r="G578" s="57"/>
      <c r="H578" s="57"/>
      <c r="I578" s="57"/>
      <c r="J578" s="57"/>
      <c r="K578" s="57"/>
      <c r="L578" s="57"/>
      <c r="M578" s="57"/>
      <c r="N578" s="57"/>
      <c r="O578" s="57"/>
      <c r="P578" s="57"/>
      <c r="Q578" s="57"/>
      <c r="R578" s="2210"/>
      <c r="S578" s="256"/>
    </row>
    <row r="579" spans="1:19">
      <c r="A579" s="256"/>
      <c r="B579" s="57"/>
      <c r="C579" s="57"/>
      <c r="D579" s="57"/>
      <c r="E579" s="57"/>
      <c r="F579" s="57"/>
      <c r="G579" s="57"/>
      <c r="H579" s="57"/>
      <c r="I579" s="57"/>
      <c r="J579" s="57"/>
      <c r="K579" s="57"/>
      <c r="L579" s="57"/>
      <c r="M579" s="57"/>
      <c r="N579" s="57"/>
      <c r="O579" s="57"/>
      <c r="P579" s="57"/>
      <c r="Q579" s="57"/>
      <c r="R579" s="2210"/>
      <c r="S579" s="256"/>
    </row>
    <row r="580" spans="1:19">
      <c r="A580" s="256"/>
      <c r="B580" s="57"/>
      <c r="C580" s="57"/>
      <c r="D580" s="57"/>
      <c r="E580" s="57"/>
      <c r="F580" s="57"/>
      <c r="G580" s="57"/>
      <c r="H580" s="57"/>
      <c r="I580" s="57"/>
      <c r="J580" s="57"/>
      <c r="K580" s="57"/>
      <c r="L580" s="57"/>
      <c r="M580" s="57"/>
      <c r="N580" s="57"/>
      <c r="O580" s="57"/>
      <c r="P580" s="57"/>
      <c r="Q580" s="57"/>
      <c r="R580" s="2210"/>
      <c r="S580" s="256"/>
    </row>
    <row r="581" spans="1:19">
      <c r="A581" s="256"/>
      <c r="B581" s="57"/>
      <c r="C581" s="57"/>
      <c r="D581" s="57"/>
      <c r="E581" s="57"/>
      <c r="F581" s="57"/>
      <c r="G581" s="57"/>
      <c r="H581" s="57"/>
      <c r="I581" s="57"/>
      <c r="J581" s="57"/>
      <c r="K581" s="57"/>
      <c r="L581" s="57"/>
      <c r="M581" s="57"/>
      <c r="N581" s="57"/>
      <c r="O581" s="57"/>
      <c r="P581" s="57"/>
      <c r="Q581" s="57"/>
      <c r="R581" s="2210"/>
      <c r="S581" s="256"/>
    </row>
    <row r="582" spans="1:19">
      <c r="A582" s="256"/>
      <c r="B582" s="57"/>
      <c r="C582" s="57"/>
      <c r="D582" s="57"/>
      <c r="E582" s="57"/>
      <c r="F582" s="57"/>
      <c r="G582" s="57"/>
      <c r="H582" s="57"/>
      <c r="I582" s="57"/>
      <c r="J582" s="57"/>
      <c r="K582" s="57"/>
      <c r="L582" s="57"/>
      <c r="M582" s="57"/>
      <c r="N582" s="57"/>
      <c r="O582" s="57"/>
      <c r="P582" s="57"/>
      <c r="Q582" s="57"/>
      <c r="R582" s="2210"/>
      <c r="S582" s="256"/>
    </row>
    <row r="583" spans="1:19">
      <c r="A583" s="256"/>
      <c r="B583" s="57"/>
      <c r="C583" s="57"/>
      <c r="D583" s="57"/>
      <c r="E583" s="57"/>
      <c r="F583" s="57"/>
      <c r="G583" s="57"/>
      <c r="H583" s="57"/>
      <c r="I583" s="57"/>
      <c r="J583" s="57"/>
      <c r="K583" s="57"/>
      <c r="L583" s="57"/>
      <c r="M583" s="57"/>
      <c r="N583" s="57"/>
      <c r="O583" s="57"/>
      <c r="P583" s="57"/>
      <c r="Q583" s="57"/>
      <c r="R583" s="2210"/>
      <c r="S583" s="256"/>
    </row>
    <row r="584" spans="1:19">
      <c r="A584" s="256"/>
      <c r="B584" s="57"/>
      <c r="C584" s="57"/>
      <c r="D584" s="57"/>
      <c r="E584" s="57"/>
      <c r="F584" s="57"/>
      <c r="G584" s="57"/>
      <c r="H584" s="57"/>
      <c r="I584" s="57"/>
      <c r="J584" s="57"/>
      <c r="K584" s="57"/>
      <c r="L584" s="57"/>
      <c r="M584" s="57"/>
      <c r="N584" s="57"/>
      <c r="O584" s="57"/>
      <c r="P584" s="57"/>
      <c r="Q584" s="57"/>
      <c r="R584" s="2210"/>
      <c r="S584" s="256"/>
    </row>
    <row r="585" spans="1:19">
      <c r="A585" s="256"/>
      <c r="B585" s="57"/>
      <c r="C585" s="57"/>
      <c r="D585" s="57"/>
      <c r="E585" s="57"/>
      <c r="F585" s="57"/>
      <c r="G585" s="57"/>
      <c r="H585" s="57"/>
      <c r="I585" s="57"/>
      <c r="J585" s="57"/>
      <c r="K585" s="57"/>
      <c r="L585" s="57"/>
      <c r="M585" s="57"/>
      <c r="N585" s="57"/>
      <c r="O585" s="57"/>
      <c r="P585" s="57"/>
      <c r="Q585" s="57"/>
      <c r="R585" s="2210"/>
      <c r="S585" s="256"/>
    </row>
    <row r="586" spans="1:19">
      <c r="A586" s="256"/>
      <c r="B586" s="57"/>
      <c r="C586" s="57"/>
      <c r="D586" s="57"/>
      <c r="E586" s="57"/>
      <c r="F586" s="57"/>
      <c r="G586" s="57"/>
      <c r="H586" s="57"/>
      <c r="I586" s="57"/>
      <c r="J586" s="57"/>
      <c r="K586" s="57"/>
      <c r="L586" s="57"/>
      <c r="M586" s="57"/>
      <c r="N586" s="57"/>
      <c r="O586" s="57"/>
      <c r="P586" s="57"/>
      <c r="Q586" s="57"/>
      <c r="R586" s="2210"/>
      <c r="S586" s="256"/>
    </row>
    <row r="587" spans="1:19">
      <c r="A587" s="256"/>
      <c r="B587" s="57"/>
      <c r="C587" s="57"/>
      <c r="D587" s="57"/>
      <c r="E587" s="57"/>
      <c r="F587" s="57"/>
      <c r="G587" s="57"/>
      <c r="H587" s="57"/>
      <c r="I587" s="57"/>
      <c r="J587" s="57"/>
      <c r="K587" s="57"/>
      <c r="L587" s="57"/>
      <c r="M587" s="57"/>
      <c r="N587" s="57"/>
      <c r="O587" s="57"/>
      <c r="P587" s="57"/>
      <c r="Q587" s="57"/>
      <c r="R587" s="2210"/>
      <c r="S587" s="256"/>
    </row>
    <row r="588" spans="1:19">
      <c r="A588" s="256"/>
      <c r="B588" s="57"/>
      <c r="C588" s="57"/>
      <c r="D588" s="57"/>
      <c r="E588" s="57"/>
      <c r="F588" s="57"/>
      <c r="G588" s="57"/>
      <c r="H588" s="57"/>
      <c r="I588" s="57"/>
      <c r="J588" s="57"/>
      <c r="K588" s="57"/>
      <c r="L588" s="57"/>
      <c r="M588" s="57"/>
      <c r="N588" s="57"/>
      <c r="O588" s="57"/>
      <c r="P588" s="57"/>
      <c r="Q588" s="57"/>
      <c r="R588" s="2210"/>
      <c r="S588" s="256"/>
    </row>
    <row r="589" spans="1:19">
      <c r="A589" s="256"/>
      <c r="B589" s="57"/>
      <c r="C589" s="57"/>
      <c r="D589" s="57"/>
      <c r="E589" s="57"/>
      <c r="F589" s="57"/>
      <c r="G589" s="57"/>
      <c r="H589" s="57"/>
      <c r="I589" s="57"/>
      <c r="J589" s="57"/>
      <c r="K589" s="57"/>
      <c r="L589" s="57"/>
      <c r="M589" s="57"/>
      <c r="N589" s="57"/>
      <c r="O589" s="57"/>
      <c r="P589" s="57"/>
      <c r="Q589" s="57"/>
      <c r="R589" s="2210"/>
      <c r="S589" s="256"/>
    </row>
    <row r="590" spans="1:19">
      <c r="A590" s="256"/>
      <c r="B590" s="57"/>
      <c r="C590" s="57"/>
      <c r="D590" s="57"/>
      <c r="E590" s="57"/>
      <c r="F590" s="57"/>
      <c r="G590" s="57"/>
      <c r="H590" s="57"/>
      <c r="I590" s="57"/>
      <c r="J590" s="57"/>
      <c r="K590" s="57"/>
      <c r="L590" s="57"/>
      <c r="M590" s="57"/>
      <c r="N590" s="57"/>
      <c r="O590" s="57"/>
      <c r="P590" s="57"/>
      <c r="Q590" s="57"/>
      <c r="R590" s="2210"/>
      <c r="S590" s="256"/>
    </row>
    <row r="591" spans="1:19">
      <c r="A591" s="256"/>
      <c r="B591" s="57"/>
      <c r="C591" s="57"/>
      <c r="D591" s="57"/>
      <c r="E591" s="57"/>
      <c r="F591" s="57"/>
      <c r="G591" s="57"/>
      <c r="H591" s="57"/>
      <c r="I591" s="57"/>
      <c r="J591" s="57"/>
      <c r="K591" s="57"/>
      <c r="L591" s="57"/>
      <c r="M591" s="57"/>
      <c r="N591" s="57"/>
      <c r="O591" s="57"/>
      <c r="P591" s="57"/>
      <c r="Q591" s="57"/>
      <c r="R591" s="2210"/>
      <c r="S591" s="256"/>
    </row>
    <row r="592" spans="1:19">
      <c r="A592" s="256"/>
      <c r="B592" s="57"/>
      <c r="C592" s="57"/>
      <c r="D592" s="57"/>
      <c r="E592" s="57"/>
      <c r="F592" s="57"/>
      <c r="G592" s="57"/>
      <c r="H592" s="57"/>
      <c r="I592" s="57"/>
      <c r="J592" s="57"/>
      <c r="K592" s="57"/>
      <c r="L592" s="57"/>
      <c r="M592" s="57"/>
      <c r="N592" s="57"/>
      <c r="O592" s="57"/>
      <c r="P592" s="57"/>
      <c r="Q592" s="57"/>
      <c r="R592" s="2210"/>
      <c r="S592" s="256"/>
    </row>
    <row r="593" spans="1:19">
      <c r="A593" s="256"/>
      <c r="B593" s="57"/>
      <c r="C593" s="57"/>
      <c r="D593" s="57"/>
      <c r="E593" s="57"/>
      <c r="F593" s="57"/>
      <c r="G593" s="57"/>
      <c r="H593" s="57"/>
      <c r="I593" s="57"/>
      <c r="J593" s="57"/>
      <c r="K593" s="57"/>
      <c r="L593" s="57"/>
      <c r="M593" s="57"/>
      <c r="N593" s="57"/>
      <c r="O593" s="57"/>
      <c r="P593" s="57"/>
      <c r="Q593" s="57"/>
      <c r="R593" s="2210"/>
      <c r="S593" s="256"/>
    </row>
    <row r="594" spans="1:19">
      <c r="A594" s="256"/>
      <c r="B594" s="57"/>
      <c r="C594" s="57"/>
      <c r="D594" s="57"/>
      <c r="E594" s="57"/>
      <c r="F594" s="57"/>
      <c r="G594" s="57"/>
      <c r="H594" s="57"/>
      <c r="I594" s="57"/>
      <c r="J594" s="57"/>
      <c r="K594" s="57"/>
      <c r="L594" s="57"/>
      <c r="M594" s="57"/>
      <c r="N594" s="57"/>
      <c r="O594" s="57"/>
      <c r="P594" s="57"/>
      <c r="Q594" s="57"/>
      <c r="R594" s="2210"/>
      <c r="S594" s="256"/>
    </row>
    <row r="595" spans="1:19">
      <c r="A595" s="256"/>
      <c r="B595" s="57"/>
      <c r="C595" s="57"/>
      <c r="D595" s="57"/>
      <c r="E595" s="57"/>
      <c r="F595" s="57"/>
      <c r="G595" s="57"/>
      <c r="H595" s="57"/>
      <c r="I595" s="57"/>
      <c r="J595" s="57"/>
      <c r="K595" s="57"/>
      <c r="L595" s="57"/>
      <c r="M595" s="57"/>
      <c r="N595" s="57"/>
      <c r="O595" s="57"/>
      <c r="P595" s="57"/>
      <c r="Q595" s="57"/>
      <c r="R595" s="2210"/>
      <c r="S595" s="256"/>
    </row>
    <row r="596" spans="1:19">
      <c r="A596" s="256"/>
      <c r="B596" s="57"/>
      <c r="C596" s="57"/>
      <c r="D596" s="57"/>
      <c r="E596" s="57"/>
      <c r="F596" s="57"/>
      <c r="G596" s="57"/>
      <c r="H596" s="57"/>
      <c r="I596" s="57"/>
      <c r="J596" s="57"/>
      <c r="K596" s="57"/>
      <c r="L596" s="57"/>
      <c r="M596" s="57"/>
      <c r="N596" s="57"/>
      <c r="O596" s="57"/>
      <c r="P596" s="57"/>
      <c r="Q596" s="57"/>
      <c r="R596" s="2210"/>
      <c r="S596" s="256"/>
    </row>
    <row r="597" spans="1:19">
      <c r="A597" s="256"/>
      <c r="B597" s="57"/>
      <c r="C597" s="57"/>
      <c r="D597" s="57"/>
      <c r="E597" s="57"/>
      <c r="F597" s="57"/>
      <c r="G597" s="57"/>
      <c r="H597" s="57"/>
      <c r="I597" s="57"/>
      <c r="J597" s="57"/>
      <c r="K597" s="57"/>
      <c r="L597" s="57"/>
      <c r="M597" s="57"/>
      <c r="N597" s="57"/>
      <c r="O597" s="57"/>
      <c r="P597" s="57"/>
      <c r="Q597" s="57"/>
      <c r="R597" s="2210"/>
      <c r="S597" s="256"/>
    </row>
    <row r="598" spans="1:19">
      <c r="A598" s="256"/>
      <c r="B598" s="57"/>
      <c r="C598" s="57"/>
      <c r="D598" s="57"/>
      <c r="E598" s="57"/>
      <c r="F598" s="57"/>
      <c r="G598" s="57"/>
      <c r="H598" s="57"/>
      <c r="I598" s="57"/>
      <c r="J598" s="57"/>
      <c r="K598" s="57"/>
      <c r="L598" s="57"/>
      <c r="M598" s="57"/>
      <c r="N598" s="57"/>
      <c r="O598" s="57"/>
      <c r="P598" s="57"/>
      <c r="Q598" s="57"/>
      <c r="R598" s="2210"/>
      <c r="S598" s="256"/>
    </row>
    <row r="599" spans="1:19">
      <c r="A599" s="256"/>
      <c r="B599" s="57"/>
      <c r="C599" s="57"/>
      <c r="D599" s="57"/>
      <c r="E599" s="57"/>
      <c r="F599" s="57"/>
      <c r="G599" s="57"/>
      <c r="H599" s="57"/>
      <c r="I599" s="57"/>
      <c r="J599" s="57"/>
      <c r="K599" s="57"/>
      <c r="L599" s="57"/>
      <c r="M599" s="57"/>
      <c r="N599" s="57"/>
      <c r="O599" s="57"/>
      <c r="P599" s="57"/>
      <c r="Q599" s="57"/>
      <c r="R599" s="2210"/>
      <c r="S599" s="256"/>
    </row>
    <row r="600" spans="1:19">
      <c r="A600" s="256"/>
      <c r="B600" s="57"/>
      <c r="C600" s="57"/>
      <c r="D600" s="57"/>
      <c r="E600" s="57"/>
      <c r="F600" s="57"/>
      <c r="G600" s="57"/>
      <c r="H600" s="57"/>
      <c r="I600" s="57"/>
      <c r="J600" s="57"/>
      <c r="K600" s="57"/>
      <c r="L600" s="57"/>
      <c r="M600" s="57"/>
      <c r="N600" s="57"/>
      <c r="O600" s="57"/>
      <c r="P600" s="57"/>
      <c r="Q600" s="57"/>
      <c r="R600" s="2210"/>
      <c r="S600" s="256"/>
    </row>
    <row r="601" spans="1:19">
      <c r="A601" s="256"/>
      <c r="B601" s="57"/>
      <c r="C601" s="57"/>
      <c r="D601" s="57"/>
      <c r="E601" s="57"/>
      <c r="F601" s="57"/>
      <c r="G601" s="57"/>
      <c r="H601" s="57"/>
      <c r="I601" s="57"/>
      <c r="J601" s="57"/>
      <c r="K601" s="57"/>
      <c r="L601" s="57"/>
      <c r="M601" s="57"/>
      <c r="N601" s="57"/>
      <c r="O601" s="57"/>
      <c r="P601" s="57"/>
      <c r="Q601" s="57"/>
      <c r="R601" s="2210"/>
      <c r="S601" s="256"/>
    </row>
    <row r="602" spans="1:19">
      <c r="A602" s="256"/>
      <c r="B602" s="57"/>
      <c r="C602" s="57"/>
      <c r="D602" s="57"/>
      <c r="E602" s="57"/>
      <c r="F602" s="57"/>
      <c r="G602" s="57"/>
      <c r="H602" s="57"/>
      <c r="I602" s="57"/>
      <c r="J602" s="57"/>
      <c r="K602" s="57"/>
      <c r="L602" s="57"/>
      <c r="M602" s="57"/>
      <c r="N602" s="57"/>
      <c r="O602" s="57"/>
      <c r="P602" s="57"/>
      <c r="Q602" s="57"/>
      <c r="R602" s="2210"/>
      <c r="S602" s="256"/>
    </row>
    <row r="603" spans="1:19">
      <c r="A603" s="256"/>
      <c r="B603" s="57"/>
      <c r="C603" s="57"/>
      <c r="D603" s="57"/>
      <c r="E603" s="57"/>
      <c r="F603" s="57"/>
      <c r="G603" s="57"/>
      <c r="H603" s="57"/>
      <c r="I603" s="57"/>
      <c r="J603" s="57"/>
      <c r="K603" s="57"/>
      <c r="L603" s="57"/>
      <c r="M603" s="57"/>
      <c r="N603" s="57"/>
      <c r="O603" s="57"/>
      <c r="P603" s="57"/>
      <c r="Q603" s="57"/>
      <c r="R603" s="2210"/>
      <c r="S603" s="256"/>
    </row>
    <row r="604" spans="1:19">
      <c r="A604" s="256"/>
      <c r="B604" s="57"/>
      <c r="C604" s="57"/>
      <c r="D604" s="57"/>
      <c r="E604" s="57"/>
      <c r="F604" s="57"/>
      <c r="G604" s="57"/>
      <c r="H604" s="57"/>
      <c r="I604" s="57"/>
      <c r="J604" s="57"/>
      <c r="K604" s="57"/>
      <c r="L604" s="57"/>
      <c r="M604" s="57"/>
      <c r="N604" s="57"/>
      <c r="O604" s="57"/>
      <c r="P604" s="57"/>
      <c r="Q604" s="57"/>
      <c r="R604" s="2210"/>
      <c r="S604" s="256"/>
    </row>
    <row r="605" spans="1:19">
      <c r="A605" s="256"/>
      <c r="B605" s="57"/>
      <c r="C605" s="57"/>
      <c r="D605" s="57"/>
      <c r="E605" s="57"/>
      <c r="F605" s="57"/>
      <c r="G605" s="57"/>
      <c r="H605" s="57"/>
      <c r="I605" s="57"/>
      <c r="J605" s="57"/>
      <c r="K605" s="57"/>
      <c r="L605" s="57"/>
      <c r="M605" s="57"/>
      <c r="N605" s="57"/>
      <c r="O605" s="57"/>
      <c r="P605" s="57"/>
      <c r="Q605" s="57"/>
      <c r="R605" s="2210"/>
      <c r="S605" s="256"/>
    </row>
    <row r="606" spans="1:19">
      <c r="A606" s="256"/>
      <c r="B606" s="57"/>
      <c r="C606" s="57"/>
      <c r="D606" s="57"/>
      <c r="E606" s="57"/>
      <c r="F606" s="57"/>
      <c r="G606" s="57"/>
      <c r="H606" s="57"/>
      <c r="I606" s="57"/>
      <c r="J606" s="57"/>
      <c r="K606" s="57"/>
      <c r="L606" s="57"/>
      <c r="M606" s="57"/>
      <c r="N606" s="57"/>
      <c r="O606" s="57"/>
      <c r="P606" s="57"/>
      <c r="Q606" s="57"/>
      <c r="R606" s="2210"/>
      <c r="S606" s="256"/>
    </row>
    <row r="607" spans="1:19">
      <c r="A607" s="256"/>
      <c r="B607" s="57"/>
      <c r="C607" s="57"/>
      <c r="D607" s="57"/>
      <c r="E607" s="57"/>
      <c r="F607" s="57"/>
      <c r="G607" s="57"/>
      <c r="H607" s="57"/>
      <c r="I607" s="57"/>
      <c r="J607" s="57"/>
      <c r="K607" s="57"/>
      <c r="L607" s="57"/>
      <c r="M607" s="57"/>
      <c r="N607" s="57"/>
      <c r="O607" s="57"/>
      <c r="P607" s="57"/>
      <c r="Q607" s="57"/>
      <c r="R607" s="2210"/>
      <c r="S607" s="256"/>
    </row>
    <row r="608" spans="1:19">
      <c r="A608" s="256"/>
      <c r="B608" s="57"/>
      <c r="C608" s="57"/>
      <c r="D608" s="57"/>
      <c r="E608" s="57"/>
      <c r="F608" s="57"/>
      <c r="G608" s="57"/>
      <c r="H608" s="57"/>
      <c r="I608" s="57"/>
      <c r="J608" s="57"/>
      <c r="K608" s="57"/>
      <c r="L608" s="57"/>
      <c r="M608" s="57"/>
      <c r="N608" s="57"/>
      <c r="O608" s="57"/>
      <c r="P608" s="57"/>
      <c r="Q608" s="57"/>
      <c r="R608" s="2210"/>
      <c r="S608" s="256"/>
    </row>
    <row r="609" spans="1:19">
      <c r="A609" s="256"/>
      <c r="B609" s="57"/>
      <c r="C609" s="57"/>
      <c r="D609" s="57"/>
      <c r="E609" s="57"/>
      <c r="F609" s="57"/>
      <c r="G609" s="57"/>
      <c r="H609" s="57"/>
      <c r="I609" s="57"/>
      <c r="J609" s="57"/>
      <c r="K609" s="57"/>
      <c r="L609" s="57"/>
      <c r="M609" s="57"/>
      <c r="N609" s="57"/>
      <c r="O609" s="57"/>
      <c r="P609" s="57"/>
      <c r="Q609" s="57"/>
      <c r="R609" s="2210"/>
      <c r="S609" s="256"/>
    </row>
    <row r="610" spans="1:19">
      <c r="A610" s="256"/>
      <c r="B610" s="57"/>
      <c r="C610" s="57"/>
      <c r="D610" s="57"/>
      <c r="E610" s="57"/>
      <c r="F610" s="57"/>
      <c r="G610" s="57"/>
      <c r="H610" s="57"/>
      <c r="I610" s="57"/>
      <c r="J610" s="57"/>
      <c r="K610" s="57"/>
      <c r="L610" s="57"/>
      <c r="M610" s="57"/>
      <c r="N610" s="57"/>
      <c r="O610" s="57"/>
      <c r="P610" s="57"/>
      <c r="Q610" s="57"/>
      <c r="R610" s="2210"/>
      <c r="S610" s="256"/>
    </row>
    <row r="611" spans="1:19">
      <c r="A611" s="256"/>
      <c r="B611" s="57"/>
      <c r="C611" s="57"/>
      <c r="D611" s="57"/>
      <c r="E611" s="57"/>
      <c r="F611" s="57"/>
      <c r="G611" s="57"/>
      <c r="H611" s="57"/>
      <c r="I611" s="57"/>
      <c r="J611" s="57"/>
      <c r="K611" s="57"/>
      <c r="L611" s="57"/>
      <c r="M611" s="57"/>
      <c r="N611" s="57"/>
      <c r="O611" s="57"/>
      <c r="P611" s="57"/>
      <c r="Q611" s="57"/>
      <c r="R611" s="2210"/>
      <c r="S611" s="256"/>
    </row>
    <row r="612" spans="1:19">
      <c r="A612" s="256"/>
      <c r="B612" s="57"/>
      <c r="C612" s="57"/>
      <c r="D612" s="57"/>
      <c r="E612" s="57"/>
      <c r="F612" s="57"/>
      <c r="G612" s="57"/>
      <c r="H612" s="57"/>
      <c r="I612" s="57"/>
      <c r="J612" s="57"/>
      <c r="K612" s="57"/>
      <c r="L612" s="57"/>
      <c r="M612" s="57"/>
      <c r="N612" s="57"/>
      <c r="O612" s="57"/>
      <c r="P612" s="57"/>
      <c r="Q612" s="57"/>
      <c r="R612" s="2210"/>
      <c r="S612" s="256"/>
    </row>
    <row r="613" spans="1:19">
      <c r="A613" s="256"/>
      <c r="B613" s="57"/>
      <c r="C613" s="57"/>
      <c r="D613" s="57"/>
      <c r="E613" s="57"/>
      <c r="F613" s="57"/>
      <c r="G613" s="57"/>
      <c r="H613" s="57"/>
      <c r="I613" s="57"/>
      <c r="J613" s="57"/>
      <c r="K613" s="57"/>
      <c r="L613" s="57"/>
      <c r="M613" s="57"/>
      <c r="N613" s="57"/>
      <c r="O613" s="57"/>
      <c r="P613" s="57"/>
      <c r="Q613" s="57"/>
      <c r="R613" s="2210"/>
      <c r="S613" s="256"/>
    </row>
    <row r="614" spans="1:19">
      <c r="A614" s="256"/>
      <c r="B614" s="57"/>
      <c r="C614" s="57"/>
      <c r="D614" s="57"/>
      <c r="E614" s="57"/>
      <c r="F614" s="57"/>
      <c r="G614" s="57"/>
      <c r="H614" s="57"/>
      <c r="I614" s="57"/>
      <c r="J614" s="57"/>
      <c r="K614" s="57"/>
      <c r="L614" s="57"/>
      <c r="M614" s="57"/>
      <c r="N614" s="57"/>
      <c r="O614" s="57"/>
      <c r="P614" s="57"/>
      <c r="Q614" s="57"/>
      <c r="R614" s="2210"/>
      <c r="S614" s="256"/>
    </row>
    <row r="615" spans="1:19">
      <c r="A615" s="256"/>
      <c r="B615" s="57"/>
      <c r="C615" s="57"/>
      <c r="D615" s="57"/>
      <c r="E615" s="57"/>
      <c r="F615" s="57"/>
      <c r="G615" s="57"/>
      <c r="H615" s="57"/>
      <c r="I615" s="57"/>
      <c r="J615" s="57"/>
      <c r="K615" s="57"/>
      <c r="L615" s="57"/>
      <c r="M615" s="57"/>
      <c r="N615" s="57"/>
      <c r="O615" s="57"/>
      <c r="P615" s="57"/>
      <c r="Q615" s="57"/>
      <c r="R615" s="2210"/>
      <c r="S615" s="256"/>
    </row>
    <row r="616" spans="1:19">
      <c r="A616" s="256"/>
      <c r="B616" s="57"/>
      <c r="C616" s="57"/>
      <c r="D616" s="57"/>
      <c r="E616" s="57"/>
      <c r="F616" s="57"/>
      <c r="G616" s="57"/>
      <c r="H616" s="57"/>
      <c r="I616" s="57"/>
      <c r="J616" s="57"/>
      <c r="K616" s="57"/>
      <c r="L616" s="57"/>
      <c r="M616" s="57"/>
      <c r="N616" s="57"/>
      <c r="O616" s="57"/>
      <c r="P616" s="57"/>
      <c r="Q616" s="57"/>
      <c r="R616" s="2210"/>
      <c r="S616" s="256"/>
    </row>
    <row r="617" spans="1:19">
      <c r="A617" s="256"/>
      <c r="B617" s="57"/>
      <c r="C617" s="57"/>
      <c r="D617" s="57"/>
      <c r="E617" s="57"/>
      <c r="F617" s="57"/>
      <c r="G617" s="57"/>
      <c r="H617" s="57"/>
      <c r="I617" s="57"/>
      <c r="J617" s="57"/>
      <c r="K617" s="57"/>
      <c r="L617" s="57"/>
      <c r="M617" s="57"/>
      <c r="N617" s="57"/>
      <c r="O617" s="57"/>
      <c r="P617" s="57"/>
      <c r="Q617" s="57"/>
      <c r="R617" s="2210"/>
      <c r="S617" s="256"/>
    </row>
    <row r="618" spans="1:19">
      <c r="A618" s="256"/>
      <c r="B618" s="57"/>
      <c r="C618" s="57"/>
      <c r="D618" s="57"/>
      <c r="E618" s="57"/>
      <c r="F618" s="57"/>
      <c r="G618" s="57"/>
      <c r="H618" s="57"/>
      <c r="I618" s="57"/>
      <c r="J618" s="57"/>
      <c r="K618" s="57"/>
      <c r="L618" s="57"/>
      <c r="M618" s="57"/>
      <c r="N618" s="57"/>
      <c r="O618" s="57"/>
      <c r="P618" s="57"/>
      <c r="Q618" s="57"/>
      <c r="R618" s="2210"/>
      <c r="S618" s="256"/>
    </row>
    <row r="619" spans="1:19">
      <c r="A619" s="256"/>
      <c r="B619" s="57"/>
      <c r="C619" s="57"/>
      <c r="D619" s="57"/>
      <c r="E619" s="57"/>
      <c r="F619" s="57"/>
      <c r="G619" s="57"/>
      <c r="H619" s="57"/>
      <c r="I619" s="57"/>
      <c r="J619" s="57"/>
      <c r="K619" s="57"/>
      <c r="L619" s="57"/>
      <c r="M619" s="57"/>
      <c r="N619" s="57"/>
      <c r="O619" s="57"/>
      <c r="P619" s="57"/>
      <c r="Q619" s="57"/>
      <c r="R619" s="2210"/>
      <c r="S619" s="256"/>
    </row>
    <row r="620" spans="1:19">
      <c r="A620" s="256"/>
      <c r="B620" s="57"/>
      <c r="C620" s="57"/>
      <c r="D620" s="57"/>
      <c r="E620" s="57"/>
      <c r="F620" s="57"/>
      <c r="G620" s="57"/>
      <c r="H620" s="57"/>
      <c r="I620" s="57"/>
      <c r="J620" s="57"/>
      <c r="K620" s="57"/>
      <c r="L620" s="57"/>
      <c r="M620" s="57"/>
      <c r="N620" s="57"/>
      <c r="O620" s="57"/>
      <c r="P620" s="57"/>
      <c r="Q620" s="57"/>
      <c r="R620" s="2210"/>
      <c r="S620" s="256"/>
    </row>
    <row r="621" spans="1:19">
      <c r="A621" s="256"/>
      <c r="B621" s="57"/>
      <c r="C621" s="57"/>
      <c r="D621" s="57"/>
      <c r="E621" s="57"/>
      <c r="F621" s="57"/>
      <c r="G621" s="57"/>
      <c r="H621" s="57"/>
      <c r="I621" s="57"/>
      <c r="J621" s="57"/>
      <c r="K621" s="57"/>
      <c r="L621" s="57"/>
      <c r="M621" s="57"/>
      <c r="N621" s="57"/>
      <c r="O621" s="57"/>
      <c r="P621" s="57"/>
      <c r="Q621" s="57"/>
      <c r="R621" s="2210"/>
      <c r="S621" s="256"/>
    </row>
    <row r="622" spans="1:19">
      <c r="A622" s="256"/>
      <c r="B622" s="57"/>
      <c r="C622" s="57"/>
      <c r="D622" s="57"/>
      <c r="E622" s="57"/>
      <c r="F622" s="57"/>
      <c r="G622" s="57"/>
      <c r="H622" s="57"/>
      <c r="I622" s="57"/>
      <c r="J622" s="57"/>
      <c r="K622" s="57"/>
      <c r="L622" s="57"/>
      <c r="M622" s="57"/>
      <c r="N622" s="57"/>
      <c r="O622" s="57"/>
      <c r="P622" s="57"/>
      <c r="Q622" s="57"/>
      <c r="R622" s="2210"/>
      <c r="S622" s="256"/>
    </row>
    <row r="623" spans="1:19">
      <c r="A623" s="256"/>
      <c r="B623" s="57"/>
      <c r="C623" s="57"/>
      <c r="D623" s="57"/>
      <c r="E623" s="57"/>
      <c r="F623" s="57"/>
      <c r="G623" s="57"/>
      <c r="H623" s="57"/>
      <c r="I623" s="57"/>
      <c r="J623" s="57"/>
      <c r="K623" s="57"/>
      <c r="L623" s="57"/>
      <c r="M623" s="57"/>
      <c r="N623" s="57"/>
      <c r="O623" s="57"/>
      <c r="P623" s="57"/>
      <c r="Q623" s="57"/>
      <c r="R623" s="2210"/>
      <c r="S623" s="256"/>
    </row>
    <row r="624" spans="1:19">
      <c r="A624" s="256"/>
      <c r="B624" s="57"/>
      <c r="C624" s="57"/>
      <c r="D624" s="57"/>
      <c r="E624" s="57"/>
      <c r="F624" s="57"/>
      <c r="G624" s="57"/>
      <c r="H624" s="57"/>
      <c r="I624" s="57"/>
      <c r="J624" s="57"/>
      <c r="K624" s="57"/>
      <c r="L624" s="57"/>
      <c r="M624" s="57"/>
      <c r="N624" s="57"/>
      <c r="O624" s="57"/>
      <c r="P624" s="57"/>
      <c r="Q624" s="57"/>
      <c r="R624" s="2210"/>
      <c r="S624" s="256"/>
    </row>
    <row r="625" spans="1:19">
      <c r="A625" s="256"/>
      <c r="B625" s="57"/>
      <c r="C625" s="57"/>
      <c r="D625" s="57"/>
      <c r="E625" s="57"/>
      <c r="F625" s="57"/>
      <c r="G625" s="57"/>
      <c r="H625" s="57"/>
      <c r="I625" s="57"/>
      <c r="J625" s="57"/>
      <c r="K625" s="57"/>
      <c r="L625" s="57"/>
      <c r="M625" s="57"/>
      <c r="N625" s="57"/>
      <c r="O625" s="57"/>
      <c r="P625" s="57"/>
      <c r="Q625" s="57"/>
      <c r="R625" s="2210"/>
      <c r="S625" s="256"/>
    </row>
    <row r="626" spans="1:19">
      <c r="A626" s="256"/>
      <c r="B626" s="57"/>
      <c r="C626" s="57"/>
      <c r="D626" s="57"/>
      <c r="E626" s="57"/>
      <c r="F626" s="57"/>
      <c r="G626" s="57"/>
      <c r="H626" s="57"/>
      <c r="I626" s="57"/>
      <c r="J626" s="57"/>
      <c r="K626" s="57"/>
      <c r="L626" s="57"/>
      <c r="M626" s="57"/>
      <c r="N626" s="57"/>
      <c r="O626" s="57"/>
      <c r="P626" s="57"/>
      <c r="Q626" s="57"/>
      <c r="R626" s="2210"/>
      <c r="S626" s="256"/>
    </row>
    <row r="627" spans="1:19">
      <c r="A627" s="256"/>
      <c r="B627" s="57"/>
      <c r="C627" s="57"/>
      <c r="D627" s="57"/>
      <c r="E627" s="57"/>
      <c r="F627" s="57"/>
      <c r="G627" s="57"/>
      <c r="H627" s="57"/>
      <c r="I627" s="57"/>
      <c r="J627" s="57"/>
      <c r="K627" s="57"/>
      <c r="L627" s="57"/>
      <c r="M627" s="57"/>
      <c r="N627" s="57"/>
      <c r="O627" s="57"/>
      <c r="P627" s="57"/>
      <c r="Q627" s="57"/>
      <c r="R627" s="2210"/>
      <c r="S627" s="256"/>
    </row>
    <row r="628" spans="1:19">
      <c r="A628" s="256"/>
      <c r="B628" s="57"/>
      <c r="C628" s="57"/>
      <c r="D628" s="57"/>
      <c r="E628" s="57"/>
      <c r="F628" s="57"/>
      <c r="G628" s="57"/>
      <c r="H628" s="57"/>
      <c r="I628" s="57"/>
      <c r="J628" s="57"/>
      <c r="K628" s="57"/>
      <c r="L628" s="57"/>
      <c r="M628" s="57"/>
      <c r="N628" s="57"/>
      <c r="O628" s="57"/>
      <c r="P628" s="57"/>
      <c r="Q628" s="57"/>
      <c r="R628" s="2210"/>
      <c r="S628" s="256"/>
    </row>
    <row r="629" spans="1:19">
      <c r="A629" s="256"/>
      <c r="B629" s="57"/>
      <c r="C629" s="57"/>
      <c r="D629" s="57"/>
      <c r="E629" s="57"/>
      <c r="F629" s="57"/>
      <c r="G629" s="57"/>
      <c r="H629" s="57"/>
      <c r="I629" s="57"/>
      <c r="J629" s="57"/>
      <c r="K629" s="57"/>
      <c r="L629" s="57"/>
      <c r="M629" s="57"/>
      <c r="N629" s="57"/>
      <c r="O629" s="57"/>
      <c r="P629" s="57"/>
      <c r="Q629" s="57"/>
      <c r="R629" s="2210"/>
      <c r="S629" s="256"/>
    </row>
    <row r="630" spans="1:19">
      <c r="A630" s="256"/>
      <c r="B630" s="57"/>
      <c r="C630" s="57"/>
      <c r="D630" s="57"/>
      <c r="E630" s="57"/>
      <c r="F630" s="57"/>
      <c r="G630" s="57"/>
      <c r="H630" s="57"/>
      <c r="I630" s="57"/>
      <c r="J630" s="57"/>
      <c r="K630" s="57"/>
      <c r="L630" s="57"/>
      <c r="M630" s="57"/>
      <c r="N630" s="57"/>
      <c r="O630" s="57"/>
      <c r="P630" s="57"/>
      <c r="Q630" s="57"/>
      <c r="R630" s="2210"/>
      <c r="S630" s="256"/>
    </row>
    <row r="631" spans="1:19">
      <c r="A631" s="256"/>
      <c r="B631" s="57"/>
      <c r="C631" s="57"/>
      <c r="D631" s="57"/>
      <c r="E631" s="57"/>
      <c r="F631" s="57"/>
      <c r="G631" s="57"/>
      <c r="H631" s="57"/>
      <c r="I631" s="57"/>
      <c r="J631" s="57"/>
      <c r="K631" s="57"/>
      <c r="L631" s="57"/>
      <c r="M631" s="57"/>
      <c r="N631" s="57"/>
      <c r="O631" s="57"/>
      <c r="P631" s="57"/>
      <c r="Q631" s="57"/>
      <c r="R631" s="2210"/>
      <c r="S631" s="256"/>
    </row>
    <row r="632" spans="1:19">
      <c r="A632" s="256"/>
      <c r="B632" s="57"/>
      <c r="C632" s="57"/>
      <c r="D632" s="57"/>
      <c r="E632" s="57"/>
      <c r="F632" s="57"/>
      <c r="G632" s="57"/>
      <c r="H632" s="57"/>
      <c r="I632" s="57"/>
      <c r="J632" s="57"/>
      <c r="K632" s="57"/>
      <c r="L632" s="57"/>
      <c r="M632" s="57"/>
      <c r="N632" s="57"/>
      <c r="O632" s="57"/>
      <c r="P632" s="57"/>
      <c r="Q632" s="57"/>
      <c r="R632" s="2210"/>
      <c r="S632" s="256"/>
    </row>
    <row r="633" spans="1:19">
      <c r="A633" s="256"/>
      <c r="B633" s="57"/>
      <c r="C633" s="57"/>
      <c r="D633" s="57"/>
      <c r="E633" s="57"/>
      <c r="F633" s="57"/>
      <c r="G633" s="57"/>
      <c r="H633" s="57"/>
      <c r="I633" s="57"/>
      <c r="J633" s="57"/>
      <c r="K633" s="57"/>
      <c r="L633" s="57"/>
      <c r="M633" s="57"/>
      <c r="N633" s="57"/>
      <c r="O633" s="57"/>
      <c r="P633" s="57"/>
      <c r="Q633" s="57"/>
      <c r="R633" s="2210"/>
      <c r="S633" s="256"/>
    </row>
    <row r="634" spans="1:19">
      <c r="A634" s="256"/>
      <c r="B634" s="57"/>
      <c r="C634" s="57"/>
      <c r="D634" s="57"/>
      <c r="E634" s="57"/>
      <c r="F634" s="57"/>
      <c r="G634" s="57"/>
      <c r="H634" s="57"/>
      <c r="I634" s="57"/>
      <c r="J634" s="57"/>
      <c r="K634" s="57"/>
      <c r="L634" s="57"/>
      <c r="M634" s="57"/>
      <c r="N634" s="57"/>
      <c r="O634" s="57"/>
      <c r="P634" s="57"/>
      <c r="Q634" s="57"/>
      <c r="R634" s="2210"/>
      <c r="S634" s="256"/>
    </row>
    <row r="635" spans="1:19">
      <c r="A635" s="256"/>
      <c r="B635" s="57"/>
      <c r="C635" s="57"/>
      <c r="D635" s="57"/>
      <c r="E635" s="57"/>
      <c r="F635" s="57"/>
      <c r="G635" s="57"/>
      <c r="H635" s="57"/>
      <c r="I635" s="57"/>
      <c r="J635" s="57"/>
      <c r="K635" s="57"/>
      <c r="L635" s="57"/>
      <c r="M635" s="57"/>
      <c r="N635" s="57"/>
      <c r="O635" s="57"/>
      <c r="P635" s="57"/>
      <c r="Q635" s="57"/>
      <c r="R635" s="2210"/>
      <c r="S635" s="256"/>
    </row>
    <row r="636" spans="1:19">
      <c r="A636" s="256"/>
      <c r="B636" s="57"/>
      <c r="C636" s="57"/>
      <c r="D636" s="57"/>
      <c r="E636" s="57"/>
      <c r="F636" s="57"/>
      <c r="G636" s="57"/>
      <c r="H636" s="57"/>
      <c r="I636" s="57"/>
      <c r="J636" s="57"/>
      <c r="K636" s="57"/>
      <c r="L636" s="57"/>
      <c r="M636" s="57"/>
      <c r="N636" s="57"/>
      <c r="O636" s="57"/>
      <c r="P636" s="57"/>
      <c r="Q636" s="57"/>
      <c r="R636" s="2210"/>
      <c r="S636" s="256"/>
    </row>
    <row r="637" spans="1:19">
      <c r="A637" s="256"/>
      <c r="B637" s="57"/>
      <c r="C637" s="57"/>
      <c r="D637" s="57"/>
      <c r="E637" s="57"/>
      <c r="F637" s="57"/>
      <c r="G637" s="57"/>
      <c r="H637" s="57"/>
      <c r="I637" s="57"/>
      <c r="J637" s="57"/>
      <c r="K637" s="57"/>
      <c r="L637" s="57"/>
      <c r="M637" s="57"/>
      <c r="N637" s="57"/>
      <c r="O637" s="57"/>
      <c r="P637" s="57"/>
      <c r="Q637" s="57"/>
      <c r="R637" s="2210"/>
      <c r="S637" s="256"/>
    </row>
    <row r="638" spans="1:19">
      <c r="A638" s="256"/>
      <c r="B638" s="57"/>
      <c r="C638" s="57"/>
      <c r="D638" s="57"/>
      <c r="E638" s="57"/>
      <c r="F638" s="57"/>
      <c r="G638" s="57"/>
      <c r="H638" s="57"/>
      <c r="I638" s="57"/>
      <c r="J638" s="57"/>
      <c r="K638" s="57"/>
      <c r="L638" s="57"/>
      <c r="M638" s="57"/>
      <c r="N638" s="57"/>
      <c r="O638" s="57"/>
      <c r="P638" s="57"/>
      <c r="Q638" s="57"/>
      <c r="R638" s="2210"/>
      <c r="S638" s="256"/>
    </row>
    <row r="639" spans="1:19">
      <c r="A639" s="256"/>
      <c r="B639" s="57"/>
      <c r="C639" s="57"/>
      <c r="D639" s="57"/>
      <c r="E639" s="57"/>
      <c r="F639" s="57"/>
      <c r="G639" s="57"/>
      <c r="H639" s="57"/>
      <c r="I639" s="57"/>
      <c r="J639" s="57"/>
      <c r="K639" s="57"/>
      <c r="L639" s="57"/>
      <c r="M639" s="57"/>
      <c r="N639" s="57"/>
      <c r="O639" s="57"/>
      <c r="P639" s="57"/>
      <c r="Q639" s="57"/>
      <c r="R639" s="2210"/>
      <c r="S639" s="256"/>
    </row>
    <row r="640" spans="1:19">
      <c r="A640" s="256"/>
      <c r="B640" s="57"/>
      <c r="C640" s="57"/>
      <c r="D640" s="57"/>
      <c r="E640" s="57"/>
      <c r="F640" s="57"/>
      <c r="G640" s="57"/>
      <c r="H640" s="57"/>
      <c r="I640" s="57"/>
      <c r="J640" s="57"/>
      <c r="K640" s="57"/>
      <c r="L640" s="57"/>
      <c r="M640" s="57"/>
      <c r="N640" s="57"/>
      <c r="O640" s="57"/>
      <c r="P640" s="57"/>
      <c r="Q640" s="57"/>
      <c r="R640" s="2210"/>
      <c r="S640" s="256"/>
    </row>
    <row r="641" spans="1:19">
      <c r="A641" s="256"/>
      <c r="B641" s="57"/>
      <c r="C641" s="57"/>
      <c r="D641" s="57"/>
      <c r="E641" s="57"/>
      <c r="F641" s="57"/>
      <c r="G641" s="57"/>
      <c r="H641" s="57"/>
      <c r="I641" s="57"/>
      <c r="J641" s="57"/>
      <c r="K641" s="57"/>
      <c r="L641" s="57"/>
      <c r="M641" s="57"/>
      <c r="N641" s="57"/>
      <c r="O641" s="57"/>
      <c r="P641" s="57"/>
      <c r="Q641" s="57"/>
      <c r="R641" s="2210"/>
      <c r="S641" s="256"/>
    </row>
    <row r="642" spans="1:19">
      <c r="A642" s="256"/>
      <c r="B642" s="57"/>
      <c r="C642" s="57"/>
      <c r="D642" s="57"/>
      <c r="E642" s="57"/>
      <c r="F642" s="57"/>
      <c r="G642" s="57"/>
      <c r="H642" s="57"/>
      <c r="I642" s="57"/>
      <c r="J642" s="57"/>
      <c r="K642" s="57"/>
      <c r="L642" s="57"/>
      <c r="M642" s="57"/>
      <c r="N642" s="57"/>
      <c r="O642" s="57"/>
      <c r="P642" s="57"/>
      <c r="Q642" s="57"/>
      <c r="R642" s="2210"/>
      <c r="S642" s="256"/>
    </row>
    <row r="643" spans="1:19">
      <c r="A643" s="256"/>
      <c r="B643" s="57"/>
      <c r="C643" s="57"/>
      <c r="D643" s="57"/>
      <c r="E643" s="57"/>
      <c r="F643" s="57"/>
      <c r="G643" s="57"/>
      <c r="H643" s="57"/>
      <c r="I643" s="57"/>
      <c r="J643" s="57"/>
      <c r="K643" s="57"/>
      <c r="L643" s="57"/>
      <c r="M643" s="57"/>
      <c r="N643" s="57"/>
      <c r="O643" s="57"/>
      <c r="P643" s="57"/>
      <c r="Q643" s="57"/>
      <c r="R643" s="2210"/>
      <c r="S643" s="256"/>
    </row>
    <row r="644" spans="1:19">
      <c r="A644" s="256"/>
      <c r="B644" s="57"/>
      <c r="C644" s="57"/>
      <c r="D644" s="57"/>
      <c r="E644" s="57"/>
      <c r="F644" s="57"/>
      <c r="G644" s="57"/>
      <c r="H644" s="57"/>
      <c r="I644" s="57"/>
      <c r="J644" s="57"/>
      <c r="K644" s="57"/>
      <c r="L644" s="57"/>
      <c r="M644" s="57"/>
      <c r="N644" s="57"/>
      <c r="O644" s="57"/>
      <c r="P644" s="57"/>
      <c r="Q644" s="57"/>
      <c r="R644" s="2210"/>
      <c r="S644" s="256"/>
    </row>
    <row r="645" spans="1:19">
      <c r="A645" s="256"/>
      <c r="B645" s="57"/>
      <c r="C645" s="57"/>
      <c r="D645" s="57"/>
      <c r="E645" s="57"/>
      <c r="F645" s="57"/>
      <c r="G645" s="57"/>
      <c r="H645" s="57"/>
      <c r="I645" s="57"/>
      <c r="J645" s="57"/>
      <c r="K645" s="57"/>
      <c r="L645" s="57"/>
      <c r="M645" s="57"/>
      <c r="N645" s="57"/>
      <c r="O645" s="57"/>
      <c r="P645" s="57"/>
      <c r="Q645" s="57"/>
      <c r="R645" s="2210"/>
      <c r="S645" s="256"/>
    </row>
    <row r="646" spans="1:19">
      <c r="A646" s="256"/>
      <c r="B646" s="57"/>
      <c r="C646" s="57"/>
      <c r="D646" s="57"/>
      <c r="E646" s="57"/>
      <c r="F646" s="57"/>
      <c r="G646" s="57"/>
      <c r="H646" s="57"/>
      <c r="I646" s="57"/>
      <c r="J646" s="57"/>
      <c r="K646" s="57"/>
      <c r="L646" s="57"/>
      <c r="M646" s="57"/>
      <c r="N646" s="57"/>
      <c r="O646" s="57"/>
      <c r="P646" s="57"/>
      <c r="Q646" s="57"/>
      <c r="R646" s="2210"/>
      <c r="S646" s="256"/>
    </row>
    <row r="647" spans="1:19">
      <c r="A647" s="256"/>
      <c r="B647" s="57"/>
      <c r="C647" s="57"/>
      <c r="D647" s="57"/>
      <c r="E647" s="57"/>
      <c r="F647" s="57"/>
      <c r="G647" s="57"/>
      <c r="H647" s="57"/>
      <c r="I647" s="57"/>
      <c r="J647" s="57"/>
      <c r="K647" s="57"/>
      <c r="L647" s="57"/>
      <c r="M647" s="57"/>
      <c r="N647" s="57"/>
      <c r="O647" s="57"/>
      <c r="P647" s="57"/>
      <c r="Q647" s="57"/>
      <c r="R647" s="2210"/>
      <c r="S647" s="256"/>
    </row>
    <row r="648" spans="1:19">
      <c r="A648" s="256"/>
      <c r="B648" s="57"/>
      <c r="C648" s="57"/>
      <c r="D648" s="57"/>
      <c r="E648" s="57"/>
      <c r="F648" s="57"/>
      <c r="G648" s="57"/>
      <c r="H648" s="57"/>
      <c r="I648" s="57"/>
      <c r="J648" s="57"/>
      <c r="K648" s="57"/>
      <c r="L648" s="57"/>
      <c r="M648" s="57"/>
      <c r="N648" s="57"/>
      <c r="O648" s="57"/>
      <c r="P648" s="57"/>
      <c r="Q648" s="57"/>
      <c r="R648" s="2210"/>
      <c r="S648" s="256"/>
    </row>
    <row r="649" spans="1:19">
      <c r="A649" s="256"/>
      <c r="B649" s="57"/>
      <c r="C649" s="57"/>
      <c r="D649" s="57"/>
      <c r="E649" s="57"/>
      <c r="F649" s="57"/>
      <c r="G649" s="57"/>
      <c r="H649" s="57"/>
      <c r="I649" s="57"/>
      <c r="J649" s="57"/>
      <c r="K649" s="57"/>
      <c r="L649" s="57"/>
      <c r="M649" s="57"/>
      <c r="N649" s="57"/>
      <c r="O649" s="57"/>
      <c r="P649" s="57"/>
      <c r="Q649" s="57"/>
      <c r="R649" s="2210"/>
      <c r="S649" s="256"/>
    </row>
    <row r="650" spans="1:19">
      <c r="A650" s="256"/>
      <c r="B650" s="57"/>
      <c r="C650" s="57"/>
      <c r="D650" s="57"/>
      <c r="E650" s="57"/>
      <c r="F650" s="57"/>
      <c r="G650" s="57"/>
      <c r="H650" s="57"/>
      <c r="I650" s="57"/>
      <c r="J650" s="57"/>
      <c r="K650" s="57"/>
      <c r="L650" s="57"/>
      <c r="M650" s="57"/>
      <c r="N650" s="57"/>
      <c r="O650" s="57"/>
      <c r="P650" s="57"/>
      <c r="Q650" s="57"/>
      <c r="R650" s="2210"/>
      <c r="S650" s="256"/>
    </row>
    <row r="651" spans="1:19">
      <c r="A651" s="256"/>
      <c r="B651" s="57"/>
      <c r="C651" s="57"/>
      <c r="D651" s="57"/>
      <c r="E651" s="57"/>
      <c r="F651" s="57"/>
      <c r="G651" s="57"/>
      <c r="H651" s="57"/>
      <c r="I651" s="57"/>
      <c r="J651" s="57"/>
      <c r="K651" s="57"/>
      <c r="L651" s="57"/>
      <c r="M651" s="57"/>
      <c r="N651" s="57"/>
      <c r="O651" s="57"/>
      <c r="P651" s="57"/>
      <c r="Q651" s="57"/>
      <c r="R651" s="2210"/>
      <c r="S651" s="256"/>
    </row>
    <row r="652" spans="1:19">
      <c r="A652" s="256"/>
      <c r="B652" s="57"/>
      <c r="C652" s="57"/>
      <c r="D652" s="57"/>
      <c r="E652" s="57"/>
      <c r="F652" s="57"/>
      <c r="G652" s="57"/>
      <c r="H652" s="57"/>
      <c r="I652" s="57"/>
      <c r="J652" s="57"/>
      <c r="K652" s="57"/>
      <c r="L652" s="57"/>
      <c r="M652" s="57"/>
      <c r="N652" s="57"/>
      <c r="O652" s="57"/>
      <c r="P652" s="57"/>
      <c r="Q652" s="57"/>
      <c r="R652" s="2210"/>
      <c r="S652" s="256"/>
    </row>
    <row r="653" spans="1:19">
      <c r="A653" s="256"/>
      <c r="B653" s="57"/>
      <c r="C653" s="57"/>
      <c r="D653" s="57"/>
      <c r="E653" s="57"/>
      <c r="F653" s="57"/>
      <c r="G653" s="57"/>
      <c r="H653" s="57"/>
      <c r="I653" s="57"/>
      <c r="J653" s="57"/>
      <c r="K653" s="57"/>
      <c r="L653" s="57"/>
      <c r="M653" s="57"/>
      <c r="N653" s="57"/>
      <c r="O653" s="57"/>
      <c r="P653" s="57"/>
      <c r="Q653" s="57"/>
      <c r="R653" s="2210"/>
      <c r="S653" s="256"/>
    </row>
    <row r="654" spans="1:19">
      <c r="A654" s="256"/>
      <c r="B654" s="57"/>
      <c r="C654" s="57"/>
      <c r="D654" s="57"/>
      <c r="E654" s="57"/>
      <c r="F654" s="57"/>
      <c r="G654" s="57"/>
      <c r="H654" s="57"/>
      <c r="I654" s="57"/>
      <c r="J654" s="57"/>
      <c r="K654" s="57"/>
      <c r="L654" s="57"/>
      <c r="M654" s="57"/>
      <c r="N654" s="57"/>
      <c r="O654" s="57"/>
      <c r="P654" s="57"/>
      <c r="Q654" s="57"/>
      <c r="R654" s="2210"/>
      <c r="S654" s="256"/>
    </row>
    <row r="655" spans="1:19">
      <c r="A655" s="256"/>
      <c r="B655" s="57"/>
      <c r="C655" s="57"/>
      <c r="D655" s="57"/>
      <c r="E655" s="57"/>
      <c r="F655" s="57"/>
      <c r="G655" s="57"/>
      <c r="H655" s="57"/>
      <c r="I655" s="57"/>
      <c r="J655" s="57"/>
      <c r="K655" s="57"/>
      <c r="L655" s="57"/>
      <c r="M655" s="57"/>
      <c r="N655" s="57"/>
      <c r="O655" s="57"/>
      <c r="P655" s="57"/>
      <c r="Q655" s="57"/>
      <c r="R655" s="2210"/>
      <c r="S655" s="256"/>
    </row>
    <row r="656" spans="1:19">
      <c r="A656" s="256"/>
      <c r="B656" s="57"/>
      <c r="C656" s="57"/>
      <c r="D656" s="57"/>
      <c r="E656" s="57"/>
      <c r="F656" s="57"/>
      <c r="G656" s="57"/>
      <c r="H656" s="57"/>
      <c r="I656" s="57"/>
      <c r="J656" s="57"/>
      <c r="K656" s="57"/>
      <c r="L656" s="57"/>
      <c r="M656" s="57"/>
      <c r="N656" s="57"/>
      <c r="O656" s="57"/>
      <c r="P656" s="57"/>
      <c r="Q656" s="57"/>
      <c r="R656" s="2210"/>
      <c r="S656" s="256"/>
    </row>
    <row r="657" spans="1:19">
      <c r="A657" s="256"/>
      <c r="B657" s="57"/>
      <c r="C657" s="57"/>
      <c r="D657" s="57"/>
      <c r="E657" s="57"/>
      <c r="F657" s="57"/>
      <c r="G657" s="57"/>
      <c r="H657" s="57"/>
      <c r="I657" s="57"/>
      <c r="J657" s="57"/>
      <c r="K657" s="57"/>
      <c r="L657" s="57"/>
      <c r="M657" s="57"/>
      <c r="N657" s="57"/>
      <c r="O657" s="57"/>
      <c r="P657" s="57"/>
      <c r="Q657" s="57"/>
      <c r="R657" s="2210"/>
      <c r="S657" s="256"/>
    </row>
    <row r="658" spans="1:19">
      <c r="A658" s="256"/>
      <c r="B658" s="57"/>
      <c r="C658" s="57"/>
      <c r="D658" s="57"/>
      <c r="E658" s="57"/>
      <c r="F658" s="57"/>
      <c r="G658" s="57"/>
      <c r="H658" s="57"/>
      <c r="I658" s="57"/>
      <c r="J658" s="57"/>
      <c r="K658" s="57"/>
      <c r="L658" s="57"/>
      <c r="M658" s="57"/>
      <c r="N658" s="57"/>
      <c r="O658" s="57"/>
      <c r="P658" s="57"/>
      <c r="Q658" s="57"/>
      <c r="R658" s="2210"/>
      <c r="S658" s="256"/>
    </row>
    <row r="659" spans="1:19">
      <c r="A659" s="256"/>
      <c r="B659" s="57"/>
      <c r="C659" s="57"/>
      <c r="D659" s="57"/>
      <c r="E659" s="57"/>
      <c r="F659" s="57"/>
      <c r="G659" s="57"/>
      <c r="H659" s="57"/>
      <c r="I659" s="57"/>
      <c r="J659" s="57"/>
      <c r="K659" s="57"/>
      <c r="L659" s="57"/>
      <c r="M659" s="57"/>
      <c r="N659" s="57"/>
      <c r="O659" s="57"/>
      <c r="P659" s="57"/>
      <c r="Q659" s="57"/>
      <c r="R659" s="2210"/>
      <c r="S659" s="256"/>
    </row>
    <row r="660" spans="1:19">
      <c r="A660" s="256"/>
      <c r="B660" s="57"/>
      <c r="C660" s="57"/>
      <c r="D660" s="57"/>
      <c r="E660" s="57"/>
      <c r="F660" s="57"/>
      <c r="G660" s="57"/>
      <c r="H660" s="57"/>
      <c r="I660" s="57"/>
      <c r="J660" s="57"/>
      <c r="K660" s="57"/>
      <c r="L660" s="57"/>
      <c r="M660" s="57"/>
      <c r="N660" s="57"/>
      <c r="O660" s="57"/>
      <c r="P660" s="57"/>
      <c r="Q660" s="57"/>
      <c r="R660" s="2210"/>
      <c r="S660" s="256"/>
    </row>
    <row r="661" spans="1:19">
      <c r="A661" s="256"/>
      <c r="B661" s="57"/>
      <c r="C661" s="57"/>
      <c r="D661" s="57"/>
      <c r="E661" s="57"/>
      <c r="F661" s="57"/>
      <c r="G661" s="57"/>
      <c r="H661" s="57"/>
      <c r="I661" s="57"/>
      <c r="J661" s="57"/>
      <c r="K661" s="57"/>
      <c r="L661" s="57"/>
      <c r="M661" s="57"/>
      <c r="N661" s="57"/>
      <c r="O661" s="57"/>
      <c r="P661" s="57"/>
      <c r="Q661" s="57"/>
      <c r="R661" s="2210"/>
      <c r="S661" s="256"/>
    </row>
    <row r="662" spans="1:19">
      <c r="A662" s="256"/>
      <c r="B662" s="57"/>
      <c r="C662" s="57"/>
      <c r="D662" s="57"/>
      <c r="E662" s="57"/>
      <c r="F662" s="57"/>
      <c r="G662" s="57"/>
      <c r="H662" s="57"/>
      <c r="I662" s="57"/>
      <c r="J662" s="57"/>
      <c r="K662" s="57"/>
      <c r="L662" s="57"/>
      <c r="M662" s="57"/>
      <c r="N662" s="57"/>
      <c r="O662" s="57"/>
      <c r="P662" s="57"/>
      <c r="Q662" s="57"/>
      <c r="R662" s="2210"/>
      <c r="S662" s="256"/>
    </row>
    <row r="663" spans="1:19">
      <c r="A663" s="256"/>
      <c r="B663" s="57"/>
      <c r="C663" s="57"/>
      <c r="D663" s="57"/>
      <c r="E663" s="57"/>
      <c r="F663" s="57"/>
      <c r="G663" s="57"/>
      <c r="H663" s="57"/>
      <c r="I663" s="57"/>
      <c r="J663" s="57"/>
      <c r="K663" s="57"/>
      <c r="L663" s="57"/>
      <c r="M663" s="57"/>
      <c r="N663" s="57"/>
      <c r="O663" s="57"/>
      <c r="P663" s="57"/>
      <c r="Q663" s="57"/>
      <c r="R663" s="2210"/>
      <c r="S663" s="256"/>
    </row>
    <row r="664" spans="1:19">
      <c r="A664" s="256"/>
      <c r="B664" s="57"/>
      <c r="C664" s="57"/>
      <c r="D664" s="57"/>
      <c r="E664" s="57"/>
      <c r="F664" s="57"/>
      <c r="G664" s="57"/>
      <c r="H664" s="57"/>
      <c r="I664" s="57"/>
      <c r="J664" s="57"/>
      <c r="K664" s="57"/>
      <c r="L664" s="57"/>
      <c r="M664" s="57"/>
      <c r="N664" s="57"/>
      <c r="O664" s="57"/>
      <c r="P664" s="57"/>
      <c r="Q664" s="57"/>
      <c r="R664" s="2210"/>
      <c r="S664" s="256"/>
    </row>
    <row r="665" spans="1:19">
      <c r="A665" s="256"/>
      <c r="B665" s="57"/>
      <c r="C665" s="57"/>
      <c r="D665" s="57"/>
      <c r="E665" s="57"/>
      <c r="F665" s="57"/>
      <c r="G665" s="57"/>
      <c r="H665" s="57"/>
      <c r="I665" s="57"/>
      <c r="J665" s="57"/>
      <c r="K665" s="57"/>
      <c r="L665" s="57"/>
      <c r="M665" s="57"/>
      <c r="N665" s="57"/>
      <c r="O665" s="57"/>
      <c r="P665" s="57"/>
      <c r="Q665" s="57"/>
      <c r="R665" s="2210"/>
      <c r="S665" s="256"/>
    </row>
    <row r="666" spans="1:19">
      <c r="A666" s="256"/>
      <c r="B666" s="57"/>
      <c r="C666" s="57"/>
      <c r="D666" s="57"/>
      <c r="E666" s="57"/>
      <c r="F666" s="57"/>
      <c r="G666" s="57"/>
      <c r="H666" s="57"/>
      <c r="I666" s="57"/>
      <c r="J666" s="57"/>
      <c r="K666" s="57"/>
      <c r="L666" s="57"/>
      <c r="M666" s="57"/>
      <c r="N666" s="57"/>
      <c r="O666" s="57"/>
      <c r="P666" s="57"/>
      <c r="Q666" s="57"/>
      <c r="R666" s="2210"/>
      <c r="S666" s="256"/>
    </row>
    <row r="667" spans="1:19">
      <c r="A667" s="256"/>
      <c r="B667" s="57"/>
      <c r="C667" s="57"/>
      <c r="D667" s="57"/>
      <c r="E667" s="57"/>
      <c r="F667" s="57"/>
      <c r="G667" s="57"/>
      <c r="H667" s="57"/>
      <c r="I667" s="57"/>
      <c r="J667" s="57"/>
      <c r="K667" s="57"/>
      <c r="L667" s="57"/>
      <c r="M667" s="57"/>
      <c r="N667" s="57"/>
      <c r="O667" s="57"/>
      <c r="P667" s="57"/>
      <c r="Q667" s="57"/>
      <c r="R667" s="2210"/>
      <c r="S667" s="256"/>
    </row>
    <row r="668" spans="1:19">
      <c r="A668" s="256"/>
      <c r="B668" s="57"/>
      <c r="C668" s="57"/>
      <c r="D668" s="57"/>
      <c r="E668" s="57"/>
      <c r="F668" s="57"/>
      <c r="G668" s="57"/>
      <c r="H668" s="57"/>
      <c r="I668" s="57"/>
      <c r="J668" s="57"/>
      <c r="K668" s="57"/>
      <c r="L668" s="57"/>
      <c r="M668" s="57"/>
      <c r="N668" s="57"/>
      <c r="O668" s="57"/>
      <c r="P668" s="57"/>
      <c r="Q668" s="57"/>
      <c r="R668" s="2210"/>
      <c r="S668" s="256"/>
    </row>
    <row r="669" spans="1:19">
      <c r="A669" s="256"/>
      <c r="B669" s="57"/>
      <c r="C669" s="57"/>
      <c r="D669" s="57"/>
      <c r="E669" s="57"/>
      <c r="F669" s="57"/>
      <c r="G669" s="57"/>
      <c r="H669" s="57"/>
      <c r="I669" s="57"/>
      <c r="J669" s="57"/>
      <c r="K669" s="57"/>
      <c r="L669" s="57"/>
      <c r="M669" s="57"/>
      <c r="N669" s="57"/>
      <c r="O669" s="57"/>
      <c r="P669" s="57"/>
      <c r="Q669" s="57"/>
      <c r="R669" s="2210"/>
      <c r="S669" s="256"/>
    </row>
    <row r="670" spans="1:19">
      <c r="A670" s="256"/>
      <c r="B670" s="57"/>
      <c r="C670" s="57"/>
      <c r="D670" s="57"/>
      <c r="E670" s="57"/>
      <c r="F670" s="57"/>
      <c r="G670" s="57"/>
      <c r="H670" s="57"/>
      <c r="I670" s="57"/>
      <c r="J670" s="57"/>
      <c r="K670" s="57"/>
      <c r="L670" s="57"/>
      <c r="M670" s="57"/>
      <c r="N670" s="57"/>
      <c r="O670" s="57"/>
      <c r="P670" s="57"/>
      <c r="Q670" s="57"/>
      <c r="R670" s="2210"/>
      <c r="S670" s="256"/>
    </row>
    <row r="671" spans="1:19">
      <c r="A671" s="256"/>
      <c r="B671" s="57"/>
      <c r="C671" s="57"/>
      <c r="D671" s="57"/>
      <c r="E671" s="57"/>
      <c r="F671" s="57"/>
      <c r="G671" s="57"/>
      <c r="H671" s="57"/>
      <c r="I671" s="57"/>
      <c r="J671" s="57"/>
      <c r="K671" s="57"/>
      <c r="L671" s="57"/>
      <c r="M671" s="57"/>
      <c r="N671" s="57"/>
      <c r="O671" s="57"/>
      <c r="P671" s="57"/>
      <c r="Q671" s="57"/>
      <c r="R671" s="2210"/>
      <c r="S671" s="256"/>
    </row>
    <row r="672" spans="1:19">
      <c r="A672" s="256"/>
      <c r="B672" s="57"/>
      <c r="C672" s="57"/>
      <c r="D672" s="57"/>
      <c r="E672" s="57"/>
      <c r="F672" s="57"/>
      <c r="G672" s="57"/>
      <c r="H672" s="57"/>
      <c r="I672" s="57"/>
      <c r="J672" s="57"/>
      <c r="K672" s="57"/>
      <c r="L672" s="57"/>
      <c r="M672" s="57"/>
      <c r="N672" s="57"/>
      <c r="O672" s="57"/>
      <c r="P672" s="57"/>
      <c r="Q672" s="57"/>
      <c r="R672" s="2210"/>
      <c r="S672" s="256"/>
    </row>
    <row r="673" spans="1:19">
      <c r="A673" s="256"/>
      <c r="B673" s="57"/>
      <c r="C673" s="57"/>
      <c r="D673" s="57"/>
      <c r="E673" s="57"/>
      <c r="F673" s="57"/>
      <c r="G673" s="57"/>
      <c r="H673" s="57"/>
      <c r="I673" s="57"/>
      <c r="J673" s="57"/>
      <c r="K673" s="57"/>
      <c r="L673" s="57"/>
      <c r="M673" s="57"/>
      <c r="N673" s="57"/>
      <c r="O673" s="57"/>
      <c r="P673" s="57"/>
      <c r="Q673" s="57"/>
      <c r="R673" s="2210"/>
      <c r="S673" s="256"/>
    </row>
    <row r="674" spans="1:19">
      <c r="A674" s="256"/>
      <c r="B674" s="57"/>
      <c r="C674" s="57"/>
      <c r="D674" s="57"/>
      <c r="E674" s="57"/>
      <c r="F674" s="57"/>
      <c r="G674" s="57"/>
      <c r="H674" s="57"/>
      <c r="I674" s="57"/>
      <c r="J674" s="57"/>
      <c r="K674" s="57"/>
      <c r="L674" s="57"/>
      <c r="M674" s="57"/>
      <c r="N674" s="57"/>
      <c r="O674" s="57"/>
      <c r="P674" s="57"/>
      <c r="Q674" s="57"/>
      <c r="R674" s="2210"/>
      <c r="S674" s="256"/>
    </row>
    <row r="675" spans="1:19">
      <c r="A675" s="256"/>
      <c r="B675" s="57"/>
      <c r="C675" s="57"/>
      <c r="D675" s="57"/>
      <c r="E675" s="57"/>
      <c r="F675" s="57"/>
      <c r="G675" s="57"/>
      <c r="H675" s="57"/>
      <c r="I675" s="57"/>
      <c r="J675" s="57"/>
      <c r="K675" s="57"/>
      <c r="L675" s="57"/>
      <c r="M675" s="57"/>
      <c r="N675" s="57"/>
      <c r="O675" s="57"/>
      <c r="P675" s="57"/>
      <c r="Q675" s="57"/>
      <c r="R675" s="2210"/>
      <c r="S675" s="256"/>
    </row>
    <row r="676" spans="1:19">
      <c r="A676" s="256"/>
      <c r="B676" s="57"/>
      <c r="C676" s="57"/>
      <c r="D676" s="57"/>
      <c r="E676" s="57"/>
      <c r="F676" s="57"/>
      <c r="G676" s="57"/>
      <c r="H676" s="57"/>
      <c r="I676" s="57"/>
      <c r="J676" s="57"/>
      <c r="K676" s="57"/>
      <c r="L676" s="57"/>
      <c r="M676" s="57"/>
      <c r="N676" s="57"/>
      <c r="O676" s="57"/>
      <c r="P676" s="57"/>
      <c r="Q676" s="57"/>
      <c r="R676" s="2210"/>
      <c r="S676" s="256"/>
    </row>
    <row r="677" spans="1:19">
      <c r="A677" s="256"/>
      <c r="B677" s="57"/>
      <c r="C677" s="57"/>
      <c r="D677" s="57"/>
      <c r="E677" s="57"/>
      <c r="F677" s="57"/>
      <c r="G677" s="57"/>
      <c r="H677" s="57"/>
      <c r="I677" s="57"/>
      <c r="J677" s="57"/>
      <c r="K677" s="57"/>
      <c r="L677" s="57"/>
      <c r="M677" s="57"/>
      <c r="N677" s="57"/>
      <c r="O677" s="57"/>
      <c r="P677" s="57"/>
      <c r="Q677" s="57"/>
      <c r="R677" s="2210"/>
      <c r="S677" s="256"/>
    </row>
    <row r="678" spans="1:19">
      <c r="A678" s="256"/>
      <c r="B678" s="57"/>
      <c r="C678" s="57"/>
      <c r="D678" s="57"/>
      <c r="E678" s="57"/>
      <c r="F678" s="57"/>
      <c r="G678" s="57"/>
      <c r="H678" s="57"/>
      <c r="I678" s="57"/>
      <c r="J678" s="57"/>
      <c r="K678" s="57"/>
      <c r="L678" s="57"/>
      <c r="M678" s="57"/>
      <c r="N678" s="57"/>
      <c r="O678" s="57"/>
      <c r="P678" s="57"/>
      <c r="Q678" s="57"/>
      <c r="R678" s="2210"/>
      <c r="S678" s="256"/>
    </row>
    <row r="679" spans="1:19">
      <c r="A679" s="256"/>
      <c r="B679" s="57"/>
      <c r="C679" s="57"/>
      <c r="D679" s="57"/>
      <c r="E679" s="57"/>
      <c r="F679" s="57"/>
      <c r="G679" s="57"/>
      <c r="H679" s="57"/>
      <c r="I679" s="57"/>
      <c r="J679" s="57"/>
      <c r="K679" s="57"/>
      <c r="L679" s="57"/>
      <c r="M679" s="57"/>
      <c r="N679" s="57"/>
      <c r="O679" s="57"/>
      <c r="P679" s="57"/>
      <c r="Q679" s="57"/>
      <c r="R679" s="2210"/>
      <c r="S679" s="256"/>
    </row>
    <row r="680" spans="1:19">
      <c r="A680" s="256"/>
      <c r="B680" s="57"/>
      <c r="C680" s="57"/>
      <c r="D680" s="57"/>
      <c r="E680" s="57"/>
      <c r="F680" s="57"/>
      <c r="G680" s="57"/>
      <c r="H680" s="57"/>
      <c r="I680" s="57"/>
      <c r="J680" s="57"/>
      <c r="K680" s="57"/>
      <c r="L680" s="57"/>
      <c r="M680" s="57"/>
      <c r="N680" s="57"/>
      <c r="O680" s="57"/>
      <c r="P680" s="57"/>
      <c r="Q680" s="57"/>
      <c r="R680" s="2210"/>
      <c r="S680" s="256"/>
    </row>
    <row r="681" spans="1:19">
      <c r="A681" s="256"/>
      <c r="B681" s="57"/>
      <c r="C681" s="57"/>
      <c r="D681" s="57"/>
      <c r="E681" s="57"/>
      <c r="F681" s="57"/>
      <c r="G681" s="57"/>
      <c r="H681" s="57"/>
      <c r="I681" s="57"/>
      <c r="J681" s="57"/>
      <c r="K681" s="57"/>
      <c r="L681" s="57"/>
      <c r="M681" s="57"/>
      <c r="N681" s="57"/>
      <c r="O681" s="57"/>
      <c r="P681" s="57"/>
      <c r="Q681" s="57"/>
      <c r="R681" s="2210"/>
      <c r="S681" s="256"/>
    </row>
    <row r="682" spans="1:19">
      <c r="A682" s="256"/>
      <c r="B682" s="57"/>
      <c r="C682" s="57"/>
      <c r="D682" s="57"/>
      <c r="E682" s="57"/>
      <c r="F682" s="57"/>
      <c r="G682" s="57"/>
      <c r="H682" s="57"/>
      <c r="I682" s="57"/>
      <c r="J682" s="57"/>
      <c r="K682" s="57"/>
      <c r="L682" s="57"/>
      <c r="M682" s="57"/>
      <c r="N682" s="57"/>
      <c r="O682" s="57"/>
      <c r="P682" s="57"/>
      <c r="Q682" s="57"/>
      <c r="R682" s="221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779" customWidth="1"/>
    <col min="2" max="2" width="13.25" style="2785" customWidth="1"/>
    <col min="3" max="3" width="15.625" style="2785" customWidth="1"/>
    <col min="4" max="4" width="9.375" style="2785" bestFit="1" customWidth="1"/>
    <col min="5" max="5" width="13.5" style="2785" customWidth="1"/>
    <col min="6" max="6" width="9" style="2785"/>
    <col min="7" max="7" width="9.375" style="2785" bestFit="1" customWidth="1"/>
    <col min="8" max="9" width="9" style="2785"/>
    <col min="10" max="10" width="9.375" style="2785" bestFit="1" customWidth="1"/>
    <col min="11" max="11" width="4" style="2779" customWidth="1"/>
    <col min="12" max="12" width="5.125" style="2785" customWidth="1"/>
    <col min="13" max="13" width="13.75" style="2785" customWidth="1"/>
    <col min="14" max="256" width="9" style="2785"/>
    <col min="257" max="257" width="4.875" style="2777" customWidth="1"/>
    <col min="258" max="258" width="13.25" style="2777" customWidth="1"/>
    <col min="259" max="259" width="15.625" style="2777" customWidth="1"/>
    <col min="260" max="260" width="9.375" style="2777" bestFit="1" customWidth="1"/>
    <col min="261" max="261" width="13.5" style="2777" customWidth="1"/>
    <col min="262" max="262" width="9" style="2777"/>
    <col min="263" max="263" width="9.375" style="2777" bestFit="1" customWidth="1"/>
    <col min="264" max="265" width="9" style="2777"/>
    <col min="266" max="266" width="9.375" style="2777" bestFit="1" customWidth="1"/>
    <col min="267" max="267" width="4" style="2777" customWidth="1"/>
    <col min="268" max="268" width="5.125" style="2777" customWidth="1"/>
    <col min="269" max="269" width="13.75" style="2777" customWidth="1"/>
    <col min="270" max="512" width="9" style="2777"/>
    <col min="513" max="513" width="4.875" style="2777" customWidth="1"/>
    <col min="514" max="514" width="13.25" style="2777" customWidth="1"/>
    <col min="515" max="515" width="15.625" style="2777" customWidth="1"/>
    <col min="516" max="516" width="9.375" style="2777" bestFit="1" customWidth="1"/>
    <col min="517" max="517" width="13.5" style="2777" customWidth="1"/>
    <col min="518" max="518" width="9" style="2777"/>
    <col min="519" max="519" width="9.375" style="2777" bestFit="1" customWidth="1"/>
    <col min="520" max="521" width="9" style="2777"/>
    <col min="522" max="522" width="9.375" style="2777" bestFit="1" customWidth="1"/>
    <col min="523" max="523" width="4" style="2777" customWidth="1"/>
    <col min="524" max="524" width="5.125" style="2777" customWidth="1"/>
    <col min="525" max="525" width="13.75" style="2777" customWidth="1"/>
    <col min="526" max="768" width="9" style="2777"/>
    <col min="769" max="769" width="4.875" style="2777" customWidth="1"/>
    <col min="770" max="770" width="13.25" style="2777" customWidth="1"/>
    <col min="771" max="771" width="15.625" style="2777" customWidth="1"/>
    <col min="772" max="772" width="9.375" style="2777" bestFit="1" customWidth="1"/>
    <col min="773" max="773" width="13.5" style="2777" customWidth="1"/>
    <col min="774" max="774" width="9" style="2777"/>
    <col min="775" max="775" width="9.375" style="2777" bestFit="1" customWidth="1"/>
    <col min="776" max="777" width="9" style="2777"/>
    <col min="778" max="778" width="9.375" style="2777" bestFit="1" customWidth="1"/>
    <col min="779" max="779" width="4" style="2777" customWidth="1"/>
    <col min="780" max="780" width="5.125" style="2777" customWidth="1"/>
    <col min="781" max="781" width="13.75" style="2777" customWidth="1"/>
    <col min="782" max="1024" width="9" style="2777"/>
    <col min="1025" max="1025" width="4.875" style="2777" customWidth="1"/>
    <col min="1026" max="1026" width="13.25" style="2777" customWidth="1"/>
    <col min="1027" max="1027" width="15.625" style="2777" customWidth="1"/>
    <col min="1028" max="1028" width="9.375" style="2777" bestFit="1" customWidth="1"/>
    <col min="1029" max="1029" width="13.5" style="2777" customWidth="1"/>
    <col min="1030" max="1030" width="9" style="2777"/>
    <col min="1031" max="1031" width="9.375" style="2777" bestFit="1" customWidth="1"/>
    <col min="1032" max="1033" width="9" style="2777"/>
    <col min="1034" max="1034" width="9.375" style="2777" bestFit="1" customWidth="1"/>
    <col min="1035" max="1035" width="4" style="2777" customWidth="1"/>
    <col min="1036" max="1036" width="5.125" style="2777" customWidth="1"/>
    <col min="1037" max="1037" width="13.75" style="2777" customWidth="1"/>
    <col min="1038" max="1280" width="9" style="2777"/>
    <col min="1281" max="1281" width="4.875" style="2777" customWidth="1"/>
    <col min="1282" max="1282" width="13.25" style="2777" customWidth="1"/>
    <col min="1283" max="1283" width="15.625" style="2777" customWidth="1"/>
    <col min="1284" max="1284" width="9.375" style="2777" bestFit="1" customWidth="1"/>
    <col min="1285" max="1285" width="13.5" style="2777" customWidth="1"/>
    <col min="1286" max="1286" width="9" style="2777"/>
    <col min="1287" max="1287" width="9.375" style="2777" bestFit="1" customWidth="1"/>
    <col min="1288" max="1289" width="9" style="2777"/>
    <col min="1290" max="1290" width="9.375" style="2777" bestFit="1" customWidth="1"/>
    <col min="1291" max="1291" width="4" style="2777" customWidth="1"/>
    <col min="1292" max="1292" width="5.125" style="2777" customWidth="1"/>
    <col min="1293" max="1293" width="13.75" style="2777" customWidth="1"/>
    <col min="1294" max="1536" width="9" style="2777"/>
    <col min="1537" max="1537" width="4.875" style="2777" customWidth="1"/>
    <col min="1538" max="1538" width="13.25" style="2777" customWidth="1"/>
    <col min="1539" max="1539" width="15.625" style="2777" customWidth="1"/>
    <col min="1540" max="1540" width="9.375" style="2777" bestFit="1" customWidth="1"/>
    <col min="1541" max="1541" width="13.5" style="2777" customWidth="1"/>
    <col min="1542" max="1542" width="9" style="2777"/>
    <col min="1543" max="1543" width="9.375" style="2777" bestFit="1" customWidth="1"/>
    <col min="1544" max="1545" width="9" style="2777"/>
    <col min="1546" max="1546" width="9.375" style="2777" bestFit="1" customWidth="1"/>
    <col min="1547" max="1547" width="4" style="2777" customWidth="1"/>
    <col min="1548" max="1548" width="5.125" style="2777" customWidth="1"/>
    <col min="1549" max="1549" width="13.75" style="2777" customWidth="1"/>
    <col min="1550" max="1792" width="9" style="2777"/>
    <col min="1793" max="1793" width="4.875" style="2777" customWidth="1"/>
    <col min="1794" max="1794" width="13.25" style="2777" customWidth="1"/>
    <col min="1795" max="1795" width="15.625" style="2777" customWidth="1"/>
    <col min="1796" max="1796" width="9.375" style="2777" bestFit="1" customWidth="1"/>
    <col min="1797" max="1797" width="13.5" style="2777" customWidth="1"/>
    <col min="1798" max="1798" width="9" style="2777"/>
    <col min="1799" max="1799" width="9.375" style="2777" bestFit="1" customWidth="1"/>
    <col min="1800" max="1801" width="9" style="2777"/>
    <col min="1802" max="1802" width="9.375" style="2777" bestFit="1" customWidth="1"/>
    <col min="1803" max="1803" width="4" style="2777" customWidth="1"/>
    <col min="1804" max="1804" width="5.125" style="2777" customWidth="1"/>
    <col min="1805" max="1805" width="13.75" style="2777" customWidth="1"/>
    <col min="1806" max="2048" width="9" style="2777"/>
    <col min="2049" max="2049" width="4.875" style="2777" customWidth="1"/>
    <col min="2050" max="2050" width="13.25" style="2777" customWidth="1"/>
    <col min="2051" max="2051" width="15.625" style="2777" customWidth="1"/>
    <col min="2052" max="2052" width="9.375" style="2777" bestFit="1" customWidth="1"/>
    <col min="2053" max="2053" width="13.5" style="2777" customWidth="1"/>
    <col min="2054" max="2054" width="9" style="2777"/>
    <col min="2055" max="2055" width="9.375" style="2777" bestFit="1" customWidth="1"/>
    <col min="2056" max="2057" width="9" style="2777"/>
    <col min="2058" max="2058" width="9.375" style="2777" bestFit="1" customWidth="1"/>
    <col min="2059" max="2059" width="4" style="2777" customWidth="1"/>
    <col min="2060" max="2060" width="5.125" style="2777" customWidth="1"/>
    <col min="2061" max="2061" width="13.75" style="2777" customWidth="1"/>
    <col min="2062" max="2304" width="9" style="2777"/>
    <col min="2305" max="2305" width="4.875" style="2777" customWidth="1"/>
    <col min="2306" max="2306" width="13.25" style="2777" customWidth="1"/>
    <col min="2307" max="2307" width="15.625" style="2777" customWidth="1"/>
    <col min="2308" max="2308" width="9.375" style="2777" bestFit="1" customWidth="1"/>
    <col min="2309" max="2309" width="13.5" style="2777" customWidth="1"/>
    <col min="2310" max="2310" width="9" style="2777"/>
    <col min="2311" max="2311" width="9.375" style="2777" bestFit="1" customWidth="1"/>
    <col min="2312" max="2313" width="9" style="2777"/>
    <col min="2314" max="2314" width="9.375" style="2777" bestFit="1" customWidth="1"/>
    <col min="2315" max="2315" width="4" style="2777" customWidth="1"/>
    <col min="2316" max="2316" width="5.125" style="2777" customWidth="1"/>
    <col min="2317" max="2317" width="13.75" style="2777" customWidth="1"/>
    <col min="2318" max="2560" width="9" style="2777"/>
    <col min="2561" max="2561" width="4.875" style="2777" customWidth="1"/>
    <col min="2562" max="2562" width="13.25" style="2777" customWidth="1"/>
    <col min="2563" max="2563" width="15.625" style="2777" customWidth="1"/>
    <col min="2564" max="2564" width="9.375" style="2777" bestFit="1" customWidth="1"/>
    <col min="2565" max="2565" width="13.5" style="2777" customWidth="1"/>
    <col min="2566" max="2566" width="9" style="2777"/>
    <col min="2567" max="2567" width="9.375" style="2777" bestFit="1" customWidth="1"/>
    <col min="2568" max="2569" width="9" style="2777"/>
    <col min="2570" max="2570" width="9.375" style="2777" bestFit="1" customWidth="1"/>
    <col min="2571" max="2571" width="4" style="2777" customWidth="1"/>
    <col min="2572" max="2572" width="5.125" style="2777" customWidth="1"/>
    <col min="2573" max="2573" width="13.75" style="2777" customWidth="1"/>
    <col min="2574" max="2816" width="9" style="2777"/>
    <col min="2817" max="2817" width="4.875" style="2777" customWidth="1"/>
    <col min="2818" max="2818" width="13.25" style="2777" customWidth="1"/>
    <col min="2819" max="2819" width="15.625" style="2777" customWidth="1"/>
    <col min="2820" max="2820" width="9.375" style="2777" bestFit="1" customWidth="1"/>
    <col min="2821" max="2821" width="13.5" style="2777" customWidth="1"/>
    <col min="2822" max="2822" width="9" style="2777"/>
    <col min="2823" max="2823" width="9.375" style="2777" bestFit="1" customWidth="1"/>
    <col min="2824" max="2825" width="9" style="2777"/>
    <col min="2826" max="2826" width="9.375" style="2777" bestFit="1" customWidth="1"/>
    <col min="2827" max="2827" width="4" style="2777" customWidth="1"/>
    <col min="2828" max="2828" width="5.125" style="2777" customWidth="1"/>
    <col min="2829" max="2829" width="13.75" style="2777" customWidth="1"/>
    <col min="2830" max="3072" width="9" style="2777"/>
    <col min="3073" max="3073" width="4.875" style="2777" customWidth="1"/>
    <col min="3074" max="3074" width="13.25" style="2777" customWidth="1"/>
    <col min="3075" max="3075" width="15.625" style="2777" customWidth="1"/>
    <col min="3076" max="3076" width="9.375" style="2777" bestFit="1" customWidth="1"/>
    <col min="3077" max="3077" width="13.5" style="2777" customWidth="1"/>
    <col min="3078" max="3078" width="9" style="2777"/>
    <col min="3079" max="3079" width="9.375" style="2777" bestFit="1" customWidth="1"/>
    <col min="3080" max="3081" width="9" style="2777"/>
    <col min="3082" max="3082" width="9.375" style="2777" bestFit="1" customWidth="1"/>
    <col min="3083" max="3083" width="4" style="2777" customWidth="1"/>
    <col min="3084" max="3084" width="5.125" style="2777" customWidth="1"/>
    <col min="3085" max="3085" width="13.75" style="2777" customWidth="1"/>
    <col min="3086" max="3328" width="9" style="2777"/>
    <col min="3329" max="3329" width="4.875" style="2777" customWidth="1"/>
    <col min="3330" max="3330" width="13.25" style="2777" customWidth="1"/>
    <col min="3331" max="3331" width="15.625" style="2777" customWidth="1"/>
    <col min="3332" max="3332" width="9.375" style="2777" bestFit="1" customWidth="1"/>
    <col min="3333" max="3333" width="13.5" style="2777" customWidth="1"/>
    <col min="3334" max="3334" width="9" style="2777"/>
    <col min="3335" max="3335" width="9.375" style="2777" bestFit="1" customWidth="1"/>
    <col min="3336" max="3337" width="9" style="2777"/>
    <col min="3338" max="3338" width="9.375" style="2777" bestFit="1" customWidth="1"/>
    <col min="3339" max="3339" width="4" style="2777" customWidth="1"/>
    <col min="3340" max="3340" width="5.125" style="2777" customWidth="1"/>
    <col min="3341" max="3341" width="13.75" style="2777" customWidth="1"/>
    <col min="3342" max="3584" width="9" style="2777"/>
    <col min="3585" max="3585" width="4.875" style="2777" customWidth="1"/>
    <col min="3586" max="3586" width="13.25" style="2777" customWidth="1"/>
    <col min="3587" max="3587" width="15.625" style="2777" customWidth="1"/>
    <col min="3588" max="3588" width="9.375" style="2777" bestFit="1" customWidth="1"/>
    <col min="3589" max="3589" width="13.5" style="2777" customWidth="1"/>
    <col min="3590" max="3590" width="9" style="2777"/>
    <col min="3591" max="3591" width="9.375" style="2777" bestFit="1" customWidth="1"/>
    <col min="3592" max="3593" width="9" style="2777"/>
    <col min="3594" max="3594" width="9.375" style="2777" bestFit="1" customWidth="1"/>
    <col min="3595" max="3595" width="4" style="2777" customWidth="1"/>
    <col min="3596" max="3596" width="5.125" style="2777" customWidth="1"/>
    <col min="3597" max="3597" width="13.75" style="2777" customWidth="1"/>
    <col min="3598" max="3840" width="9" style="2777"/>
    <col min="3841" max="3841" width="4.875" style="2777" customWidth="1"/>
    <col min="3842" max="3842" width="13.25" style="2777" customWidth="1"/>
    <col min="3843" max="3843" width="15.625" style="2777" customWidth="1"/>
    <col min="3844" max="3844" width="9.375" style="2777" bestFit="1" customWidth="1"/>
    <col min="3845" max="3845" width="13.5" style="2777" customWidth="1"/>
    <col min="3846" max="3846" width="9" style="2777"/>
    <col min="3847" max="3847" width="9.375" style="2777" bestFit="1" customWidth="1"/>
    <col min="3848" max="3849" width="9" style="2777"/>
    <col min="3850" max="3850" width="9.375" style="2777" bestFit="1" customWidth="1"/>
    <col min="3851" max="3851" width="4" style="2777" customWidth="1"/>
    <col min="3852" max="3852" width="5.125" style="2777" customWidth="1"/>
    <col min="3853" max="3853" width="13.75" style="2777" customWidth="1"/>
    <col min="3854" max="4096" width="9" style="2777"/>
    <col min="4097" max="4097" width="4.875" style="2777" customWidth="1"/>
    <col min="4098" max="4098" width="13.25" style="2777" customWidth="1"/>
    <col min="4099" max="4099" width="15.625" style="2777" customWidth="1"/>
    <col min="4100" max="4100" width="9.375" style="2777" bestFit="1" customWidth="1"/>
    <col min="4101" max="4101" width="13.5" style="2777" customWidth="1"/>
    <col min="4102" max="4102" width="9" style="2777"/>
    <col min="4103" max="4103" width="9.375" style="2777" bestFit="1" customWidth="1"/>
    <col min="4104" max="4105" width="9" style="2777"/>
    <col min="4106" max="4106" width="9.375" style="2777" bestFit="1" customWidth="1"/>
    <col min="4107" max="4107" width="4" style="2777" customWidth="1"/>
    <col min="4108" max="4108" width="5.125" style="2777" customWidth="1"/>
    <col min="4109" max="4109" width="13.75" style="2777" customWidth="1"/>
    <col min="4110" max="4352" width="9" style="2777"/>
    <col min="4353" max="4353" width="4.875" style="2777" customWidth="1"/>
    <col min="4354" max="4354" width="13.25" style="2777" customWidth="1"/>
    <col min="4355" max="4355" width="15.625" style="2777" customWidth="1"/>
    <col min="4356" max="4356" width="9.375" style="2777" bestFit="1" customWidth="1"/>
    <col min="4357" max="4357" width="13.5" style="2777" customWidth="1"/>
    <col min="4358" max="4358" width="9" style="2777"/>
    <col min="4359" max="4359" width="9.375" style="2777" bestFit="1" customWidth="1"/>
    <col min="4360" max="4361" width="9" style="2777"/>
    <col min="4362" max="4362" width="9.375" style="2777" bestFit="1" customWidth="1"/>
    <col min="4363" max="4363" width="4" style="2777" customWidth="1"/>
    <col min="4364" max="4364" width="5.125" style="2777" customWidth="1"/>
    <col min="4365" max="4365" width="13.75" style="2777" customWidth="1"/>
    <col min="4366" max="4608" width="9" style="2777"/>
    <col min="4609" max="4609" width="4.875" style="2777" customWidth="1"/>
    <col min="4610" max="4610" width="13.25" style="2777" customWidth="1"/>
    <col min="4611" max="4611" width="15.625" style="2777" customWidth="1"/>
    <col min="4612" max="4612" width="9.375" style="2777" bestFit="1" customWidth="1"/>
    <col min="4613" max="4613" width="13.5" style="2777" customWidth="1"/>
    <col min="4614" max="4614" width="9" style="2777"/>
    <col min="4615" max="4615" width="9.375" style="2777" bestFit="1" customWidth="1"/>
    <col min="4616" max="4617" width="9" style="2777"/>
    <col min="4618" max="4618" width="9.375" style="2777" bestFit="1" customWidth="1"/>
    <col min="4619" max="4619" width="4" style="2777" customWidth="1"/>
    <col min="4620" max="4620" width="5.125" style="2777" customWidth="1"/>
    <col min="4621" max="4621" width="13.75" style="2777" customWidth="1"/>
    <col min="4622" max="4864" width="9" style="2777"/>
    <col min="4865" max="4865" width="4.875" style="2777" customWidth="1"/>
    <col min="4866" max="4866" width="13.25" style="2777" customWidth="1"/>
    <col min="4867" max="4867" width="15.625" style="2777" customWidth="1"/>
    <col min="4868" max="4868" width="9.375" style="2777" bestFit="1" customWidth="1"/>
    <col min="4869" max="4869" width="13.5" style="2777" customWidth="1"/>
    <col min="4870" max="4870" width="9" style="2777"/>
    <col min="4871" max="4871" width="9.375" style="2777" bestFit="1" customWidth="1"/>
    <col min="4872" max="4873" width="9" style="2777"/>
    <col min="4874" max="4874" width="9.375" style="2777" bestFit="1" customWidth="1"/>
    <col min="4875" max="4875" width="4" style="2777" customWidth="1"/>
    <col min="4876" max="4876" width="5.125" style="2777" customWidth="1"/>
    <col min="4877" max="4877" width="13.75" style="2777" customWidth="1"/>
    <col min="4878" max="5120" width="9" style="2777"/>
    <col min="5121" max="5121" width="4.875" style="2777" customWidth="1"/>
    <col min="5122" max="5122" width="13.25" style="2777" customWidth="1"/>
    <col min="5123" max="5123" width="15.625" style="2777" customWidth="1"/>
    <col min="5124" max="5124" width="9.375" style="2777" bestFit="1" customWidth="1"/>
    <col min="5125" max="5125" width="13.5" style="2777" customWidth="1"/>
    <col min="5126" max="5126" width="9" style="2777"/>
    <col min="5127" max="5127" width="9.375" style="2777" bestFit="1" customWidth="1"/>
    <col min="5128" max="5129" width="9" style="2777"/>
    <col min="5130" max="5130" width="9.375" style="2777" bestFit="1" customWidth="1"/>
    <col min="5131" max="5131" width="4" style="2777" customWidth="1"/>
    <col min="5132" max="5132" width="5.125" style="2777" customWidth="1"/>
    <col min="5133" max="5133" width="13.75" style="2777" customWidth="1"/>
    <col min="5134" max="5376" width="9" style="2777"/>
    <col min="5377" max="5377" width="4.875" style="2777" customWidth="1"/>
    <col min="5378" max="5378" width="13.25" style="2777" customWidth="1"/>
    <col min="5379" max="5379" width="15.625" style="2777" customWidth="1"/>
    <col min="5380" max="5380" width="9.375" style="2777" bestFit="1" customWidth="1"/>
    <col min="5381" max="5381" width="13.5" style="2777" customWidth="1"/>
    <col min="5382" max="5382" width="9" style="2777"/>
    <col min="5383" max="5383" width="9.375" style="2777" bestFit="1" customWidth="1"/>
    <col min="5384" max="5385" width="9" style="2777"/>
    <col min="5386" max="5386" width="9.375" style="2777" bestFit="1" customWidth="1"/>
    <col min="5387" max="5387" width="4" style="2777" customWidth="1"/>
    <col min="5388" max="5388" width="5.125" style="2777" customWidth="1"/>
    <col min="5389" max="5389" width="13.75" style="2777" customWidth="1"/>
    <col min="5390" max="5632" width="9" style="2777"/>
    <col min="5633" max="5633" width="4.875" style="2777" customWidth="1"/>
    <col min="5634" max="5634" width="13.25" style="2777" customWidth="1"/>
    <col min="5635" max="5635" width="15.625" style="2777" customWidth="1"/>
    <col min="5636" max="5636" width="9.375" style="2777" bestFit="1" customWidth="1"/>
    <col min="5637" max="5637" width="13.5" style="2777" customWidth="1"/>
    <col min="5638" max="5638" width="9" style="2777"/>
    <col min="5639" max="5639" width="9.375" style="2777" bestFit="1" customWidth="1"/>
    <col min="5640" max="5641" width="9" style="2777"/>
    <col min="5642" max="5642" width="9.375" style="2777" bestFit="1" customWidth="1"/>
    <col min="5643" max="5643" width="4" style="2777" customWidth="1"/>
    <col min="5644" max="5644" width="5.125" style="2777" customWidth="1"/>
    <col min="5645" max="5645" width="13.75" style="2777" customWidth="1"/>
    <col min="5646" max="5888" width="9" style="2777"/>
    <col min="5889" max="5889" width="4.875" style="2777" customWidth="1"/>
    <col min="5890" max="5890" width="13.25" style="2777" customWidth="1"/>
    <col min="5891" max="5891" width="15.625" style="2777" customWidth="1"/>
    <col min="5892" max="5892" width="9.375" style="2777" bestFit="1" customWidth="1"/>
    <col min="5893" max="5893" width="13.5" style="2777" customWidth="1"/>
    <col min="5894" max="5894" width="9" style="2777"/>
    <col min="5895" max="5895" width="9.375" style="2777" bestFit="1" customWidth="1"/>
    <col min="5896" max="5897" width="9" style="2777"/>
    <col min="5898" max="5898" width="9.375" style="2777" bestFit="1" customWidth="1"/>
    <col min="5899" max="5899" width="4" style="2777" customWidth="1"/>
    <col min="5900" max="5900" width="5.125" style="2777" customWidth="1"/>
    <col min="5901" max="5901" width="13.75" style="2777" customWidth="1"/>
    <col min="5902" max="6144" width="9" style="2777"/>
    <col min="6145" max="6145" width="4.875" style="2777" customWidth="1"/>
    <col min="6146" max="6146" width="13.25" style="2777" customWidth="1"/>
    <col min="6147" max="6147" width="15.625" style="2777" customWidth="1"/>
    <col min="6148" max="6148" width="9.375" style="2777" bestFit="1" customWidth="1"/>
    <col min="6149" max="6149" width="13.5" style="2777" customWidth="1"/>
    <col min="6150" max="6150" width="9" style="2777"/>
    <col min="6151" max="6151" width="9.375" style="2777" bestFit="1" customWidth="1"/>
    <col min="6152" max="6153" width="9" style="2777"/>
    <col min="6154" max="6154" width="9.375" style="2777" bestFit="1" customWidth="1"/>
    <col min="6155" max="6155" width="4" style="2777" customWidth="1"/>
    <col min="6156" max="6156" width="5.125" style="2777" customWidth="1"/>
    <col min="6157" max="6157" width="13.75" style="2777" customWidth="1"/>
    <col min="6158" max="6400" width="9" style="2777"/>
    <col min="6401" max="6401" width="4.875" style="2777" customWidth="1"/>
    <col min="6402" max="6402" width="13.25" style="2777" customWidth="1"/>
    <col min="6403" max="6403" width="15.625" style="2777" customWidth="1"/>
    <col min="6404" max="6404" width="9.375" style="2777" bestFit="1" customWidth="1"/>
    <col min="6405" max="6405" width="13.5" style="2777" customWidth="1"/>
    <col min="6406" max="6406" width="9" style="2777"/>
    <col min="6407" max="6407" width="9.375" style="2777" bestFit="1" customWidth="1"/>
    <col min="6408" max="6409" width="9" style="2777"/>
    <col min="6410" max="6410" width="9.375" style="2777" bestFit="1" customWidth="1"/>
    <col min="6411" max="6411" width="4" style="2777" customWidth="1"/>
    <col min="6412" max="6412" width="5.125" style="2777" customWidth="1"/>
    <col min="6413" max="6413" width="13.75" style="2777" customWidth="1"/>
    <col min="6414" max="6656" width="9" style="2777"/>
    <col min="6657" max="6657" width="4.875" style="2777" customWidth="1"/>
    <col min="6658" max="6658" width="13.25" style="2777" customWidth="1"/>
    <col min="6659" max="6659" width="15.625" style="2777" customWidth="1"/>
    <col min="6660" max="6660" width="9.375" style="2777" bestFit="1" customWidth="1"/>
    <col min="6661" max="6661" width="13.5" style="2777" customWidth="1"/>
    <col min="6662" max="6662" width="9" style="2777"/>
    <col min="6663" max="6663" width="9.375" style="2777" bestFit="1" customWidth="1"/>
    <col min="6664" max="6665" width="9" style="2777"/>
    <col min="6666" max="6666" width="9.375" style="2777" bestFit="1" customWidth="1"/>
    <col min="6667" max="6667" width="4" style="2777" customWidth="1"/>
    <col min="6668" max="6668" width="5.125" style="2777" customWidth="1"/>
    <col min="6669" max="6669" width="13.75" style="2777" customWidth="1"/>
    <col min="6670" max="6912" width="9" style="2777"/>
    <col min="6913" max="6913" width="4.875" style="2777" customWidth="1"/>
    <col min="6914" max="6914" width="13.25" style="2777" customWidth="1"/>
    <col min="6915" max="6915" width="15.625" style="2777" customWidth="1"/>
    <col min="6916" max="6916" width="9.375" style="2777" bestFit="1" customWidth="1"/>
    <col min="6917" max="6917" width="13.5" style="2777" customWidth="1"/>
    <col min="6918" max="6918" width="9" style="2777"/>
    <col min="6919" max="6919" width="9.375" style="2777" bestFit="1" customWidth="1"/>
    <col min="6920" max="6921" width="9" style="2777"/>
    <col min="6922" max="6922" width="9.375" style="2777" bestFit="1" customWidth="1"/>
    <col min="6923" max="6923" width="4" style="2777" customWidth="1"/>
    <col min="6924" max="6924" width="5.125" style="2777" customWidth="1"/>
    <col min="6925" max="6925" width="13.75" style="2777" customWidth="1"/>
    <col min="6926" max="7168" width="9" style="2777"/>
    <col min="7169" max="7169" width="4.875" style="2777" customWidth="1"/>
    <col min="7170" max="7170" width="13.25" style="2777" customWidth="1"/>
    <col min="7171" max="7171" width="15.625" style="2777" customWidth="1"/>
    <col min="7172" max="7172" width="9.375" style="2777" bestFit="1" customWidth="1"/>
    <col min="7173" max="7173" width="13.5" style="2777" customWidth="1"/>
    <col min="7174" max="7174" width="9" style="2777"/>
    <col min="7175" max="7175" width="9.375" style="2777" bestFit="1" customWidth="1"/>
    <col min="7176" max="7177" width="9" style="2777"/>
    <col min="7178" max="7178" width="9.375" style="2777" bestFit="1" customWidth="1"/>
    <col min="7179" max="7179" width="4" style="2777" customWidth="1"/>
    <col min="7180" max="7180" width="5.125" style="2777" customWidth="1"/>
    <col min="7181" max="7181" width="13.75" style="2777" customWidth="1"/>
    <col min="7182" max="7424" width="9" style="2777"/>
    <col min="7425" max="7425" width="4.875" style="2777" customWidth="1"/>
    <col min="7426" max="7426" width="13.25" style="2777" customWidth="1"/>
    <col min="7427" max="7427" width="15.625" style="2777" customWidth="1"/>
    <col min="7428" max="7428" width="9.375" style="2777" bestFit="1" customWidth="1"/>
    <col min="7429" max="7429" width="13.5" style="2777" customWidth="1"/>
    <col min="7430" max="7430" width="9" style="2777"/>
    <col min="7431" max="7431" width="9.375" style="2777" bestFit="1" customWidth="1"/>
    <col min="7432" max="7433" width="9" style="2777"/>
    <col min="7434" max="7434" width="9.375" style="2777" bestFit="1" customWidth="1"/>
    <col min="7435" max="7435" width="4" style="2777" customWidth="1"/>
    <col min="7436" max="7436" width="5.125" style="2777" customWidth="1"/>
    <col min="7437" max="7437" width="13.75" style="2777" customWidth="1"/>
    <col min="7438" max="7680" width="9" style="2777"/>
    <col min="7681" max="7681" width="4.875" style="2777" customWidth="1"/>
    <col min="7682" max="7682" width="13.25" style="2777" customWidth="1"/>
    <col min="7683" max="7683" width="15.625" style="2777" customWidth="1"/>
    <col min="7684" max="7684" width="9.375" style="2777" bestFit="1" customWidth="1"/>
    <col min="7685" max="7685" width="13.5" style="2777" customWidth="1"/>
    <col min="7686" max="7686" width="9" style="2777"/>
    <col min="7687" max="7687" width="9.375" style="2777" bestFit="1" customWidth="1"/>
    <col min="7688" max="7689" width="9" style="2777"/>
    <col min="7690" max="7690" width="9.375" style="2777" bestFit="1" customWidth="1"/>
    <col min="7691" max="7691" width="4" style="2777" customWidth="1"/>
    <col min="7692" max="7692" width="5.125" style="2777" customWidth="1"/>
    <col min="7693" max="7693" width="13.75" style="2777" customWidth="1"/>
    <col min="7694" max="7936" width="9" style="2777"/>
    <col min="7937" max="7937" width="4.875" style="2777" customWidth="1"/>
    <col min="7938" max="7938" width="13.25" style="2777" customWidth="1"/>
    <col min="7939" max="7939" width="15.625" style="2777" customWidth="1"/>
    <col min="7940" max="7940" width="9.375" style="2777" bestFit="1" customWidth="1"/>
    <col min="7941" max="7941" width="13.5" style="2777" customWidth="1"/>
    <col min="7942" max="7942" width="9" style="2777"/>
    <col min="7943" max="7943" width="9.375" style="2777" bestFit="1" customWidth="1"/>
    <col min="7944" max="7945" width="9" style="2777"/>
    <col min="7946" max="7946" width="9.375" style="2777" bestFit="1" customWidth="1"/>
    <col min="7947" max="7947" width="4" style="2777" customWidth="1"/>
    <col min="7948" max="7948" width="5.125" style="2777" customWidth="1"/>
    <col min="7949" max="7949" width="13.75" style="2777" customWidth="1"/>
    <col min="7950" max="8192" width="9" style="2777"/>
    <col min="8193" max="8193" width="4.875" style="2777" customWidth="1"/>
    <col min="8194" max="8194" width="13.25" style="2777" customWidth="1"/>
    <col min="8195" max="8195" width="15.625" style="2777" customWidth="1"/>
    <col min="8196" max="8196" width="9.375" style="2777" bestFit="1" customWidth="1"/>
    <col min="8197" max="8197" width="13.5" style="2777" customWidth="1"/>
    <col min="8198" max="8198" width="9" style="2777"/>
    <col min="8199" max="8199" width="9.375" style="2777" bestFit="1" customWidth="1"/>
    <col min="8200" max="8201" width="9" style="2777"/>
    <col min="8202" max="8202" width="9.375" style="2777" bestFit="1" customWidth="1"/>
    <col min="8203" max="8203" width="4" style="2777" customWidth="1"/>
    <col min="8204" max="8204" width="5.125" style="2777" customWidth="1"/>
    <col min="8205" max="8205" width="13.75" style="2777" customWidth="1"/>
    <col min="8206" max="8448" width="9" style="2777"/>
    <col min="8449" max="8449" width="4.875" style="2777" customWidth="1"/>
    <col min="8450" max="8450" width="13.25" style="2777" customWidth="1"/>
    <col min="8451" max="8451" width="15.625" style="2777" customWidth="1"/>
    <col min="8452" max="8452" width="9.375" style="2777" bestFit="1" customWidth="1"/>
    <col min="8453" max="8453" width="13.5" style="2777" customWidth="1"/>
    <col min="8454" max="8454" width="9" style="2777"/>
    <col min="8455" max="8455" width="9.375" style="2777" bestFit="1" customWidth="1"/>
    <col min="8456" max="8457" width="9" style="2777"/>
    <col min="8458" max="8458" width="9.375" style="2777" bestFit="1" customWidth="1"/>
    <col min="8459" max="8459" width="4" style="2777" customWidth="1"/>
    <col min="8460" max="8460" width="5.125" style="2777" customWidth="1"/>
    <col min="8461" max="8461" width="13.75" style="2777" customWidth="1"/>
    <col min="8462" max="8704" width="9" style="2777"/>
    <col min="8705" max="8705" width="4.875" style="2777" customWidth="1"/>
    <col min="8706" max="8706" width="13.25" style="2777" customWidth="1"/>
    <col min="8707" max="8707" width="15.625" style="2777" customWidth="1"/>
    <col min="8708" max="8708" width="9.375" style="2777" bestFit="1" customWidth="1"/>
    <col min="8709" max="8709" width="13.5" style="2777" customWidth="1"/>
    <col min="8710" max="8710" width="9" style="2777"/>
    <col min="8711" max="8711" width="9.375" style="2777" bestFit="1" customWidth="1"/>
    <col min="8712" max="8713" width="9" style="2777"/>
    <col min="8714" max="8714" width="9.375" style="2777" bestFit="1" customWidth="1"/>
    <col min="8715" max="8715" width="4" style="2777" customWidth="1"/>
    <col min="8716" max="8716" width="5.125" style="2777" customWidth="1"/>
    <col min="8717" max="8717" width="13.75" style="2777" customWidth="1"/>
    <col min="8718" max="8960" width="9" style="2777"/>
    <col min="8961" max="8961" width="4.875" style="2777" customWidth="1"/>
    <col min="8962" max="8962" width="13.25" style="2777" customWidth="1"/>
    <col min="8963" max="8963" width="15.625" style="2777" customWidth="1"/>
    <col min="8964" max="8964" width="9.375" style="2777" bestFit="1" customWidth="1"/>
    <col min="8965" max="8965" width="13.5" style="2777" customWidth="1"/>
    <col min="8966" max="8966" width="9" style="2777"/>
    <col min="8967" max="8967" width="9.375" style="2777" bestFit="1" customWidth="1"/>
    <col min="8968" max="8969" width="9" style="2777"/>
    <col min="8970" max="8970" width="9.375" style="2777" bestFit="1" customWidth="1"/>
    <col min="8971" max="8971" width="4" style="2777" customWidth="1"/>
    <col min="8972" max="8972" width="5.125" style="2777" customWidth="1"/>
    <col min="8973" max="8973" width="13.75" style="2777" customWidth="1"/>
    <col min="8974" max="9216" width="9" style="2777"/>
    <col min="9217" max="9217" width="4.875" style="2777" customWidth="1"/>
    <col min="9218" max="9218" width="13.25" style="2777" customWidth="1"/>
    <col min="9219" max="9219" width="15.625" style="2777" customWidth="1"/>
    <col min="9220" max="9220" width="9.375" style="2777" bestFit="1" customWidth="1"/>
    <col min="9221" max="9221" width="13.5" style="2777" customWidth="1"/>
    <col min="9222" max="9222" width="9" style="2777"/>
    <col min="9223" max="9223" width="9.375" style="2777" bestFit="1" customWidth="1"/>
    <col min="9224" max="9225" width="9" style="2777"/>
    <col min="9226" max="9226" width="9.375" style="2777" bestFit="1" customWidth="1"/>
    <col min="9227" max="9227" width="4" style="2777" customWidth="1"/>
    <col min="9228" max="9228" width="5.125" style="2777" customWidth="1"/>
    <col min="9229" max="9229" width="13.75" style="2777" customWidth="1"/>
    <col min="9230" max="9472" width="9" style="2777"/>
    <col min="9473" max="9473" width="4.875" style="2777" customWidth="1"/>
    <col min="9474" max="9474" width="13.25" style="2777" customWidth="1"/>
    <col min="9475" max="9475" width="15.625" style="2777" customWidth="1"/>
    <col min="9476" max="9476" width="9.375" style="2777" bestFit="1" customWidth="1"/>
    <col min="9477" max="9477" width="13.5" style="2777" customWidth="1"/>
    <col min="9478" max="9478" width="9" style="2777"/>
    <col min="9479" max="9479" width="9.375" style="2777" bestFit="1" customWidth="1"/>
    <col min="9480" max="9481" width="9" style="2777"/>
    <col min="9482" max="9482" width="9.375" style="2777" bestFit="1" customWidth="1"/>
    <col min="9483" max="9483" width="4" style="2777" customWidth="1"/>
    <col min="9484" max="9484" width="5.125" style="2777" customWidth="1"/>
    <col min="9485" max="9485" width="13.75" style="2777" customWidth="1"/>
    <col min="9486" max="9728" width="9" style="2777"/>
    <col min="9729" max="9729" width="4.875" style="2777" customWidth="1"/>
    <col min="9730" max="9730" width="13.25" style="2777" customWidth="1"/>
    <col min="9731" max="9731" width="15.625" style="2777" customWidth="1"/>
    <col min="9732" max="9732" width="9.375" style="2777" bestFit="1" customWidth="1"/>
    <col min="9733" max="9733" width="13.5" style="2777" customWidth="1"/>
    <col min="9734" max="9734" width="9" style="2777"/>
    <col min="9735" max="9735" width="9.375" style="2777" bestFit="1" customWidth="1"/>
    <col min="9736" max="9737" width="9" style="2777"/>
    <col min="9738" max="9738" width="9.375" style="2777" bestFit="1" customWidth="1"/>
    <col min="9739" max="9739" width="4" style="2777" customWidth="1"/>
    <col min="9740" max="9740" width="5.125" style="2777" customWidth="1"/>
    <col min="9741" max="9741" width="13.75" style="2777" customWidth="1"/>
    <col min="9742" max="9984" width="9" style="2777"/>
    <col min="9985" max="9985" width="4.875" style="2777" customWidth="1"/>
    <col min="9986" max="9986" width="13.25" style="2777" customWidth="1"/>
    <col min="9987" max="9987" width="15.625" style="2777" customWidth="1"/>
    <col min="9988" max="9988" width="9.375" style="2777" bestFit="1" customWidth="1"/>
    <col min="9989" max="9989" width="13.5" style="2777" customWidth="1"/>
    <col min="9990" max="9990" width="9" style="2777"/>
    <col min="9991" max="9991" width="9.375" style="2777" bestFit="1" customWidth="1"/>
    <col min="9992" max="9993" width="9" style="2777"/>
    <col min="9994" max="9994" width="9.375" style="2777" bestFit="1" customWidth="1"/>
    <col min="9995" max="9995" width="4" style="2777" customWidth="1"/>
    <col min="9996" max="9996" width="5.125" style="2777" customWidth="1"/>
    <col min="9997" max="9997" width="13.75" style="2777" customWidth="1"/>
    <col min="9998" max="10240" width="9" style="2777"/>
    <col min="10241" max="10241" width="4.875" style="2777" customWidth="1"/>
    <col min="10242" max="10242" width="13.25" style="2777" customWidth="1"/>
    <col min="10243" max="10243" width="15.625" style="2777" customWidth="1"/>
    <col min="10244" max="10244" width="9.375" style="2777" bestFit="1" customWidth="1"/>
    <col min="10245" max="10245" width="13.5" style="2777" customWidth="1"/>
    <col min="10246" max="10246" width="9" style="2777"/>
    <col min="10247" max="10247" width="9.375" style="2777" bestFit="1" customWidth="1"/>
    <col min="10248" max="10249" width="9" style="2777"/>
    <col min="10250" max="10250" width="9.375" style="2777" bestFit="1" customWidth="1"/>
    <col min="10251" max="10251" width="4" style="2777" customWidth="1"/>
    <col min="10252" max="10252" width="5.125" style="2777" customWidth="1"/>
    <col min="10253" max="10253" width="13.75" style="2777" customWidth="1"/>
    <col min="10254" max="10496" width="9" style="2777"/>
    <col min="10497" max="10497" width="4.875" style="2777" customWidth="1"/>
    <col min="10498" max="10498" width="13.25" style="2777" customWidth="1"/>
    <col min="10499" max="10499" width="15.625" style="2777" customWidth="1"/>
    <col min="10500" max="10500" width="9.375" style="2777" bestFit="1" customWidth="1"/>
    <col min="10501" max="10501" width="13.5" style="2777" customWidth="1"/>
    <col min="10502" max="10502" width="9" style="2777"/>
    <col min="10503" max="10503" width="9.375" style="2777" bestFit="1" customWidth="1"/>
    <col min="10504" max="10505" width="9" style="2777"/>
    <col min="10506" max="10506" width="9.375" style="2777" bestFit="1" customWidth="1"/>
    <col min="10507" max="10507" width="4" style="2777" customWidth="1"/>
    <col min="10508" max="10508" width="5.125" style="2777" customWidth="1"/>
    <col min="10509" max="10509" width="13.75" style="2777" customWidth="1"/>
    <col min="10510" max="10752" width="9" style="2777"/>
    <col min="10753" max="10753" width="4.875" style="2777" customWidth="1"/>
    <col min="10754" max="10754" width="13.25" style="2777" customWidth="1"/>
    <col min="10755" max="10755" width="15.625" style="2777" customWidth="1"/>
    <col min="10756" max="10756" width="9.375" style="2777" bestFit="1" customWidth="1"/>
    <col min="10757" max="10757" width="13.5" style="2777" customWidth="1"/>
    <col min="10758" max="10758" width="9" style="2777"/>
    <col min="10759" max="10759" width="9.375" style="2777" bestFit="1" customWidth="1"/>
    <col min="10760" max="10761" width="9" style="2777"/>
    <col min="10762" max="10762" width="9.375" style="2777" bestFit="1" customWidth="1"/>
    <col min="10763" max="10763" width="4" style="2777" customWidth="1"/>
    <col min="10764" max="10764" width="5.125" style="2777" customWidth="1"/>
    <col min="10765" max="10765" width="13.75" style="2777" customWidth="1"/>
    <col min="10766" max="11008" width="9" style="2777"/>
    <col min="11009" max="11009" width="4.875" style="2777" customWidth="1"/>
    <col min="11010" max="11010" width="13.25" style="2777" customWidth="1"/>
    <col min="11011" max="11011" width="15.625" style="2777" customWidth="1"/>
    <col min="11012" max="11012" width="9.375" style="2777" bestFit="1" customWidth="1"/>
    <col min="11013" max="11013" width="13.5" style="2777" customWidth="1"/>
    <col min="11014" max="11014" width="9" style="2777"/>
    <col min="11015" max="11015" width="9.375" style="2777" bestFit="1" customWidth="1"/>
    <col min="11016" max="11017" width="9" style="2777"/>
    <col min="11018" max="11018" width="9.375" style="2777" bestFit="1" customWidth="1"/>
    <col min="11019" max="11019" width="4" style="2777" customWidth="1"/>
    <col min="11020" max="11020" width="5.125" style="2777" customWidth="1"/>
    <col min="11021" max="11021" width="13.75" style="2777" customWidth="1"/>
    <col min="11022" max="11264" width="9" style="2777"/>
    <col min="11265" max="11265" width="4.875" style="2777" customWidth="1"/>
    <col min="11266" max="11266" width="13.25" style="2777" customWidth="1"/>
    <col min="11267" max="11267" width="15.625" style="2777" customWidth="1"/>
    <col min="11268" max="11268" width="9.375" style="2777" bestFit="1" customWidth="1"/>
    <col min="11269" max="11269" width="13.5" style="2777" customWidth="1"/>
    <col min="11270" max="11270" width="9" style="2777"/>
    <col min="11271" max="11271" width="9.375" style="2777" bestFit="1" customWidth="1"/>
    <col min="11272" max="11273" width="9" style="2777"/>
    <col min="11274" max="11274" width="9.375" style="2777" bestFit="1" customWidth="1"/>
    <col min="11275" max="11275" width="4" style="2777" customWidth="1"/>
    <col min="11276" max="11276" width="5.125" style="2777" customWidth="1"/>
    <col min="11277" max="11277" width="13.75" style="2777" customWidth="1"/>
    <col min="11278" max="11520" width="9" style="2777"/>
    <col min="11521" max="11521" width="4.875" style="2777" customWidth="1"/>
    <col min="11522" max="11522" width="13.25" style="2777" customWidth="1"/>
    <col min="11523" max="11523" width="15.625" style="2777" customWidth="1"/>
    <col min="11524" max="11524" width="9.375" style="2777" bestFit="1" customWidth="1"/>
    <col min="11525" max="11525" width="13.5" style="2777" customWidth="1"/>
    <col min="11526" max="11526" width="9" style="2777"/>
    <col min="11527" max="11527" width="9.375" style="2777" bestFit="1" customWidth="1"/>
    <col min="11528" max="11529" width="9" style="2777"/>
    <col min="11530" max="11530" width="9.375" style="2777" bestFit="1" customWidth="1"/>
    <col min="11531" max="11531" width="4" style="2777" customWidth="1"/>
    <col min="11532" max="11532" width="5.125" style="2777" customWidth="1"/>
    <col min="11533" max="11533" width="13.75" style="2777" customWidth="1"/>
    <col min="11534" max="11776" width="9" style="2777"/>
    <col min="11777" max="11777" width="4.875" style="2777" customWidth="1"/>
    <col min="11778" max="11778" width="13.25" style="2777" customWidth="1"/>
    <col min="11779" max="11779" width="15.625" style="2777" customWidth="1"/>
    <col min="11780" max="11780" width="9.375" style="2777" bestFit="1" customWidth="1"/>
    <col min="11781" max="11781" width="13.5" style="2777" customWidth="1"/>
    <col min="11782" max="11782" width="9" style="2777"/>
    <col min="11783" max="11783" width="9.375" style="2777" bestFit="1" customWidth="1"/>
    <col min="11784" max="11785" width="9" style="2777"/>
    <col min="11786" max="11786" width="9.375" style="2777" bestFit="1" customWidth="1"/>
    <col min="11787" max="11787" width="4" style="2777" customWidth="1"/>
    <col min="11788" max="11788" width="5.125" style="2777" customWidth="1"/>
    <col min="11789" max="11789" width="13.75" style="2777" customWidth="1"/>
    <col min="11790" max="12032" width="9" style="2777"/>
    <col min="12033" max="12033" width="4.875" style="2777" customWidth="1"/>
    <col min="12034" max="12034" width="13.25" style="2777" customWidth="1"/>
    <col min="12035" max="12035" width="15.625" style="2777" customWidth="1"/>
    <col min="12036" max="12036" width="9.375" style="2777" bestFit="1" customWidth="1"/>
    <col min="12037" max="12037" width="13.5" style="2777" customWidth="1"/>
    <col min="12038" max="12038" width="9" style="2777"/>
    <col min="12039" max="12039" width="9.375" style="2777" bestFit="1" customWidth="1"/>
    <col min="12040" max="12041" width="9" style="2777"/>
    <col min="12042" max="12042" width="9.375" style="2777" bestFit="1" customWidth="1"/>
    <col min="12043" max="12043" width="4" style="2777" customWidth="1"/>
    <col min="12044" max="12044" width="5.125" style="2777" customWidth="1"/>
    <col min="12045" max="12045" width="13.75" style="2777" customWidth="1"/>
    <col min="12046" max="12288" width="9" style="2777"/>
    <col min="12289" max="12289" width="4.875" style="2777" customWidth="1"/>
    <col min="12290" max="12290" width="13.25" style="2777" customWidth="1"/>
    <col min="12291" max="12291" width="15.625" style="2777" customWidth="1"/>
    <col min="12292" max="12292" width="9.375" style="2777" bestFit="1" customWidth="1"/>
    <col min="12293" max="12293" width="13.5" style="2777" customWidth="1"/>
    <col min="12294" max="12294" width="9" style="2777"/>
    <col min="12295" max="12295" width="9.375" style="2777" bestFit="1" customWidth="1"/>
    <col min="12296" max="12297" width="9" style="2777"/>
    <col min="12298" max="12298" width="9.375" style="2777" bestFit="1" customWidth="1"/>
    <col min="12299" max="12299" width="4" style="2777" customWidth="1"/>
    <col min="12300" max="12300" width="5.125" style="2777" customWidth="1"/>
    <col min="12301" max="12301" width="13.75" style="2777" customWidth="1"/>
    <col min="12302" max="12544" width="9" style="2777"/>
    <col min="12545" max="12545" width="4.875" style="2777" customWidth="1"/>
    <col min="12546" max="12546" width="13.25" style="2777" customWidth="1"/>
    <col min="12547" max="12547" width="15.625" style="2777" customWidth="1"/>
    <col min="12548" max="12548" width="9.375" style="2777" bestFit="1" customWidth="1"/>
    <col min="12549" max="12549" width="13.5" style="2777" customWidth="1"/>
    <col min="12550" max="12550" width="9" style="2777"/>
    <col min="12551" max="12551" width="9.375" style="2777" bestFit="1" customWidth="1"/>
    <col min="12552" max="12553" width="9" style="2777"/>
    <col min="12554" max="12554" width="9.375" style="2777" bestFit="1" customWidth="1"/>
    <col min="12555" max="12555" width="4" style="2777" customWidth="1"/>
    <col min="12556" max="12556" width="5.125" style="2777" customWidth="1"/>
    <col min="12557" max="12557" width="13.75" style="2777" customWidth="1"/>
    <col min="12558" max="12800" width="9" style="2777"/>
    <col min="12801" max="12801" width="4.875" style="2777" customWidth="1"/>
    <col min="12802" max="12802" width="13.25" style="2777" customWidth="1"/>
    <col min="12803" max="12803" width="15.625" style="2777" customWidth="1"/>
    <col min="12804" max="12804" width="9.375" style="2777" bestFit="1" customWidth="1"/>
    <col min="12805" max="12805" width="13.5" style="2777" customWidth="1"/>
    <col min="12806" max="12806" width="9" style="2777"/>
    <col min="12807" max="12807" width="9.375" style="2777" bestFit="1" customWidth="1"/>
    <col min="12808" max="12809" width="9" style="2777"/>
    <col min="12810" max="12810" width="9.375" style="2777" bestFit="1" customWidth="1"/>
    <col min="12811" max="12811" width="4" style="2777" customWidth="1"/>
    <col min="12812" max="12812" width="5.125" style="2777" customWidth="1"/>
    <col min="12813" max="12813" width="13.75" style="2777" customWidth="1"/>
    <col min="12814" max="13056" width="9" style="2777"/>
    <col min="13057" max="13057" width="4.875" style="2777" customWidth="1"/>
    <col min="13058" max="13058" width="13.25" style="2777" customWidth="1"/>
    <col min="13059" max="13059" width="15.625" style="2777" customWidth="1"/>
    <col min="13060" max="13060" width="9.375" style="2777" bestFit="1" customWidth="1"/>
    <col min="13061" max="13061" width="13.5" style="2777" customWidth="1"/>
    <col min="13062" max="13062" width="9" style="2777"/>
    <col min="13063" max="13063" width="9.375" style="2777" bestFit="1" customWidth="1"/>
    <col min="13064" max="13065" width="9" style="2777"/>
    <col min="13066" max="13066" width="9.375" style="2777" bestFit="1" customWidth="1"/>
    <col min="13067" max="13067" width="4" style="2777" customWidth="1"/>
    <col min="13068" max="13068" width="5.125" style="2777" customWidth="1"/>
    <col min="13069" max="13069" width="13.75" style="2777" customWidth="1"/>
    <col min="13070" max="13312" width="9" style="2777"/>
    <col min="13313" max="13313" width="4.875" style="2777" customWidth="1"/>
    <col min="13314" max="13314" width="13.25" style="2777" customWidth="1"/>
    <col min="13315" max="13315" width="15.625" style="2777" customWidth="1"/>
    <col min="13316" max="13316" width="9.375" style="2777" bestFit="1" customWidth="1"/>
    <col min="13317" max="13317" width="13.5" style="2777" customWidth="1"/>
    <col min="13318" max="13318" width="9" style="2777"/>
    <col min="13319" max="13319" width="9.375" style="2777" bestFit="1" customWidth="1"/>
    <col min="13320" max="13321" width="9" style="2777"/>
    <col min="13322" max="13322" width="9.375" style="2777" bestFit="1" customWidth="1"/>
    <col min="13323" max="13323" width="4" style="2777" customWidth="1"/>
    <col min="13324" max="13324" width="5.125" style="2777" customWidth="1"/>
    <col min="13325" max="13325" width="13.75" style="2777" customWidth="1"/>
    <col min="13326" max="13568" width="9" style="2777"/>
    <col min="13569" max="13569" width="4.875" style="2777" customWidth="1"/>
    <col min="13570" max="13570" width="13.25" style="2777" customWidth="1"/>
    <col min="13571" max="13571" width="15.625" style="2777" customWidth="1"/>
    <col min="13572" max="13572" width="9.375" style="2777" bestFit="1" customWidth="1"/>
    <col min="13573" max="13573" width="13.5" style="2777" customWidth="1"/>
    <col min="13574" max="13574" width="9" style="2777"/>
    <col min="13575" max="13575" width="9.375" style="2777" bestFit="1" customWidth="1"/>
    <col min="13576" max="13577" width="9" style="2777"/>
    <col min="13578" max="13578" width="9.375" style="2777" bestFit="1" customWidth="1"/>
    <col min="13579" max="13579" width="4" style="2777" customWidth="1"/>
    <col min="13580" max="13580" width="5.125" style="2777" customWidth="1"/>
    <col min="13581" max="13581" width="13.75" style="2777" customWidth="1"/>
    <col min="13582" max="13824" width="9" style="2777"/>
    <col min="13825" max="13825" width="4.875" style="2777" customWidth="1"/>
    <col min="13826" max="13826" width="13.25" style="2777" customWidth="1"/>
    <col min="13827" max="13827" width="15.625" style="2777" customWidth="1"/>
    <col min="13828" max="13828" width="9.375" style="2777" bestFit="1" customWidth="1"/>
    <col min="13829" max="13829" width="13.5" style="2777" customWidth="1"/>
    <col min="13830" max="13830" width="9" style="2777"/>
    <col min="13831" max="13831" width="9.375" style="2777" bestFit="1" customWidth="1"/>
    <col min="13832" max="13833" width="9" style="2777"/>
    <col min="13834" max="13834" width="9.375" style="2777" bestFit="1" customWidth="1"/>
    <col min="13835" max="13835" width="4" style="2777" customWidth="1"/>
    <col min="13836" max="13836" width="5.125" style="2777" customWidth="1"/>
    <col min="13837" max="13837" width="13.75" style="2777" customWidth="1"/>
    <col min="13838" max="14080" width="9" style="2777"/>
    <col min="14081" max="14081" width="4.875" style="2777" customWidth="1"/>
    <col min="14082" max="14082" width="13.25" style="2777" customWidth="1"/>
    <col min="14083" max="14083" width="15.625" style="2777" customWidth="1"/>
    <col min="14084" max="14084" width="9.375" style="2777" bestFit="1" customWidth="1"/>
    <col min="14085" max="14085" width="13.5" style="2777" customWidth="1"/>
    <col min="14086" max="14086" width="9" style="2777"/>
    <col min="14087" max="14087" width="9.375" style="2777" bestFit="1" customWidth="1"/>
    <col min="14088" max="14089" width="9" style="2777"/>
    <col min="14090" max="14090" width="9.375" style="2777" bestFit="1" customWidth="1"/>
    <col min="14091" max="14091" width="4" style="2777" customWidth="1"/>
    <col min="14092" max="14092" width="5.125" style="2777" customWidth="1"/>
    <col min="14093" max="14093" width="13.75" style="2777" customWidth="1"/>
    <col min="14094" max="14336" width="9" style="2777"/>
    <col min="14337" max="14337" width="4.875" style="2777" customWidth="1"/>
    <col min="14338" max="14338" width="13.25" style="2777" customWidth="1"/>
    <col min="14339" max="14339" width="15.625" style="2777" customWidth="1"/>
    <col min="14340" max="14340" width="9.375" style="2777" bestFit="1" customWidth="1"/>
    <col min="14341" max="14341" width="13.5" style="2777" customWidth="1"/>
    <col min="14342" max="14342" width="9" style="2777"/>
    <col min="14343" max="14343" width="9.375" style="2777" bestFit="1" customWidth="1"/>
    <col min="14344" max="14345" width="9" style="2777"/>
    <col min="14346" max="14346" width="9.375" style="2777" bestFit="1" customWidth="1"/>
    <col min="14347" max="14347" width="4" style="2777" customWidth="1"/>
    <col min="14348" max="14348" width="5.125" style="2777" customWidth="1"/>
    <col min="14349" max="14349" width="13.75" style="2777" customWidth="1"/>
    <col min="14350" max="14592" width="9" style="2777"/>
    <col min="14593" max="14593" width="4.875" style="2777" customWidth="1"/>
    <col min="14594" max="14594" width="13.25" style="2777" customWidth="1"/>
    <col min="14595" max="14595" width="15.625" style="2777" customWidth="1"/>
    <col min="14596" max="14596" width="9.375" style="2777" bestFit="1" customWidth="1"/>
    <col min="14597" max="14597" width="13.5" style="2777" customWidth="1"/>
    <col min="14598" max="14598" width="9" style="2777"/>
    <col min="14599" max="14599" width="9.375" style="2777" bestFit="1" customWidth="1"/>
    <col min="14600" max="14601" width="9" style="2777"/>
    <col min="14602" max="14602" width="9.375" style="2777" bestFit="1" customWidth="1"/>
    <col min="14603" max="14603" width="4" style="2777" customWidth="1"/>
    <col min="14604" max="14604" width="5.125" style="2777" customWidth="1"/>
    <col min="14605" max="14605" width="13.75" style="2777" customWidth="1"/>
    <col min="14606" max="14848" width="9" style="2777"/>
    <col min="14849" max="14849" width="4.875" style="2777" customWidth="1"/>
    <col min="14850" max="14850" width="13.25" style="2777" customWidth="1"/>
    <col min="14851" max="14851" width="15.625" style="2777" customWidth="1"/>
    <col min="14852" max="14852" width="9.375" style="2777" bestFit="1" customWidth="1"/>
    <col min="14853" max="14853" width="13.5" style="2777" customWidth="1"/>
    <col min="14854" max="14854" width="9" style="2777"/>
    <col min="14855" max="14855" width="9.375" style="2777" bestFit="1" customWidth="1"/>
    <col min="14856" max="14857" width="9" style="2777"/>
    <col min="14858" max="14858" width="9.375" style="2777" bestFit="1" customWidth="1"/>
    <col min="14859" max="14859" width="4" style="2777" customWidth="1"/>
    <col min="14860" max="14860" width="5.125" style="2777" customWidth="1"/>
    <col min="14861" max="14861" width="13.75" style="2777" customWidth="1"/>
    <col min="14862" max="15104" width="9" style="2777"/>
    <col min="15105" max="15105" width="4.875" style="2777" customWidth="1"/>
    <col min="15106" max="15106" width="13.25" style="2777" customWidth="1"/>
    <col min="15107" max="15107" width="15.625" style="2777" customWidth="1"/>
    <col min="15108" max="15108" width="9.375" style="2777" bestFit="1" customWidth="1"/>
    <col min="15109" max="15109" width="13.5" style="2777" customWidth="1"/>
    <col min="15110" max="15110" width="9" style="2777"/>
    <col min="15111" max="15111" width="9.375" style="2777" bestFit="1" customWidth="1"/>
    <col min="15112" max="15113" width="9" style="2777"/>
    <col min="15114" max="15114" width="9.375" style="2777" bestFit="1" customWidth="1"/>
    <col min="15115" max="15115" width="4" style="2777" customWidth="1"/>
    <col min="15116" max="15116" width="5.125" style="2777" customWidth="1"/>
    <col min="15117" max="15117" width="13.75" style="2777" customWidth="1"/>
    <col min="15118" max="15360" width="9" style="2777"/>
    <col min="15361" max="15361" width="4.875" style="2777" customWidth="1"/>
    <col min="15362" max="15362" width="13.25" style="2777" customWidth="1"/>
    <col min="15363" max="15363" width="15.625" style="2777" customWidth="1"/>
    <col min="15364" max="15364" width="9.375" style="2777" bestFit="1" customWidth="1"/>
    <col min="15365" max="15365" width="13.5" style="2777" customWidth="1"/>
    <col min="15366" max="15366" width="9" style="2777"/>
    <col min="15367" max="15367" width="9.375" style="2777" bestFit="1" customWidth="1"/>
    <col min="15368" max="15369" width="9" style="2777"/>
    <col min="15370" max="15370" width="9.375" style="2777" bestFit="1" customWidth="1"/>
    <col min="15371" max="15371" width="4" style="2777" customWidth="1"/>
    <col min="15372" max="15372" width="5.125" style="2777" customWidth="1"/>
    <col min="15373" max="15373" width="13.75" style="2777" customWidth="1"/>
    <col min="15374" max="15616" width="9" style="2777"/>
    <col min="15617" max="15617" width="4.875" style="2777" customWidth="1"/>
    <col min="15618" max="15618" width="13.25" style="2777" customWidth="1"/>
    <col min="15619" max="15619" width="15.625" style="2777" customWidth="1"/>
    <col min="15620" max="15620" width="9.375" style="2777" bestFit="1" customWidth="1"/>
    <col min="15621" max="15621" width="13.5" style="2777" customWidth="1"/>
    <col min="15622" max="15622" width="9" style="2777"/>
    <col min="15623" max="15623" width="9.375" style="2777" bestFit="1" customWidth="1"/>
    <col min="15624" max="15625" width="9" style="2777"/>
    <col min="15626" max="15626" width="9.375" style="2777" bestFit="1" customWidth="1"/>
    <col min="15627" max="15627" width="4" style="2777" customWidth="1"/>
    <col min="15628" max="15628" width="5.125" style="2777" customWidth="1"/>
    <col min="15629" max="15629" width="13.75" style="2777" customWidth="1"/>
    <col min="15630" max="15872" width="9" style="2777"/>
    <col min="15873" max="15873" width="4.875" style="2777" customWidth="1"/>
    <col min="15874" max="15874" width="13.25" style="2777" customWidth="1"/>
    <col min="15875" max="15875" width="15.625" style="2777" customWidth="1"/>
    <col min="15876" max="15876" width="9.375" style="2777" bestFit="1" customWidth="1"/>
    <col min="15877" max="15877" width="13.5" style="2777" customWidth="1"/>
    <col min="15878" max="15878" width="9" style="2777"/>
    <col min="15879" max="15879" width="9.375" style="2777" bestFit="1" customWidth="1"/>
    <col min="15880" max="15881" width="9" style="2777"/>
    <col min="15882" max="15882" width="9.375" style="2777" bestFit="1" customWidth="1"/>
    <col min="15883" max="15883" width="4" style="2777" customWidth="1"/>
    <col min="15884" max="15884" width="5.125" style="2777" customWidth="1"/>
    <col min="15885" max="15885" width="13.75" style="2777" customWidth="1"/>
    <col min="15886" max="16128" width="9" style="2777"/>
    <col min="16129" max="16129" width="4.875" style="2777" customWidth="1"/>
    <col min="16130" max="16130" width="13.25" style="2777" customWidth="1"/>
    <col min="16131" max="16131" width="15.625" style="2777" customWidth="1"/>
    <col min="16132" max="16132" width="9.375" style="2777" bestFit="1" customWidth="1"/>
    <col min="16133" max="16133" width="13.5" style="2777" customWidth="1"/>
    <col min="16134" max="16134" width="9" style="2777"/>
    <col min="16135" max="16135" width="9.375" style="2777" bestFit="1" customWidth="1"/>
    <col min="16136" max="16137" width="9" style="2777"/>
    <col min="16138" max="16138" width="9.375" style="2777" bestFit="1" customWidth="1"/>
    <col min="16139" max="16139" width="4" style="2777" customWidth="1"/>
    <col min="16140" max="16140" width="5.125" style="2777" customWidth="1"/>
    <col min="16141" max="16141" width="13.75" style="2777" customWidth="1"/>
    <col min="16142" max="16384" width="9" style="2777"/>
  </cols>
  <sheetData>
    <row r="1" spans="1:257" s="2837" customFormat="1" ht="14.25" thickBot="1">
      <c r="A1" s="2836"/>
      <c r="B1" s="2838" t="s">
        <v>2783</v>
      </c>
      <c r="C1" s="2842">
        <f>项目基本情况!D3</f>
        <v>44078</v>
      </c>
      <c r="H1" s="2776">
        <f>IF(C1&gt;C13,0,MATCH(C1,C$13:C$100,-1))+IF(SUMIF(C13:C100,C1,D13:D100)=0,13,12)</f>
        <v>13</v>
      </c>
      <c r="I1" s="2776">
        <f>MATCH(C2,H3:H7,1)+IF(SUMIF(H3:H7,C2,I3:I7)=0,2,1)</f>
        <v>6</v>
      </c>
      <c r="J1" s="2835">
        <f ca="1">MATCH(C3,H3:H7,1)+IF(SUMIF(H3:H7,C3,J3:J7)=0,2,1)</f>
        <v>4</v>
      </c>
      <c r="N1" s="2776">
        <f>IF(C1&gt;M13,0,MATCH(C1,M$13:M$100,-1))+IF(SUMIF(M13:M100,C1,N13:N100)=0,13,12)</f>
        <v>13</v>
      </c>
      <c r="P1" s="2836"/>
      <c r="Q1" s="2836"/>
      <c r="R1" s="2836"/>
      <c r="S1" s="2836"/>
      <c r="T1" s="2836"/>
      <c r="U1" s="2836"/>
      <c r="V1" s="2836"/>
      <c r="W1" s="2836"/>
      <c r="X1" s="2836"/>
      <c r="Y1" s="2836"/>
      <c r="Z1" s="2836"/>
      <c r="AA1" s="2836"/>
      <c r="AB1" s="2836"/>
      <c r="AC1" s="2836"/>
      <c r="AD1" s="2836"/>
      <c r="AE1" s="2836"/>
      <c r="AF1" s="2836"/>
      <c r="AG1" s="2836"/>
      <c r="AH1" s="2836"/>
      <c r="AI1" s="2836"/>
      <c r="AJ1" s="2836"/>
      <c r="AK1" s="2836"/>
      <c r="AL1" s="2836"/>
      <c r="AM1" s="2836"/>
      <c r="AN1" s="2836"/>
      <c r="AO1" s="2836"/>
      <c r="AP1" s="2836"/>
      <c r="AQ1" s="2836"/>
      <c r="AR1" s="2836"/>
      <c r="AS1" s="2836"/>
      <c r="AT1" s="2836"/>
      <c r="AU1" s="2836"/>
      <c r="AV1" s="2836"/>
      <c r="AW1" s="2836"/>
      <c r="AX1" s="2836"/>
      <c r="AY1" s="2836"/>
      <c r="AZ1" s="2836"/>
      <c r="BA1" s="2836"/>
      <c r="BB1" s="2836"/>
      <c r="BC1" s="2836"/>
      <c r="BD1" s="2836"/>
      <c r="BE1" s="2836"/>
      <c r="BF1" s="2836"/>
      <c r="BG1" s="2836"/>
      <c r="BH1" s="2836"/>
      <c r="BI1" s="2836"/>
      <c r="BJ1" s="2836"/>
      <c r="BK1" s="2836"/>
      <c r="BL1" s="2836"/>
      <c r="BM1" s="2836"/>
      <c r="BN1" s="2836"/>
      <c r="BO1" s="2836"/>
      <c r="BP1" s="2836"/>
      <c r="BQ1" s="2836"/>
      <c r="BR1" s="2836"/>
      <c r="BS1" s="2836"/>
      <c r="BT1" s="2836"/>
      <c r="BU1" s="2836"/>
      <c r="BV1" s="2836"/>
      <c r="BW1" s="2836"/>
      <c r="BX1" s="2836"/>
      <c r="BY1" s="2836"/>
      <c r="BZ1" s="2836"/>
      <c r="CA1" s="2836"/>
      <c r="CB1" s="2836"/>
      <c r="CC1" s="2836"/>
      <c r="CD1" s="2836"/>
      <c r="CE1" s="2836"/>
      <c r="CF1" s="2836"/>
      <c r="CG1" s="2836"/>
      <c r="CH1" s="2836"/>
      <c r="CI1" s="2836"/>
      <c r="CJ1" s="2836"/>
      <c r="CK1" s="2836"/>
      <c r="CL1" s="2836"/>
      <c r="CM1" s="2836"/>
      <c r="CN1" s="2836"/>
      <c r="CO1" s="2836"/>
      <c r="CP1" s="2836"/>
      <c r="CQ1" s="2836"/>
      <c r="CR1" s="2836"/>
      <c r="CS1" s="2836"/>
      <c r="CT1" s="2836"/>
      <c r="CU1" s="2836"/>
      <c r="CV1" s="2836"/>
      <c r="CW1" s="2836"/>
      <c r="CX1" s="2836"/>
      <c r="CY1" s="2836"/>
      <c r="CZ1" s="2836"/>
      <c r="DA1" s="2836"/>
      <c r="DB1" s="2836"/>
      <c r="DC1" s="2836"/>
      <c r="DD1" s="2836"/>
      <c r="DE1" s="2836"/>
      <c r="DF1" s="2836"/>
      <c r="DG1" s="2836"/>
      <c r="DH1" s="2836"/>
      <c r="DI1" s="2836"/>
      <c r="DJ1" s="2836"/>
      <c r="DK1" s="2836"/>
      <c r="DL1" s="2836"/>
      <c r="DM1" s="2836"/>
      <c r="DN1" s="2836"/>
      <c r="DO1" s="2836"/>
      <c r="DP1" s="2836"/>
      <c r="DQ1" s="2836"/>
      <c r="DR1" s="2836"/>
      <c r="DS1" s="2836"/>
      <c r="DT1" s="2836"/>
      <c r="DU1" s="2836"/>
      <c r="DV1" s="2836"/>
      <c r="DW1" s="2836"/>
      <c r="DX1" s="2836"/>
      <c r="DY1" s="2836"/>
      <c r="DZ1" s="2836"/>
      <c r="EA1" s="2836"/>
      <c r="EB1" s="2836"/>
      <c r="EC1" s="2836"/>
      <c r="ED1" s="2836"/>
      <c r="EE1" s="2836"/>
      <c r="EF1" s="2836"/>
      <c r="EG1" s="2836"/>
      <c r="EH1" s="2836"/>
      <c r="EI1" s="2836"/>
      <c r="EJ1" s="2836"/>
      <c r="EK1" s="2836"/>
      <c r="EL1" s="2836"/>
      <c r="EM1" s="2836"/>
      <c r="EN1" s="2836"/>
      <c r="EO1" s="2836"/>
      <c r="EP1" s="2836"/>
      <c r="EQ1" s="2836"/>
      <c r="ER1" s="2836"/>
      <c r="ES1" s="2836"/>
      <c r="ET1" s="2836"/>
      <c r="EU1" s="2836"/>
      <c r="EV1" s="2836"/>
      <c r="EW1" s="2836"/>
      <c r="EX1" s="2836"/>
      <c r="EY1" s="2836"/>
      <c r="EZ1" s="2836"/>
      <c r="FA1" s="2836"/>
      <c r="FB1" s="2836"/>
      <c r="FC1" s="2836"/>
      <c r="FD1" s="2836"/>
      <c r="FE1" s="2836"/>
      <c r="FF1" s="2836"/>
      <c r="FG1" s="2836"/>
      <c r="FH1" s="2836"/>
      <c r="FI1" s="2836"/>
      <c r="FJ1" s="2836"/>
      <c r="FK1" s="2836"/>
      <c r="FL1" s="2836"/>
      <c r="FM1" s="2836"/>
      <c r="FN1" s="2836"/>
      <c r="FO1" s="2836"/>
      <c r="FP1" s="2836"/>
      <c r="FQ1" s="2836"/>
      <c r="FR1" s="2836"/>
      <c r="FS1" s="2836"/>
      <c r="FT1" s="2836"/>
      <c r="FU1" s="2836"/>
      <c r="FV1" s="2836"/>
      <c r="FW1" s="2836"/>
      <c r="FX1" s="2836"/>
      <c r="FY1" s="2836"/>
      <c r="FZ1" s="2836"/>
      <c r="GA1" s="2836"/>
      <c r="GB1" s="2836"/>
      <c r="GC1" s="2836"/>
      <c r="GD1" s="2836"/>
      <c r="GE1" s="2836"/>
      <c r="GF1" s="2836"/>
      <c r="GG1" s="2836"/>
      <c r="GH1" s="2836"/>
      <c r="GI1" s="2836"/>
      <c r="GJ1" s="2836"/>
      <c r="GK1" s="2836"/>
      <c r="GL1" s="2836"/>
      <c r="GM1" s="2836"/>
      <c r="GN1" s="2836"/>
      <c r="GO1" s="2836"/>
      <c r="GP1" s="2836"/>
      <c r="GQ1" s="2836"/>
      <c r="GR1" s="2836"/>
      <c r="GS1" s="2836"/>
      <c r="GT1" s="2836"/>
      <c r="GU1" s="2836"/>
      <c r="GV1" s="2836"/>
      <c r="GW1" s="2836"/>
      <c r="GX1" s="2836"/>
      <c r="GY1" s="2836"/>
      <c r="GZ1" s="2836"/>
      <c r="HA1" s="2836"/>
      <c r="HB1" s="2836"/>
      <c r="HC1" s="2836"/>
      <c r="HD1" s="2836"/>
      <c r="HE1" s="2836"/>
      <c r="HF1" s="2836"/>
      <c r="HG1" s="2836"/>
      <c r="HH1" s="2836"/>
      <c r="HI1" s="2836"/>
      <c r="HJ1" s="2836"/>
      <c r="HK1" s="2836"/>
      <c r="HL1" s="2836"/>
      <c r="HM1" s="2836"/>
      <c r="HN1" s="2836"/>
      <c r="HO1" s="2836"/>
      <c r="HP1" s="2836"/>
      <c r="HQ1" s="2836"/>
      <c r="HR1" s="2836"/>
      <c r="HS1" s="2836"/>
      <c r="HT1" s="2836"/>
      <c r="HU1" s="2836"/>
      <c r="HV1" s="2836"/>
      <c r="HW1" s="2836"/>
      <c r="HX1" s="2836"/>
      <c r="HY1" s="2836"/>
      <c r="HZ1" s="2836"/>
      <c r="IA1" s="2836"/>
      <c r="IB1" s="2836"/>
      <c r="IC1" s="2836"/>
      <c r="ID1" s="2836"/>
      <c r="IE1" s="2836"/>
      <c r="IF1" s="2836"/>
      <c r="IG1" s="2836"/>
      <c r="IH1" s="2836"/>
      <c r="II1" s="2836"/>
      <c r="IJ1" s="2836"/>
      <c r="IK1" s="2836"/>
      <c r="IL1" s="2836"/>
      <c r="IM1" s="2836"/>
      <c r="IN1" s="2836"/>
      <c r="IO1" s="2836"/>
      <c r="IP1" s="2836"/>
      <c r="IQ1" s="2836"/>
      <c r="IR1" s="2836"/>
      <c r="IS1" s="2836"/>
      <c r="IT1" s="2836"/>
      <c r="IU1" s="2836"/>
      <c r="IV1" s="2836"/>
    </row>
    <row r="2" spans="1:257" s="2834" customFormat="1" ht="15" thickTop="1" thickBot="1">
      <c r="A2" s="2778"/>
      <c r="B2" s="2839" t="s">
        <v>2814</v>
      </c>
      <c r="C2" s="2843">
        <f>'数据-取费表'!B22</f>
        <v>3.5</v>
      </c>
      <c r="D2" s="2838" t="s">
        <v>2784</v>
      </c>
      <c r="E2" s="2841">
        <f ca="1">INDIRECT("I"&amp;$I$1)/100</f>
        <v>4.7500000000000001E-2</v>
      </c>
      <c r="G2" s="2778"/>
      <c r="H2" s="2778"/>
      <c r="I2" s="2778" t="s">
        <v>2785</v>
      </c>
      <c r="K2" s="2778"/>
      <c r="L2" s="2778"/>
      <c r="M2" s="2778"/>
      <c r="N2" s="2778" t="s">
        <v>2786</v>
      </c>
      <c r="O2" s="2778"/>
      <c r="P2" s="2778"/>
      <c r="Q2" s="2778"/>
      <c r="R2" s="2778"/>
      <c r="S2" s="2778"/>
      <c r="T2" s="2778"/>
      <c r="U2" s="2778"/>
      <c r="V2" s="2778"/>
      <c r="W2" s="2778"/>
      <c r="X2" s="2778"/>
      <c r="Y2" s="2778"/>
      <c r="Z2" s="2778"/>
      <c r="AA2" s="2778"/>
      <c r="AB2" s="2778"/>
      <c r="AC2" s="2778"/>
      <c r="AD2" s="2778"/>
      <c r="AE2" s="2778"/>
      <c r="AF2" s="2778"/>
      <c r="AG2" s="2778"/>
      <c r="AH2" s="2778"/>
      <c r="AI2" s="2778"/>
      <c r="AJ2" s="2778"/>
      <c r="AK2" s="2778"/>
      <c r="AL2" s="2778"/>
      <c r="AM2" s="2778"/>
      <c r="AN2" s="2778"/>
      <c r="AO2" s="2778"/>
      <c r="AP2" s="2778"/>
      <c r="AQ2" s="2778"/>
      <c r="AR2" s="2778"/>
      <c r="AS2" s="2778"/>
      <c r="AT2" s="2778"/>
      <c r="AU2" s="2778"/>
      <c r="AV2" s="2778"/>
      <c r="AW2" s="2778"/>
      <c r="AX2" s="2778"/>
      <c r="AY2" s="2778"/>
      <c r="AZ2" s="2778"/>
      <c r="BA2" s="2778"/>
      <c r="BB2" s="2778"/>
      <c r="BC2" s="2778"/>
      <c r="BD2" s="2778"/>
      <c r="BE2" s="2778"/>
      <c r="BF2" s="2778"/>
      <c r="BG2" s="2778"/>
      <c r="BH2" s="2778"/>
      <c r="BI2" s="2778"/>
      <c r="BJ2" s="2778"/>
      <c r="BK2" s="2778"/>
      <c r="BL2" s="2778"/>
      <c r="BM2" s="2778"/>
      <c r="BN2" s="2778"/>
      <c r="BO2" s="2778"/>
      <c r="BP2" s="2778"/>
      <c r="BQ2" s="2778"/>
      <c r="BR2" s="2778"/>
      <c r="BS2" s="2778"/>
      <c r="BT2" s="2778"/>
      <c r="BU2" s="2778"/>
      <c r="BV2" s="2778"/>
      <c r="BW2" s="2778"/>
      <c r="BX2" s="2778"/>
      <c r="BY2" s="2778"/>
      <c r="BZ2" s="2778"/>
      <c r="CA2" s="2778"/>
      <c r="CB2" s="2778"/>
      <c r="CC2" s="2778"/>
      <c r="CD2" s="2778"/>
      <c r="CE2" s="2778"/>
      <c r="CF2" s="2778"/>
      <c r="CG2" s="2778"/>
      <c r="CH2" s="2778"/>
      <c r="CI2" s="2778"/>
      <c r="CJ2" s="2778"/>
      <c r="CK2" s="2778"/>
      <c r="CL2" s="2778"/>
      <c r="CM2" s="2778"/>
      <c r="CN2" s="2778"/>
      <c r="CO2" s="2778"/>
      <c r="CP2" s="2778"/>
      <c r="CQ2" s="2778"/>
      <c r="CR2" s="2778"/>
      <c r="CS2" s="2778"/>
      <c r="CT2" s="2778"/>
      <c r="CU2" s="2778"/>
      <c r="CV2" s="2778"/>
      <c r="CW2" s="2778"/>
      <c r="CX2" s="2778"/>
      <c r="CY2" s="2778"/>
      <c r="CZ2" s="2778"/>
      <c r="DA2" s="2778"/>
      <c r="DB2" s="2778"/>
      <c r="DC2" s="2778"/>
      <c r="DD2" s="2778"/>
      <c r="DE2" s="2778"/>
      <c r="DF2" s="2778"/>
      <c r="DG2" s="2778"/>
      <c r="DH2" s="2778"/>
      <c r="DI2" s="2778"/>
      <c r="DJ2" s="2778"/>
      <c r="DK2" s="2778"/>
      <c r="DL2" s="2778"/>
      <c r="DM2" s="2778"/>
      <c r="DN2" s="2778"/>
      <c r="DO2" s="2778"/>
      <c r="DP2" s="2778"/>
      <c r="DQ2" s="2778"/>
      <c r="DR2" s="2778"/>
      <c r="DS2" s="2778"/>
      <c r="DT2" s="2778"/>
      <c r="DU2" s="2778"/>
      <c r="DV2" s="2778"/>
      <c r="DW2" s="2778"/>
      <c r="DX2" s="2778"/>
      <c r="DY2" s="2778"/>
      <c r="DZ2" s="2778"/>
      <c r="EA2" s="2778"/>
      <c r="EB2" s="2778"/>
      <c r="EC2" s="2778"/>
      <c r="ED2" s="2778"/>
      <c r="EE2" s="2778"/>
      <c r="EF2" s="2778"/>
      <c r="EG2" s="2778"/>
      <c r="EH2" s="2778"/>
      <c r="EI2" s="2778"/>
      <c r="EJ2" s="2778"/>
      <c r="EK2" s="2778"/>
      <c r="EL2" s="2778"/>
      <c r="EM2" s="2778"/>
      <c r="EN2" s="2778"/>
      <c r="EO2" s="2778"/>
      <c r="EP2" s="2778"/>
      <c r="EQ2" s="2778"/>
      <c r="ER2" s="2778"/>
      <c r="ES2" s="2778"/>
      <c r="ET2" s="2778"/>
      <c r="EU2" s="2778"/>
      <c r="EV2" s="2778"/>
      <c r="EW2" s="2778"/>
      <c r="EX2" s="2778"/>
      <c r="EY2" s="2778"/>
      <c r="EZ2" s="2778"/>
      <c r="FA2" s="2778"/>
      <c r="FB2" s="2778"/>
      <c r="FC2" s="2778"/>
      <c r="FD2" s="2778"/>
      <c r="FE2" s="2778"/>
      <c r="FF2" s="2778"/>
      <c r="FG2" s="2778"/>
      <c r="FH2" s="2778"/>
      <c r="FI2" s="2778"/>
      <c r="FJ2" s="2778"/>
      <c r="FK2" s="2778"/>
      <c r="FL2" s="2778"/>
      <c r="FM2" s="2778"/>
      <c r="FN2" s="2778"/>
      <c r="FO2" s="2778"/>
      <c r="FP2" s="2778"/>
      <c r="FQ2" s="2778"/>
      <c r="FR2" s="2778"/>
      <c r="FS2" s="2778"/>
      <c r="FT2" s="2778"/>
      <c r="FU2" s="2778"/>
      <c r="FV2" s="2778"/>
      <c r="FW2" s="2778"/>
      <c r="FX2" s="2778"/>
      <c r="FY2" s="2778"/>
      <c r="FZ2" s="2778"/>
      <c r="GA2" s="2778"/>
      <c r="GB2" s="2778"/>
      <c r="GC2" s="2778"/>
      <c r="GD2" s="2778"/>
      <c r="GE2" s="2778"/>
      <c r="GF2" s="2778"/>
      <c r="GG2" s="2778"/>
      <c r="GH2" s="2778"/>
      <c r="GI2" s="2778"/>
      <c r="GJ2" s="2778"/>
      <c r="GK2" s="2778"/>
      <c r="GL2" s="2778"/>
      <c r="GM2" s="2778"/>
      <c r="GN2" s="2778"/>
      <c r="GO2" s="2778"/>
      <c r="GP2" s="2778"/>
      <c r="GQ2" s="2778"/>
      <c r="GR2" s="2778"/>
      <c r="GS2" s="2778"/>
      <c r="GT2" s="2778"/>
      <c r="GU2" s="2778"/>
      <c r="GV2" s="2778"/>
      <c r="GW2" s="2778"/>
      <c r="GX2" s="2778"/>
      <c r="GY2" s="2778"/>
      <c r="GZ2" s="2778"/>
      <c r="HA2" s="2778"/>
      <c r="HB2" s="2778"/>
      <c r="HC2" s="2778"/>
      <c r="HD2" s="2778"/>
      <c r="HE2" s="2778"/>
      <c r="HF2" s="2778"/>
      <c r="HG2" s="2778"/>
      <c r="HH2" s="2778"/>
      <c r="HI2" s="2778"/>
      <c r="HJ2" s="2778"/>
      <c r="HK2" s="2778"/>
      <c r="HL2" s="2778"/>
      <c r="HM2" s="2778"/>
      <c r="HN2" s="2778"/>
      <c r="HO2" s="2778"/>
      <c r="HP2" s="2778"/>
      <c r="HQ2" s="2778"/>
      <c r="HR2" s="2778"/>
      <c r="HS2" s="2778"/>
      <c r="HT2" s="2778"/>
      <c r="HU2" s="2778"/>
      <c r="HV2" s="2778"/>
      <c r="HW2" s="2778"/>
      <c r="HX2" s="2778"/>
      <c r="HY2" s="2778"/>
      <c r="HZ2" s="2778"/>
      <c r="IA2" s="2778"/>
      <c r="IB2" s="2778"/>
      <c r="IC2" s="2778"/>
      <c r="ID2" s="2778"/>
      <c r="IE2" s="2778"/>
      <c r="IF2" s="2778"/>
      <c r="IG2" s="2778"/>
      <c r="IH2" s="2778"/>
      <c r="II2" s="2778"/>
      <c r="IJ2" s="2778"/>
      <c r="IK2" s="2778"/>
      <c r="IL2" s="2778"/>
      <c r="IM2" s="2778"/>
      <c r="IN2" s="2778"/>
      <c r="IO2" s="2778"/>
      <c r="IP2" s="2778"/>
      <c r="IQ2" s="2778"/>
      <c r="IR2" s="2778"/>
      <c r="IS2" s="2778"/>
      <c r="IT2" s="2778"/>
      <c r="IU2" s="2778"/>
      <c r="IV2" s="2778"/>
      <c r="IW2" s="2778"/>
    </row>
    <row r="3" spans="1:257" s="2834" customFormat="1">
      <c r="A3" s="2779"/>
      <c r="B3" s="2838" t="s">
        <v>2816</v>
      </c>
      <c r="C3" s="2840">
        <f>'数据-取费表'!B19</f>
        <v>1</v>
      </c>
      <c r="D3" s="2838" t="s">
        <v>2784</v>
      </c>
      <c r="E3" s="2841">
        <f ca="1">INDIRECT("J"&amp;$J$1)/100</f>
        <v>4.3499999999999997E-2</v>
      </c>
      <c r="G3" s="2780" t="s">
        <v>2787</v>
      </c>
      <c r="H3" s="2781">
        <v>0</v>
      </c>
      <c r="I3" s="2782">
        <f ca="1">INDIRECT("d"&amp;$H$1)</f>
        <v>4.3499999999999996</v>
      </c>
      <c r="J3" s="2782">
        <f ca="1">INDIRECT("d"&amp;$H$1)</f>
        <v>4.3499999999999996</v>
      </c>
      <c r="K3" s="2779"/>
      <c r="L3" s="2779"/>
      <c r="M3" s="2783">
        <v>0.5</v>
      </c>
      <c r="N3" s="2784">
        <f ca="1">INDIRECT("p"&amp;$N$1)</f>
        <v>1.3</v>
      </c>
      <c r="O3" s="2779"/>
      <c r="P3" s="2779"/>
      <c r="Q3" s="2779"/>
      <c r="R3" s="2779"/>
      <c r="S3" s="2779"/>
      <c r="T3" s="2779"/>
      <c r="U3" s="2779"/>
      <c r="V3" s="2779"/>
      <c r="W3" s="2779"/>
      <c r="X3" s="2779"/>
      <c r="Y3" s="2779"/>
      <c r="Z3" s="2779"/>
      <c r="AA3" s="2779"/>
      <c r="AB3" s="2779"/>
      <c r="AC3" s="2779"/>
      <c r="AD3" s="2779"/>
      <c r="AE3" s="2779"/>
      <c r="AF3" s="2779"/>
      <c r="AG3" s="2779"/>
      <c r="AH3" s="2779"/>
      <c r="AI3" s="2779"/>
      <c r="AJ3" s="2779"/>
      <c r="AK3" s="2779"/>
      <c r="AL3" s="2779"/>
      <c r="AM3" s="2779"/>
      <c r="AN3" s="2779"/>
      <c r="AO3" s="2779"/>
      <c r="AP3" s="2779"/>
      <c r="AQ3" s="2779"/>
      <c r="AR3" s="2779"/>
      <c r="AS3" s="2779"/>
      <c r="AT3" s="2779"/>
      <c r="AU3" s="2779"/>
      <c r="AV3" s="2779"/>
      <c r="AW3" s="2779"/>
      <c r="AX3" s="2779"/>
      <c r="AY3" s="2779"/>
      <c r="AZ3" s="2779"/>
      <c r="BA3" s="2779"/>
      <c r="BB3" s="2779"/>
      <c r="BC3" s="2779"/>
      <c r="BD3" s="2779"/>
      <c r="BE3" s="2779"/>
      <c r="BF3" s="2779"/>
      <c r="BG3" s="2779"/>
      <c r="BH3" s="2779"/>
      <c r="BI3" s="2779"/>
      <c r="BJ3" s="2779"/>
      <c r="BK3" s="2779"/>
      <c r="BL3" s="2779"/>
      <c r="BM3" s="2779"/>
      <c r="BN3" s="2779"/>
      <c r="BO3" s="2779"/>
      <c r="BP3" s="2779"/>
      <c r="BQ3" s="2779"/>
      <c r="BR3" s="2779"/>
      <c r="BS3" s="2779"/>
      <c r="BT3" s="2779"/>
      <c r="BU3" s="2779"/>
      <c r="BV3" s="2779"/>
      <c r="BW3" s="2779"/>
      <c r="BX3" s="2779"/>
      <c r="BY3" s="2779"/>
      <c r="BZ3" s="2779"/>
      <c r="CA3" s="2779"/>
      <c r="CB3" s="2779"/>
      <c r="CC3" s="2779"/>
      <c r="CD3" s="2779"/>
      <c r="CE3" s="2779"/>
      <c r="CF3" s="2779"/>
      <c r="CG3" s="2779"/>
      <c r="CH3" s="2779"/>
      <c r="CI3" s="2779"/>
      <c r="CJ3" s="2779"/>
      <c r="CK3" s="2779"/>
      <c r="CL3" s="2779"/>
      <c r="CM3" s="2779"/>
      <c r="CN3" s="2779"/>
      <c r="CO3" s="2779"/>
      <c r="CP3" s="2779"/>
      <c r="CQ3" s="2779"/>
      <c r="CR3" s="2779"/>
      <c r="CS3" s="2779"/>
      <c r="CT3" s="2779"/>
      <c r="CU3" s="2779"/>
      <c r="CV3" s="2779"/>
      <c r="CW3" s="2779"/>
      <c r="CX3" s="2779"/>
      <c r="CY3" s="2779"/>
      <c r="CZ3" s="2779"/>
      <c r="DA3" s="2779"/>
      <c r="DB3" s="2779"/>
      <c r="DC3" s="2779"/>
      <c r="DD3" s="2779"/>
      <c r="DE3" s="2779"/>
      <c r="DF3" s="2779"/>
      <c r="DG3" s="2779"/>
      <c r="DH3" s="2779"/>
      <c r="DI3" s="2779"/>
      <c r="DJ3" s="2779"/>
      <c r="DK3" s="2779"/>
      <c r="DL3" s="2779"/>
      <c r="DM3" s="2779"/>
      <c r="DN3" s="2779"/>
      <c r="DO3" s="2779"/>
      <c r="DP3" s="2779"/>
      <c r="DQ3" s="2779"/>
      <c r="DR3" s="2779"/>
      <c r="DS3" s="2779"/>
      <c r="DT3" s="2779"/>
      <c r="DU3" s="2779"/>
      <c r="DV3" s="2779"/>
      <c r="DW3" s="2779"/>
      <c r="DX3" s="2779"/>
      <c r="DY3" s="2779"/>
      <c r="DZ3" s="2779"/>
      <c r="EA3" s="2779"/>
      <c r="EB3" s="2779"/>
      <c r="EC3" s="2779"/>
      <c r="ED3" s="2779"/>
      <c r="EE3" s="2779"/>
      <c r="EF3" s="2779"/>
      <c r="EG3" s="2779"/>
      <c r="EH3" s="2779"/>
      <c r="EI3" s="2779"/>
      <c r="EJ3" s="2779"/>
      <c r="EK3" s="2779"/>
      <c r="EL3" s="2779"/>
      <c r="EM3" s="2779"/>
      <c r="EN3" s="2779"/>
      <c r="EO3" s="2779"/>
      <c r="EP3" s="2779"/>
      <c r="EQ3" s="2779"/>
      <c r="ER3" s="2779"/>
      <c r="ES3" s="2779"/>
      <c r="ET3" s="2779"/>
      <c r="EU3" s="2779"/>
      <c r="EV3" s="2779"/>
      <c r="EW3" s="2779"/>
      <c r="EX3" s="2779"/>
      <c r="EY3" s="2779"/>
      <c r="EZ3" s="2779"/>
      <c r="FA3" s="2779"/>
      <c r="FB3" s="2779"/>
      <c r="FC3" s="2779"/>
      <c r="FD3" s="2779"/>
      <c r="FE3" s="2779"/>
      <c r="FF3" s="2779"/>
      <c r="FG3" s="2779"/>
      <c r="FH3" s="2779"/>
      <c r="FI3" s="2779"/>
      <c r="FJ3" s="2779"/>
      <c r="FK3" s="2779"/>
      <c r="FL3" s="2779"/>
      <c r="FM3" s="2779"/>
      <c r="FN3" s="2779"/>
      <c r="FO3" s="2779"/>
      <c r="FP3" s="2779"/>
      <c r="FQ3" s="2779"/>
      <c r="FR3" s="2779"/>
      <c r="FS3" s="2779"/>
      <c r="FT3" s="2779"/>
      <c r="FU3" s="2779"/>
      <c r="FV3" s="2779"/>
      <c r="FW3" s="2779"/>
      <c r="FX3" s="2779"/>
      <c r="FY3" s="2779"/>
      <c r="FZ3" s="2779"/>
      <c r="GA3" s="2779"/>
      <c r="GB3" s="2779"/>
      <c r="GC3" s="2779"/>
      <c r="GD3" s="2779"/>
      <c r="GE3" s="2779"/>
      <c r="GF3" s="2779"/>
      <c r="GG3" s="2779"/>
      <c r="GH3" s="2779"/>
      <c r="GI3" s="2779"/>
      <c r="GJ3" s="2779"/>
      <c r="GK3" s="2779"/>
      <c r="GL3" s="2779"/>
      <c r="GM3" s="2779"/>
      <c r="GN3" s="2779"/>
      <c r="GO3" s="2779"/>
      <c r="GP3" s="2779"/>
      <c r="GQ3" s="2779"/>
      <c r="GR3" s="2779"/>
      <c r="GS3" s="2779"/>
      <c r="GT3" s="2779"/>
      <c r="GU3" s="2779"/>
      <c r="GV3" s="2779"/>
      <c r="GW3" s="2779"/>
      <c r="GX3" s="2779"/>
      <c r="GY3" s="2779"/>
      <c r="GZ3" s="2779"/>
      <c r="HA3" s="2779"/>
      <c r="HB3" s="2779"/>
      <c r="HC3" s="2779"/>
      <c r="HD3" s="2779"/>
      <c r="HE3" s="2779"/>
      <c r="HF3" s="2779"/>
      <c r="HG3" s="2779"/>
      <c r="HH3" s="2779"/>
      <c r="HI3" s="2779"/>
      <c r="HJ3" s="2779"/>
      <c r="HK3" s="2779"/>
      <c r="HL3" s="2779"/>
      <c r="HM3" s="2779"/>
      <c r="HN3" s="2779"/>
      <c r="HO3" s="2779"/>
      <c r="HP3" s="2779"/>
      <c r="HQ3" s="2779"/>
      <c r="HR3" s="2779"/>
      <c r="HS3" s="2779"/>
      <c r="HT3" s="2779"/>
      <c r="HU3" s="2779"/>
      <c r="HV3" s="2779"/>
      <c r="HW3" s="2779"/>
      <c r="HX3" s="2779"/>
      <c r="HY3" s="2779"/>
      <c r="HZ3" s="2779"/>
      <c r="IA3" s="2779"/>
      <c r="IB3" s="2779"/>
      <c r="IC3" s="2779"/>
      <c r="ID3" s="2779"/>
      <c r="IE3" s="2779"/>
      <c r="IF3" s="2779"/>
      <c r="IG3" s="2779"/>
      <c r="IH3" s="2779"/>
      <c r="II3" s="2779"/>
      <c r="IJ3" s="2779"/>
      <c r="IK3" s="2779"/>
      <c r="IL3" s="2779"/>
      <c r="IM3" s="2779"/>
      <c r="IN3" s="2779"/>
      <c r="IO3" s="2779"/>
      <c r="IP3" s="2779"/>
      <c r="IQ3" s="2779"/>
      <c r="IR3" s="2779"/>
      <c r="IS3" s="2779"/>
      <c r="IT3" s="2779"/>
      <c r="IU3" s="2779"/>
      <c r="IV3" s="2779"/>
    </row>
    <row r="4" spans="1:257" s="2834" customFormat="1">
      <c r="A4" s="2779"/>
      <c r="B4" s="2838" t="s">
        <v>2815</v>
      </c>
      <c r="C4" s="2841">
        <f ca="1">N4/100</f>
        <v>1.4999999999999999E-2</v>
      </c>
      <c r="G4" s="2786" t="s">
        <v>2788</v>
      </c>
      <c r="H4" s="2787">
        <v>0.5</v>
      </c>
      <c r="I4" s="2788">
        <f ca="1">INDIRECT("e"&amp;$H$1)</f>
        <v>4.3499999999999996</v>
      </c>
      <c r="J4" s="2788">
        <f ca="1">INDIRECT("e"&amp;$H$1)</f>
        <v>4.3499999999999996</v>
      </c>
      <c r="K4" s="2779"/>
      <c r="L4" s="2779"/>
      <c r="M4" s="2789">
        <v>1</v>
      </c>
      <c r="N4" s="2790">
        <f ca="1">INDIRECT("q"&amp;$N$1)</f>
        <v>1.5</v>
      </c>
      <c r="O4" s="2779"/>
      <c r="P4" s="2779"/>
      <c r="Q4" s="2779"/>
      <c r="R4" s="2779"/>
      <c r="S4" s="2779"/>
      <c r="T4" s="2779"/>
      <c r="U4" s="2779"/>
      <c r="V4" s="2779"/>
      <c r="W4" s="2779"/>
      <c r="X4" s="2779"/>
      <c r="Y4" s="2779"/>
      <c r="Z4" s="2779"/>
      <c r="AA4" s="2779"/>
      <c r="AB4" s="2779"/>
      <c r="AC4" s="2779"/>
      <c r="AD4" s="2779"/>
      <c r="AE4" s="2779"/>
      <c r="AF4" s="2779"/>
      <c r="AG4" s="2779"/>
      <c r="AH4" s="2779"/>
      <c r="AI4" s="2779"/>
      <c r="AJ4" s="2779"/>
      <c r="AK4" s="2779"/>
      <c r="AL4" s="2779"/>
      <c r="AM4" s="2779"/>
      <c r="AN4" s="2779"/>
      <c r="AO4" s="2779"/>
      <c r="AP4" s="2779"/>
      <c r="AQ4" s="2779"/>
      <c r="AR4" s="2779"/>
      <c r="AS4" s="2779"/>
      <c r="AT4" s="2779"/>
      <c r="AU4" s="2779"/>
      <c r="AV4" s="2779"/>
      <c r="AW4" s="2779"/>
      <c r="AX4" s="2779"/>
      <c r="AY4" s="2779"/>
      <c r="AZ4" s="2779"/>
      <c r="BA4" s="2779"/>
      <c r="BB4" s="2779"/>
      <c r="BC4" s="2779"/>
      <c r="BD4" s="2779"/>
      <c r="BE4" s="2779"/>
      <c r="BF4" s="2779"/>
      <c r="BG4" s="2779"/>
      <c r="BH4" s="2779"/>
      <c r="BI4" s="2779"/>
      <c r="BJ4" s="2779"/>
      <c r="BK4" s="2779"/>
      <c r="BL4" s="2779"/>
      <c r="BM4" s="2779"/>
      <c r="BN4" s="2779"/>
      <c r="BO4" s="2779"/>
      <c r="BP4" s="2779"/>
      <c r="BQ4" s="2779"/>
      <c r="BR4" s="2779"/>
      <c r="BS4" s="2779"/>
      <c r="BT4" s="2779"/>
      <c r="BU4" s="2779"/>
      <c r="BV4" s="2779"/>
      <c r="BW4" s="2779"/>
      <c r="BX4" s="2779"/>
      <c r="BY4" s="2779"/>
      <c r="BZ4" s="2779"/>
      <c r="CA4" s="2779"/>
      <c r="CB4" s="2779"/>
      <c r="CC4" s="2779"/>
      <c r="CD4" s="2779"/>
      <c r="CE4" s="2779"/>
      <c r="CF4" s="2779"/>
      <c r="CG4" s="2779"/>
      <c r="CH4" s="2779"/>
      <c r="CI4" s="2779"/>
      <c r="CJ4" s="2779"/>
      <c r="CK4" s="2779"/>
      <c r="CL4" s="2779"/>
      <c r="CM4" s="2779"/>
      <c r="CN4" s="2779"/>
      <c r="CO4" s="2779"/>
      <c r="CP4" s="2779"/>
      <c r="CQ4" s="2779"/>
      <c r="CR4" s="2779"/>
      <c r="CS4" s="2779"/>
      <c r="CT4" s="2779"/>
      <c r="CU4" s="2779"/>
      <c r="CV4" s="2779"/>
      <c r="CW4" s="2779"/>
      <c r="CX4" s="2779"/>
      <c r="CY4" s="2779"/>
      <c r="CZ4" s="2779"/>
      <c r="DA4" s="2779"/>
      <c r="DB4" s="2779"/>
      <c r="DC4" s="2779"/>
      <c r="DD4" s="2779"/>
      <c r="DE4" s="2779"/>
      <c r="DF4" s="2779"/>
      <c r="DG4" s="2779"/>
      <c r="DH4" s="2779"/>
      <c r="DI4" s="2779"/>
      <c r="DJ4" s="2779"/>
      <c r="DK4" s="2779"/>
      <c r="DL4" s="2779"/>
      <c r="DM4" s="2779"/>
      <c r="DN4" s="2779"/>
      <c r="DO4" s="2779"/>
      <c r="DP4" s="2779"/>
      <c r="DQ4" s="2779"/>
      <c r="DR4" s="2779"/>
      <c r="DS4" s="2779"/>
      <c r="DT4" s="2779"/>
      <c r="DU4" s="2779"/>
      <c r="DV4" s="2779"/>
      <c r="DW4" s="2779"/>
      <c r="DX4" s="2779"/>
      <c r="DY4" s="2779"/>
      <c r="DZ4" s="2779"/>
      <c r="EA4" s="2779"/>
      <c r="EB4" s="2779"/>
      <c r="EC4" s="2779"/>
      <c r="ED4" s="2779"/>
      <c r="EE4" s="2779"/>
      <c r="EF4" s="2779"/>
      <c r="EG4" s="2779"/>
      <c r="EH4" s="2779"/>
      <c r="EI4" s="2779"/>
      <c r="EJ4" s="2779"/>
      <c r="EK4" s="2779"/>
      <c r="EL4" s="2779"/>
      <c r="EM4" s="2779"/>
      <c r="EN4" s="2779"/>
      <c r="EO4" s="2779"/>
      <c r="EP4" s="2779"/>
      <c r="EQ4" s="2779"/>
      <c r="ER4" s="2779"/>
      <c r="ES4" s="2779"/>
      <c r="ET4" s="2779"/>
      <c r="EU4" s="2779"/>
      <c r="EV4" s="2779"/>
      <c r="EW4" s="2779"/>
      <c r="EX4" s="2779"/>
      <c r="EY4" s="2779"/>
      <c r="EZ4" s="2779"/>
      <c r="FA4" s="2779"/>
      <c r="FB4" s="2779"/>
      <c r="FC4" s="2779"/>
      <c r="FD4" s="2779"/>
      <c r="FE4" s="2779"/>
      <c r="FF4" s="2779"/>
      <c r="FG4" s="2779"/>
      <c r="FH4" s="2779"/>
      <c r="FI4" s="2779"/>
      <c r="FJ4" s="2779"/>
      <c r="FK4" s="2779"/>
      <c r="FL4" s="2779"/>
      <c r="FM4" s="2779"/>
      <c r="FN4" s="2779"/>
      <c r="FO4" s="2779"/>
      <c r="FP4" s="2779"/>
      <c r="FQ4" s="2779"/>
      <c r="FR4" s="2779"/>
      <c r="FS4" s="2779"/>
      <c r="FT4" s="2779"/>
      <c r="FU4" s="2779"/>
      <c r="FV4" s="2779"/>
      <c r="FW4" s="2779"/>
      <c r="FX4" s="2779"/>
      <c r="FY4" s="2779"/>
      <c r="FZ4" s="2779"/>
      <c r="GA4" s="2779"/>
      <c r="GB4" s="2779"/>
      <c r="GC4" s="2779"/>
      <c r="GD4" s="2779"/>
      <c r="GE4" s="2779"/>
      <c r="GF4" s="2779"/>
      <c r="GG4" s="2779"/>
      <c r="GH4" s="2779"/>
      <c r="GI4" s="2779"/>
      <c r="GJ4" s="2779"/>
      <c r="GK4" s="2779"/>
      <c r="GL4" s="2779"/>
      <c r="GM4" s="2779"/>
      <c r="GN4" s="2779"/>
      <c r="GO4" s="2779"/>
      <c r="GP4" s="2779"/>
      <c r="GQ4" s="2779"/>
      <c r="GR4" s="2779"/>
      <c r="GS4" s="2779"/>
      <c r="GT4" s="2779"/>
      <c r="GU4" s="2779"/>
      <c r="GV4" s="2779"/>
      <c r="GW4" s="2779"/>
      <c r="GX4" s="2779"/>
      <c r="GY4" s="2779"/>
      <c r="GZ4" s="2779"/>
      <c r="HA4" s="2779"/>
      <c r="HB4" s="2779"/>
      <c r="HC4" s="2779"/>
      <c r="HD4" s="2779"/>
      <c r="HE4" s="2779"/>
      <c r="HF4" s="2779"/>
      <c r="HG4" s="2779"/>
      <c r="HH4" s="2779"/>
      <c r="HI4" s="2779"/>
      <c r="HJ4" s="2779"/>
      <c r="HK4" s="2779"/>
      <c r="HL4" s="2779"/>
      <c r="HM4" s="2779"/>
      <c r="HN4" s="2779"/>
      <c r="HO4" s="2779"/>
      <c r="HP4" s="2779"/>
      <c r="HQ4" s="2779"/>
      <c r="HR4" s="2779"/>
      <c r="HS4" s="2779"/>
      <c r="HT4" s="2779"/>
      <c r="HU4" s="2779"/>
      <c r="HV4" s="2779"/>
      <c r="HW4" s="2779"/>
      <c r="HX4" s="2779"/>
      <c r="HY4" s="2779"/>
      <c r="HZ4" s="2779"/>
      <c r="IA4" s="2779"/>
      <c r="IB4" s="2779"/>
      <c r="IC4" s="2779"/>
      <c r="ID4" s="2779"/>
      <c r="IE4" s="2779"/>
      <c r="IF4" s="2779"/>
      <c r="IG4" s="2779"/>
      <c r="IH4" s="2779"/>
      <c r="II4" s="2779"/>
      <c r="IJ4" s="2779"/>
      <c r="IK4" s="2779"/>
      <c r="IL4" s="2779"/>
      <c r="IM4" s="2779"/>
      <c r="IN4" s="2779"/>
      <c r="IO4" s="2779"/>
      <c r="IP4" s="2779"/>
      <c r="IQ4" s="2779"/>
      <c r="IR4" s="2779"/>
      <c r="IS4" s="2779"/>
      <c r="IT4" s="2779"/>
      <c r="IU4" s="2779"/>
      <c r="IV4" s="2779"/>
    </row>
    <row r="5" spans="1:257" s="2834" customFormat="1">
      <c r="A5" s="2779"/>
      <c r="G5" s="2786" t="s">
        <v>2789</v>
      </c>
      <c r="H5" s="2787">
        <v>1</v>
      </c>
      <c r="I5" s="2788">
        <f ca="1">INDIRECT("f"&amp;$H$1)</f>
        <v>4.75</v>
      </c>
      <c r="J5" s="2788">
        <f ca="1">INDIRECT("f"&amp;$H$1)</f>
        <v>4.75</v>
      </c>
      <c r="K5" s="2779"/>
      <c r="L5" s="2779"/>
      <c r="M5" s="2789">
        <v>2</v>
      </c>
      <c r="N5" s="2790">
        <f ca="1">INDIRECT("r"&amp;$N$1)</f>
        <v>2.1</v>
      </c>
      <c r="O5" s="2779"/>
      <c r="P5" s="2779"/>
      <c r="Q5" s="2779"/>
      <c r="R5" s="2779"/>
      <c r="S5" s="2779"/>
      <c r="T5" s="2779"/>
      <c r="U5" s="2779"/>
      <c r="V5" s="2779"/>
      <c r="W5" s="2779"/>
      <c r="X5" s="2779"/>
      <c r="Y5" s="2779"/>
      <c r="Z5" s="2779"/>
      <c r="AA5" s="2779"/>
      <c r="AB5" s="2779"/>
      <c r="AC5" s="2779"/>
      <c r="AD5" s="2779"/>
      <c r="AE5" s="2779"/>
      <c r="AF5" s="2779"/>
      <c r="AG5" s="2779"/>
      <c r="AH5" s="2779"/>
      <c r="AI5" s="2779"/>
      <c r="AJ5" s="2779"/>
      <c r="AK5" s="2779"/>
      <c r="AL5" s="2779"/>
      <c r="AM5" s="2779"/>
      <c r="AN5" s="2779"/>
      <c r="AO5" s="2779"/>
      <c r="AP5" s="2779"/>
      <c r="AQ5" s="2779"/>
      <c r="AR5" s="2779"/>
      <c r="AS5" s="2779"/>
      <c r="AT5" s="2779"/>
      <c r="AU5" s="2779"/>
      <c r="AV5" s="2779"/>
      <c r="AW5" s="2779"/>
      <c r="AX5" s="2779"/>
      <c r="AY5" s="2779"/>
      <c r="AZ5" s="2779"/>
      <c r="BA5" s="2779"/>
      <c r="BB5" s="2779"/>
      <c r="BC5" s="2779"/>
      <c r="BD5" s="2779"/>
      <c r="BE5" s="2779"/>
      <c r="BF5" s="2779"/>
      <c r="BG5" s="2779"/>
      <c r="BH5" s="2779"/>
      <c r="BI5" s="2779"/>
      <c r="BJ5" s="2779"/>
      <c r="BK5" s="2779"/>
      <c r="BL5" s="2779"/>
      <c r="BM5" s="2779"/>
      <c r="BN5" s="2779"/>
      <c r="BO5" s="2779"/>
      <c r="BP5" s="2779"/>
      <c r="BQ5" s="2779"/>
      <c r="BR5" s="2779"/>
      <c r="BS5" s="2779"/>
      <c r="BT5" s="2779"/>
      <c r="BU5" s="2779"/>
      <c r="BV5" s="2779"/>
      <c r="BW5" s="2779"/>
      <c r="BX5" s="2779"/>
      <c r="BY5" s="2779"/>
      <c r="BZ5" s="2779"/>
      <c r="CA5" s="2779"/>
      <c r="CB5" s="2779"/>
      <c r="CC5" s="2779"/>
      <c r="CD5" s="2779"/>
      <c r="CE5" s="2779"/>
      <c r="CF5" s="2779"/>
      <c r="CG5" s="2779"/>
      <c r="CH5" s="2779"/>
      <c r="CI5" s="2779"/>
      <c r="CJ5" s="2779"/>
      <c r="CK5" s="2779"/>
      <c r="CL5" s="2779"/>
      <c r="CM5" s="2779"/>
      <c r="CN5" s="2779"/>
      <c r="CO5" s="2779"/>
      <c r="CP5" s="2779"/>
      <c r="CQ5" s="2779"/>
      <c r="CR5" s="2779"/>
      <c r="CS5" s="2779"/>
      <c r="CT5" s="2779"/>
      <c r="CU5" s="2779"/>
      <c r="CV5" s="2779"/>
      <c r="CW5" s="2779"/>
      <c r="CX5" s="2779"/>
      <c r="CY5" s="2779"/>
      <c r="CZ5" s="2779"/>
      <c r="DA5" s="2779"/>
      <c r="DB5" s="2779"/>
      <c r="DC5" s="2779"/>
      <c r="DD5" s="2779"/>
      <c r="DE5" s="2779"/>
      <c r="DF5" s="2779"/>
      <c r="DG5" s="2779"/>
      <c r="DH5" s="2779"/>
      <c r="DI5" s="2779"/>
      <c r="DJ5" s="2779"/>
      <c r="DK5" s="2779"/>
      <c r="DL5" s="2779"/>
      <c r="DM5" s="2779"/>
      <c r="DN5" s="2779"/>
      <c r="DO5" s="2779"/>
      <c r="DP5" s="2779"/>
      <c r="DQ5" s="2779"/>
      <c r="DR5" s="2779"/>
      <c r="DS5" s="2779"/>
      <c r="DT5" s="2779"/>
      <c r="DU5" s="2779"/>
      <c r="DV5" s="2779"/>
      <c r="DW5" s="2779"/>
      <c r="DX5" s="2779"/>
      <c r="DY5" s="2779"/>
      <c r="DZ5" s="2779"/>
      <c r="EA5" s="2779"/>
      <c r="EB5" s="2779"/>
      <c r="EC5" s="2779"/>
      <c r="ED5" s="2779"/>
      <c r="EE5" s="2779"/>
      <c r="EF5" s="2779"/>
      <c r="EG5" s="2779"/>
      <c r="EH5" s="2779"/>
      <c r="EI5" s="2779"/>
      <c r="EJ5" s="2779"/>
      <c r="EK5" s="2779"/>
      <c r="EL5" s="2779"/>
      <c r="EM5" s="2779"/>
      <c r="EN5" s="2779"/>
      <c r="EO5" s="2779"/>
      <c r="EP5" s="2779"/>
      <c r="EQ5" s="2779"/>
      <c r="ER5" s="2779"/>
      <c r="ES5" s="2779"/>
      <c r="ET5" s="2779"/>
      <c r="EU5" s="2779"/>
      <c r="EV5" s="2779"/>
      <c r="EW5" s="2779"/>
      <c r="EX5" s="2779"/>
      <c r="EY5" s="2779"/>
      <c r="EZ5" s="2779"/>
      <c r="FA5" s="2779"/>
      <c r="FB5" s="2779"/>
      <c r="FC5" s="2779"/>
      <c r="FD5" s="2779"/>
      <c r="FE5" s="2779"/>
      <c r="FF5" s="2779"/>
      <c r="FG5" s="2779"/>
      <c r="FH5" s="2779"/>
      <c r="FI5" s="2779"/>
      <c r="FJ5" s="2779"/>
      <c r="FK5" s="2779"/>
      <c r="FL5" s="2779"/>
      <c r="FM5" s="2779"/>
      <c r="FN5" s="2779"/>
      <c r="FO5" s="2779"/>
      <c r="FP5" s="2779"/>
      <c r="FQ5" s="2779"/>
      <c r="FR5" s="2779"/>
      <c r="FS5" s="2779"/>
      <c r="FT5" s="2779"/>
      <c r="FU5" s="2779"/>
      <c r="FV5" s="2779"/>
      <c r="FW5" s="2779"/>
      <c r="FX5" s="2779"/>
      <c r="FY5" s="2779"/>
      <c r="FZ5" s="2779"/>
      <c r="GA5" s="2779"/>
      <c r="GB5" s="2779"/>
      <c r="GC5" s="2779"/>
      <c r="GD5" s="2779"/>
      <c r="GE5" s="2779"/>
      <c r="GF5" s="2779"/>
      <c r="GG5" s="2779"/>
      <c r="GH5" s="2779"/>
      <c r="GI5" s="2779"/>
      <c r="GJ5" s="2779"/>
      <c r="GK5" s="2779"/>
      <c r="GL5" s="2779"/>
      <c r="GM5" s="2779"/>
      <c r="GN5" s="2779"/>
      <c r="GO5" s="2779"/>
      <c r="GP5" s="2779"/>
      <c r="GQ5" s="2779"/>
      <c r="GR5" s="2779"/>
      <c r="GS5" s="2779"/>
      <c r="GT5" s="2779"/>
      <c r="GU5" s="2779"/>
      <c r="GV5" s="2779"/>
      <c r="GW5" s="2779"/>
      <c r="GX5" s="2779"/>
      <c r="GY5" s="2779"/>
      <c r="GZ5" s="2779"/>
      <c r="HA5" s="2779"/>
      <c r="HB5" s="2779"/>
      <c r="HC5" s="2779"/>
      <c r="HD5" s="2779"/>
      <c r="HE5" s="2779"/>
      <c r="HF5" s="2779"/>
      <c r="HG5" s="2779"/>
      <c r="HH5" s="2779"/>
      <c r="HI5" s="2779"/>
      <c r="HJ5" s="2779"/>
      <c r="HK5" s="2779"/>
      <c r="HL5" s="2779"/>
      <c r="HM5" s="2779"/>
      <c r="HN5" s="2779"/>
      <c r="HO5" s="2779"/>
      <c r="HP5" s="2779"/>
      <c r="HQ5" s="2779"/>
      <c r="HR5" s="2779"/>
      <c r="HS5" s="2779"/>
      <c r="HT5" s="2779"/>
      <c r="HU5" s="2779"/>
      <c r="HV5" s="2779"/>
      <c r="HW5" s="2779"/>
      <c r="HX5" s="2779"/>
      <c r="HY5" s="2779"/>
      <c r="HZ5" s="2779"/>
      <c r="IA5" s="2779"/>
      <c r="IB5" s="2779"/>
      <c r="IC5" s="2779"/>
      <c r="ID5" s="2779"/>
      <c r="IE5" s="2779"/>
      <c r="IF5" s="2779"/>
      <c r="IG5" s="2779"/>
      <c r="IH5" s="2779"/>
      <c r="II5" s="2779"/>
      <c r="IJ5" s="2779"/>
      <c r="IK5" s="2779"/>
      <c r="IL5" s="2779"/>
      <c r="IM5" s="2779"/>
      <c r="IN5" s="2779"/>
      <c r="IO5" s="2779"/>
      <c r="IP5" s="2779"/>
      <c r="IQ5" s="2779"/>
      <c r="IR5" s="2779"/>
      <c r="IS5" s="2779"/>
      <c r="IT5" s="2779"/>
      <c r="IU5" s="2779"/>
      <c r="IV5" s="2779"/>
    </row>
    <row r="6" spans="1:257" s="2834" customFormat="1">
      <c r="A6" s="2779"/>
      <c r="G6" s="2786" t="s">
        <v>2790</v>
      </c>
      <c r="H6" s="2787">
        <v>3</v>
      </c>
      <c r="I6" s="2788">
        <f ca="1">INDIRECT("g"&amp;$H$1)</f>
        <v>4.75</v>
      </c>
      <c r="J6" s="2788">
        <f ca="1">INDIRECT("g"&amp;$H$1)</f>
        <v>4.75</v>
      </c>
      <c r="K6" s="2779"/>
      <c r="L6" s="2779"/>
      <c r="M6" s="2789">
        <v>3</v>
      </c>
      <c r="N6" s="2790">
        <f ca="1">INDIRECT("s"&amp;$N$1)</f>
        <v>2.75</v>
      </c>
      <c r="O6" s="2779"/>
      <c r="P6" s="2779"/>
      <c r="Q6" s="2779"/>
      <c r="R6" s="2779"/>
      <c r="S6" s="2779"/>
      <c r="T6" s="2779"/>
      <c r="U6" s="2779"/>
      <c r="V6" s="2779"/>
      <c r="W6" s="2779"/>
      <c r="X6" s="2779"/>
      <c r="Y6" s="2779"/>
      <c r="Z6" s="2779"/>
      <c r="AA6" s="2779"/>
      <c r="AB6" s="2779"/>
      <c r="AC6" s="2779"/>
      <c r="AD6" s="2779"/>
      <c r="AE6" s="2779"/>
      <c r="AF6" s="2779"/>
      <c r="AG6" s="2779"/>
      <c r="AH6" s="2779"/>
      <c r="AI6" s="2779"/>
      <c r="AJ6" s="2779"/>
      <c r="AK6" s="2779"/>
      <c r="AL6" s="2779"/>
      <c r="AM6" s="2779"/>
      <c r="AN6" s="2779"/>
      <c r="AO6" s="2779"/>
      <c r="AP6" s="2779"/>
      <c r="AQ6" s="2779"/>
      <c r="AR6" s="2779"/>
      <c r="AS6" s="2779"/>
      <c r="AT6" s="2779"/>
      <c r="AU6" s="2779"/>
      <c r="AV6" s="2779"/>
      <c r="AW6" s="2779"/>
      <c r="AX6" s="2779"/>
      <c r="AY6" s="2779"/>
      <c r="AZ6" s="2779"/>
      <c r="BA6" s="2779"/>
      <c r="BB6" s="2779"/>
      <c r="BC6" s="2779"/>
      <c r="BD6" s="2779"/>
      <c r="BE6" s="2779"/>
      <c r="BF6" s="2779"/>
      <c r="BG6" s="2779"/>
      <c r="BH6" s="2779"/>
      <c r="BI6" s="2779"/>
      <c r="BJ6" s="2779"/>
      <c r="BK6" s="2779"/>
      <c r="BL6" s="2779"/>
      <c r="BM6" s="2779"/>
      <c r="BN6" s="2779"/>
      <c r="BO6" s="2779"/>
      <c r="BP6" s="2779"/>
      <c r="BQ6" s="2779"/>
      <c r="BR6" s="2779"/>
      <c r="BS6" s="2779"/>
      <c r="BT6" s="2779"/>
      <c r="BU6" s="2779"/>
      <c r="BV6" s="2779"/>
      <c r="BW6" s="2779"/>
      <c r="BX6" s="2779"/>
      <c r="BY6" s="2779"/>
      <c r="BZ6" s="2779"/>
      <c r="CA6" s="2779"/>
      <c r="CB6" s="2779"/>
      <c r="CC6" s="2779"/>
      <c r="CD6" s="2779"/>
      <c r="CE6" s="2779"/>
      <c r="CF6" s="2779"/>
      <c r="CG6" s="2779"/>
      <c r="CH6" s="2779"/>
      <c r="CI6" s="2779"/>
      <c r="CJ6" s="2779"/>
      <c r="CK6" s="2779"/>
      <c r="CL6" s="2779"/>
      <c r="CM6" s="2779"/>
      <c r="CN6" s="2779"/>
      <c r="CO6" s="2779"/>
      <c r="CP6" s="2779"/>
      <c r="CQ6" s="2779"/>
      <c r="CR6" s="2779"/>
      <c r="CS6" s="2779"/>
      <c r="CT6" s="2779"/>
      <c r="CU6" s="2779"/>
      <c r="CV6" s="2779"/>
      <c r="CW6" s="2779"/>
      <c r="CX6" s="2779"/>
      <c r="CY6" s="2779"/>
      <c r="CZ6" s="2779"/>
      <c r="DA6" s="2779"/>
      <c r="DB6" s="2779"/>
      <c r="DC6" s="2779"/>
      <c r="DD6" s="2779"/>
      <c r="DE6" s="2779"/>
      <c r="DF6" s="2779"/>
      <c r="DG6" s="2779"/>
      <c r="DH6" s="2779"/>
      <c r="DI6" s="2779"/>
      <c r="DJ6" s="2779"/>
      <c r="DK6" s="2779"/>
      <c r="DL6" s="2779"/>
      <c r="DM6" s="2779"/>
      <c r="DN6" s="2779"/>
      <c r="DO6" s="2779"/>
      <c r="DP6" s="2779"/>
      <c r="DQ6" s="2779"/>
      <c r="DR6" s="2779"/>
      <c r="DS6" s="2779"/>
      <c r="DT6" s="2779"/>
      <c r="DU6" s="2779"/>
      <c r="DV6" s="2779"/>
      <c r="DW6" s="2779"/>
      <c r="DX6" s="2779"/>
      <c r="DY6" s="2779"/>
      <c r="DZ6" s="2779"/>
      <c r="EA6" s="2779"/>
      <c r="EB6" s="2779"/>
      <c r="EC6" s="2779"/>
      <c r="ED6" s="2779"/>
      <c r="EE6" s="2779"/>
      <c r="EF6" s="2779"/>
      <c r="EG6" s="2779"/>
      <c r="EH6" s="2779"/>
      <c r="EI6" s="2779"/>
      <c r="EJ6" s="2779"/>
      <c r="EK6" s="2779"/>
      <c r="EL6" s="2779"/>
      <c r="EM6" s="2779"/>
      <c r="EN6" s="2779"/>
      <c r="EO6" s="2779"/>
      <c r="EP6" s="2779"/>
      <c r="EQ6" s="2779"/>
      <c r="ER6" s="2779"/>
      <c r="ES6" s="2779"/>
      <c r="ET6" s="2779"/>
      <c r="EU6" s="2779"/>
      <c r="EV6" s="2779"/>
      <c r="EW6" s="2779"/>
      <c r="EX6" s="2779"/>
      <c r="EY6" s="2779"/>
      <c r="EZ6" s="2779"/>
      <c r="FA6" s="2779"/>
      <c r="FB6" s="2779"/>
      <c r="FC6" s="2779"/>
      <c r="FD6" s="2779"/>
      <c r="FE6" s="2779"/>
      <c r="FF6" s="2779"/>
      <c r="FG6" s="2779"/>
      <c r="FH6" s="2779"/>
      <c r="FI6" s="2779"/>
      <c r="FJ6" s="2779"/>
      <c r="FK6" s="2779"/>
      <c r="FL6" s="2779"/>
      <c r="FM6" s="2779"/>
      <c r="FN6" s="2779"/>
      <c r="FO6" s="2779"/>
      <c r="FP6" s="2779"/>
      <c r="FQ6" s="2779"/>
      <c r="FR6" s="2779"/>
      <c r="FS6" s="2779"/>
      <c r="FT6" s="2779"/>
      <c r="FU6" s="2779"/>
      <c r="FV6" s="2779"/>
      <c r="FW6" s="2779"/>
      <c r="FX6" s="2779"/>
      <c r="FY6" s="2779"/>
      <c r="FZ6" s="2779"/>
      <c r="GA6" s="2779"/>
      <c r="GB6" s="2779"/>
      <c r="GC6" s="2779"/>
      <c r="GD6" s="2779"/>
      <c r="GE6" s="2779"/>
      <c r="GF6" s="2779"/>
      <c r="GG6" s="2779"/>
      <c r="GH6" s="2779"/>
      <c r="GI6" s="2779"/>
      <c r="GJ6" s="2779"/>
      <c r="GK6" s="2779"/>
      <c r="GL6" s="2779"/>
      <c r="GM6" s="2779"/>
      <c r="GN6" s="2779"/>
      <c r="GO6" s="2779"/>
      <c r="GP6" s="2779"/>
      <c r="GQ6" s="2779"/>
      <c r="GR6" s="2779"/>
      <c r="GS6" s="2779"/>
      <c r="GT6" s="2779"/>
      <c r="GU6" s="2779"/>
      <c r="GV6" s="2779"/>
      <c r="GW6" s="2779"/>
      <c r="GX6" s="2779"/>
      <c r="GY6" s="2779"/>
      <c r="GZ6" s="2779"/>
      <c r="HA6" s="2779"/>
      <c r="HB6" s="2779"/>
      <c r="HC6" s="2779"/>
      <c r="HD6" s="2779"/>
      <c r="HE6" s="2779"/>
      <c r="HF6" s="2779"/>
      <c r="HG6" s="2779"/>
      <c r="HH6" s="2779"/>
      <c r="HI6" s="2779"/>
      <c r="HJ6" s="2779"/>
      <c r="HK6" s="2779"/>
      <c r="HL6" s="2779"/>
      <c r="HM6" s="2779"/>
      <c r="HN6" s="2779"/>
      <c r="HO6" s="2779"/>
      <c r="HP6" s="2779"/>
      <c r="HQ6" s="2779"/>
      <c r="HR6" s="2779"/>
      <c r="HS6" s="2779"/>
      <c r="HT6" s="2779"/>
      <c r="HU6" s="2779"/>
      <c r="HV6" s="2779"/>
      <c r="HW6" s="2779"/>
      <c r="HX6" s="2779"/>
      <c r="HY6" s="2779"/>
      <c r="HZ6" s="2779"/>
      <c r="IA6" s="2779"/>
      <c r="IB6" s="2779"/>
      <c r="IC6" s="2779"/>
      <c r="ID6" s="2779"/>
      <c r="IE6" s="2779"/>
      <c r="IF6" s="2779"/>
      <c r="IG6" s="2779"/>
      <c r="IH6" s="2779"/>
      <c r="II6" s="2779"/>
      <c r="IJ6" s="2779"/>
      <c r="IK6" s="2779"/>
      <c r="IL6" s="2779"/>
      <c r="IM6" s="2779"/>
      <c r="IN6" s="2779"/>
      <c r="IO6" s="2779"/>
      <c r="IP6" s="2779"/>
      <c r="IQ6" s="2779"/>
      <c r="IR6" s="2779"/>
      <c r="IS6" s="2779"/>
      <c r="IT6" s="2779"/>
      <c r="IU6" s="2779"/>
      <c r="IV6" s="2779"/>
    </row>
    <row r="7" spans="1:257" s="2834" customFormat="1" ht="14.25" thickBot="1">
      <c r="A7" s="2779"/>
      <c r="G7" s="2791" t="s">
        <v>2791</v>
      </c>
      <c r="H7" s="2792">
        <v>5</v>
      </c>
      <c r="I7" s="2793">
        <f ca="1">INDIRECT("h"&amp;$H$1)</f>
        <v>4.9000000000000004</v>
      </c>
      <c r="J7" s="2793">
        <f ca="1">INDIRECT("h"&amp;$H$1)</f>
        <v>4.9000000000000004</v>
      </c>
      <c r="K7" s="2779"/>
      <c r="L7" s="2779"/>
      <c r="M7" s="2794">
        <v>5</v>
      </c>
      <c r="N7" s="2795">
        <f ca="1">INDIRECT("t"&amp;$N$1)</f>
        <v>0</v>
      </c>
      <c r="O7" s="2779"/>
      <c r="P7" s="2779"/>
      <c r="Q7" s="2779"/>
      <c r="R7" s="2779"/>
      <c r="S7" s="2779"/>
      <c r="T7" s="2779"/>
      <c r="U7" s="2779"/>
      <c r="V7" s="2779"/>
      <c r="W7" s="2779"/>
      <c r="X7" s="2779"/>
      <c r="Y7" s="2779"/>
      <c r="Z7" s="2779"/>
      <c r="AA7" s="2779"/>
      <c r="AB7" s="2779"/>
      <c r="AC7" s="2779"/>
      <c r="AD7" s="2779"/>
      <c r="AE7" s="2779"/>
      <c r="AF7" s="2779"/>
      <c r="AG7" s="2779"/>
      <c r="AH7" s="2779"/>
      <c r="AI7" s="2779"/>
      <c r="AJ7" s="2779"/>
      <c r="AK7" s="2779"/>
      <c r="AL7" s="2779"/>
      <c r="AM7" s="2779"/>
      <c r="AN7" s="2779"/>
      <c r="AO7" s="2779"/>
      <c r="AP7" s="2779"/>
      <c r="AQ7" s="2779"/>
      <c r="AR7" s="2779"/>
      <c r="AS7" s="2779"/>
      <c r="AT7" s="2779"/>
      <c r="AU7" s="2779"/>
      <c r="AV7" s="2779"/>
      <c r="AW7" s="2779"/>
      <c r="AX7" s="2779"/>
      <c r="AY7" s="2779"/>
      <c r="AZ7" s="2779"/>
      <c r="BA7" s="2779"/>
      <c r="BB7" s="2779"/>
      <c r="BC7" s="2779"/>
      <c r="BD7" s="2779"/>
      <c r="BE7" s="2779"/>
      <c r="BF7" s="2779"/>
      <c r="BG7" s="2779"/>
      <c r="BH7" s="2779"/>
      <c r="BI7" s="2779"/>
      <c r="BJ7" s="2779"/>
      <c r="BK7" s="2779"/>
      <c r="BL7" s="2779"/>
      <c r="BM7" s="2779"/>
      <c r="BN7" s="2779"/>
      <c r="BO7" s="2779"/>
      <c r="BP7" s="2779"/>
      <c r="BQ7" s="2779"/>
      <c r="BR7" s="2779"/>
      <c r="BS7" s="2779"/>
      <c r="BT7" s="2779"/>
      <c r="BU7" s="2779"/>
      <c r="BV7" s="2779"/>
      <c r="BW7" s="2779"/>
      <c r="BX7" s="2779"/>
      <c r="BY7" s="2779"/>
      <c r="BZ7" s="2779"/>
      <c r="CA7" s="2779"/>
      <c r="CB7" s="2779"/>
      <c r="CC7" s="2779"/>
      <c r="CD7" s="2779"/>
      <c r="CE7" s="2779"/>
      <c r="CF7" s="2779"/>
      <c r="CG7" s="2779"/>
      <c r="CH7" s="2779"/>
      <c r="CI7" s="2779"/>
      <c r="CJ7" s="2779"/>
      <c r="CK7" s="2779"/>
      <c r="CL7" s="2779"/>
      <c r="CM7" s="2779"/>
      <c r="CN7" s="2779"/>
      <c r="CO7" s="2779"/>
      <c r="CP7" s="2779"/>
      <c r="CQ7" s="2779"/>
      <c r="CR7" s="2779"/>
      <c r="CS7" s="2779"/>
      <c r="CT7" s="2779"/>
      <c r="CU7" s="2779"/>
      <c r="CV7" s="2779"/>
      <c r="CW7" s="2779"/>
      <c r="CX7" s="2779"/>
      <c r="CY7" s="2779"/>
      <c r="CZ7" s="2779"/>
      <c r="DA7" s="2779"/>
      <c r="DB7" s="2779"/>
      <c r="DC7" s="2779"/>
      <c r="DD7" s="2779"/>
      <c r="DE7" s="2779"/>
      <c r="DF7" s="2779"/>
      <c r="DG7" s="2779"/>
      <c r="DH7" s="2779"/>
      <c r="DI7" s="2779"/>
      <c r="DJ7" s="2779"/>
      <c r="DK7" s="2779"/>
      <c r="DL7" s="2779"/>
      <c r="DM7" s="2779"/>
      <c r="DN7" s="2779"/>
      <c r="DO7" s="2779"/>
      <c r="DP7" s="2779"/>
      <c r="DQ7" s="2779"/>
      <c r="DR7" s="2779"/>
      <c r="DS7" s="2779"/>
      <c r="DT7" s="2779"/>
      <c r="DU7" s="2779"/>
      <c r="DV7" s="2779"/>
      <c r="DW7" s="2779"/>
      <c r="DX7" s="2779"/>
      <c r="DY7" s="2779"/>
      <c r="DZ7" s="2779"/>
      <c r="EA7" s="2779"/>
      <c r="EB7" s="2779"/>
      <c r="EC7" s="2779"/>
      <c r="ED7" s="2779"/>
      <c r="EE7" s="2779"/>
      <c r="EF7" s="2779"/>
      <c r="EG7" s="2779"/>
      <c r="EH7" s="2779"/>
      <c r="EI7" s="2779"/>
      <c r="EJ7" s="2779"/>
      <c r="EK7" s="2779"/>
      <c r="EL7" s="2779"/>
      <c r="EM7" s="2779"/>
      <c r="EN7" s="2779"/>
      <c r="EO7" s="2779"/>
      <c r="EP7" s="2779"/>
      <c r="EQ7" s="2779"/>
      <c r="ER7" s="2779"/>
      <c r="ES7" s="2779"/>
      <c r="ET7" s="2779"/>
      <c r="EU7" s="2779"/>
      <c r="EV7" s="2779"/>
      <c r="EW7" s="2779"/>
      <c r="EX7" s="2779"/>
      <c r="EY7" s="2779"/>
      <c r="EZ7" s="2779"/>
      <c r="FA7" s="2779"/>
      <c r="FB7" s="2779"/>
      <c r="FC7" s="2779"/>
      <c r="FD7" s="2779"/>
      <c r="FE7" s="2779"/>
      <c r="FF7" s="2779"/>
      <c r="FG7" s="2779"/>
      <c r="FH7" s="2779"/>
      <c r="FI7" s="2779"/>
      <c r="FJ7" s="2779"/>
      <c r="FK7" s="2779"/>
      <c r="FL7" s="2779"/>
      <c r="FM7" s="2779"/>
      <c r="FN7" s="2779"/>
      <c r="FO7" s="2779"/>
      <c r="FP7" s="2779"/>
      <c r="FQ7" s="2779"/>
      <c r="FR7" s="2779"/>
      <c r="FS7" s="2779"/>
      <c r="FT7" s="2779"/>
      <c r="FU7" s="2779"/>
      <c r="FV7" s="2779"/>
      <c r="FW7" s="2779"/>
      <c r="FX7" s="2779"/>
      <c r="FY7" s="2779"/>
      <c r="FZ7" s="2779"/>
      <c r="GA7" s="2779"/>
      <c r="GB7" s="2779"/>
      <c r="GC7" s="2779"/>
      <c r="GD7" s="2779"/>
      <c r="GE7" s="2779"/>
      <c r="GF7" s="2779"/>
      <c r="GG7" s="2779"/>
      <c r="GH7" s="2779"/>
      <c r="GI7" s="2779"/>
      <c r="GJ7" s="2779"/>
      <c r="GK7" s="2779"/>
      <c r="GL7" s="2779"/>
      <c r="GM7" s="2779"/>
      <c r="GN7" s="2779"/>
      <c r="GO7" s="2779"/>
      <c r="GP7" s="2779"/>
      <c r="GQ7" s="2779"/>
      <c r="GR7" s="2779"/>
      <c r="GS7" s="2779"/>
      <c r="GT7" s="2779"/>
      <c r="GU7" s="2779"/>
      <c r="GV7" s="2779"/>
      <c r="GW7" s="2779"/>
      <c r="GX7" s="2779"/>
      <c r="GY7" s="2779"/>
      <c r="GZ7" s="2779"/>
      <c r="HA7" s="2779"/>
      <c r="HB7" s="2779"/>
      <c r="HC7" s="2779"/>
      <c r="HD7" s="2779"/>
      <c r="HE7" s="2779"/>
      <c r="HF7" s="2779"/>
      <c r="HG7" s="2779"/>
      <c r="HH7" s="2779"/>
      <c r="HI7" s="2779"/>
      <c r="HJ7" s="2779"/>
      <c r="HK7" s="2779"/>
      <c r="HL7" s="2779"/>
      <c r="HM7" s="2779"/>
      <c r="HN7" s="2779"/>
      <c r="HO7" s="2779"/>
      <c r="HP7" s="2779"/>
      <c r="HQ7" s="2779"/>
      <c r="HR7" s="2779"/>
      <c r="HS7" s="2779"/>
      <c r="HT7" s="2779"/>
      <c r="HU7" s="2779"/>
      <c r="HV7" s="2779"/>
      <c r="HW7" s="2779"/>
      <c r="HX7" s="2779"/>
      <c r="HY7" s="2779"/>
      <c r="HZ7" s="2779"/>
      <c r="IA7" s="2779"/>
      <c r="IB7" s="2779"/>
      <c r="IC7" s="2779"/>
      <c r="ID7" s="2779"/>
      <c r="IE7" s="2779"/>
      <c r="IF7" s="2779"/>
      <c r="IG7" s="2779"/>
      <c r="IH7" s="2779"/>
      <c r="II7" s="2779"/>
      <c r="IJ7" s="2779"/>
      <c r="IK7" s="2779"/>
      <c r="IL7" s="2779"/>
      <c r="IM7" s="2779"/>
      <c r="IN7" s="2779"/>
      <c r="IO7" s="2779"/>
      <c r="IP7" s="2779"/>
      <c r="IQ7" s="2779"/>
      <c r="IR7" s="2779"/>
      <c r="IS7" s="2779"/>
      <c r="IT7" s="2779"/>
      <c r="IU7" s="2779"/>
      <c r="IV7" s="2779"/>
    </row>
    <row r="8" spans="1:257">
      <c r="A8" s="2796"/>
      <c r="B8" s="2797"/>
      <c r="C8" s="2798"/>
      <c r="D8" s="2779"/>
      <c r="E8" s="2779"/>
      <c r="F8" s="2779"/>
      <c r="G8" s="2779"/>
      <c r="H8" s="2779"/>
      <c r="I8" s="2779"/>
      <c r="J8" s="2779"/>
      <c r="L8" s="2779"/>
      <c r="M8" s="2779"/>
      <c r="N8" s="2779"/>
      <c r="O8" s="2779"/>
      <c r="P8" s="2779"/>
      <c r="Q8" s="2779"/>
      <c r="R8" s="2779"/>
      <c r="S8" s="2779"/>
      <c r="T8" s="2779"/>
      <c r="U8" s="2779"/>
      <c r="V8" s="2779"/>
      <c r="W8" s="2779"/>
      <c r="X8" s="2779"/>
      <c r="Y8" s="2779"/>
      <c r="Z8" s="2779"/>
    </row>
    <row r="9" spans="1:257" ht="20.25">
      <c r="A9" s="2799"/>
      <c r="B9" s="2800" t="s">
        <v>2792</v>
      </c>
      <c r="C9" s="2801"/>
      <c r="D9" s="2802"/>
      <c r="E9" s="2802"/>
      <c r="F9" s="2802"/>
      <c r="G9" s="2802"/>
      <c r="H9" s="2802"/>
      <c r="I9" s="2802"/>
      <c r="J9" s="2802"/>
      <c r="K9" s="2802"/>
      <c r="L9" s="2802"/>
      <c r="M9" s="2802"/>
      <c r="N9" s="2802"/>
      <c r="O9" s="2802"/>
      <c r="P9" s="2802"/>
      <c r="Q9" s="2802"/>
      <c r="R9" s="2802"/>
      <c r="S9" s="2802"/>
      <c r="T9" s="2802"/>
      <c r="U9" s="2802"/>
      <c r="V9" s="2802"/>
      <c r="W9" s="2802"/>
      <c r="X9" s="2802"/>
      <c r="Y9" s="2802"/>
      <c r="Z9" s="2802"/>
      <c r="AA9" s="2803"/>
      <c r="AB9" s="2803"/>
      <c r="AC9" s="2803"/>
      <c r="AD9" s="2803"/>
      <c r="AE9" s="2803"/>
      <c r="AF9" s="2803"/>
      <c r="AG9" s="2803"/>
      <c r="AH9" s="2803"/>
      <c r="AI9" s="2803"/>
      <c r="AJ9" s="2803"/>
      <c r="AK9" s="2803"/>
      <c r="AL9" s="2803"/>
      <c r="AM9" s="2803"/>
      <c r="AN9" s="2803"/>
      <c r="AO9" s="2803"/>
      <c r="AP9" s="2803"/>
      <c r="AQ9" s="2803"/>
      <c r="AR9" s="2803"/>
      <c r="AS9" s="2803"/>
      <c r="AT9" s="2803"/>
      <c r="AU9" s="2803"/>
      <c r="AV9" s="2803"/>
      <c r="AW9" s="2803"/>
      <c r="AX9" s="2803"/>
      <c r="AY9" s="2803"/>
      <c r="AZ9" s="2803"/>
      <c r="BA9" s="2803"/>
      <c r="BB9" s="2803"/>
      <c r="BC9" s="2803"/>
      <c r="BD9" s="2803"/>
      <c r="BE9" s="2803"/>
      <c r="BF9" s="2803"/>
      <c r="BG9" s="2803"/>
      <c r="BH9" s="2803"/>
      <c r="BI9" s="2803"/>
      <c r="BJ9" s="2803"/>
      <c r="BK9" s="2803"/>
      <c r="BL9" s="2803"/>
      <c r="BM9" s="2803"/>
      <c r="BN9" s="2803"/>
      <c r="BO9" s="2803"/>
      <c r="BP9" s="2803"/>
      <c r="BQ9" s="2803"/>
      <c r="BR9" s="2803"/>
      <c r="BS9" s="2803"/>
      <c r="BT9" s="2803"/>
      <c r="BU9" s="2803"/>
      <c r="BV9" s="2803"/>
      <c r="BW9" s="2803"/>
      <c r="BX9" s="2803"/>
      <c r="BY9" s="2803"/>
      <c r="BZ9" s="2803"/>
      <c r="CA9" s="2803"/>
      <c r="CB9" s="2803"/>
      <c r="CC9" s="2803"/>
      <c r="CD9" s="2803"/>
      <c r="CE9" s="2803"/>
      <c r="CF9" s="2803"/>
      <c r="CG9" s="2803"/>
      <c r="CH9" s="2803"/>
      <c r="CI9" s="2803"/>
      <c r="CJ9" s="2803"/>
      <c r="CK9" s="2803"/>
      <c r="CL9" s="2803"/>
      <c r="CM9" s="2803"/>
      <c r="CN9" s="2803"/>
      <c r="CO9" s="2803"/>
      <c r="CP9" s="2803"/>
      <c r="CQ9" s="2803"/>
      <c r="CR9" s="2803"/>
      <c r="CS9" s="2803"/>
      <c r="CT9" s="2803"/>
      <c r="CU9" s="2803"/>
      <c r="CV9" s="2803"/>
      <c r="CW9" s="2803"/>
      <c r="CX9" s="2803"/>
      <c r="CY9" s="2803"/>
      <c r="CZ9" s="2803"/>
      <c r="DA9" s="2803"/>
      <c r="DB9" s="2803"/>
      <c r="DC9" s="2803"/>
      <c r="DD9" s="2803"/>
      <c r="DE9" s="2803"/>
      <c r="DF9" s="2803"/>
      <c r="DG9" s="2803"/>
      <c r="DH9" s="2803"/>
      <c r="DI9" s="2803"/>
      <c r="DJ9" s="2803"/>
      <c r="DK9" s="2803"/>
      <c r="DL9" s="2803"/>
      <c r="DM9" s="2803"/>
      <c r="DN9" s="2803"/>
      <c r="DO9" s="2803"/>
      <c r="DP9" s="2803"/>
      <c r="DQ9" s="2803"/>
      <c r="DR9" s="2803"/>
      <c r="DS9" s="2803"/>
      <c r="DT9" s="2803"/>
      <c r="DU9" s="2803"/>
      <c r="DV9" s="2803"/>
      <c r="DW9" s="2803"/>
      <c r="DX9" s="2803"/>
      <c r="DY9" s="2803"/>
      <c r="DZ9" s="2803"/>
      <c r="EA9" s="2803"/>
      <c r="EB9" s="2803"/>
      <c r="EC9" s="2803"/>
      <c r="ED9" s="2803"/>
      <c r="EE9" s="2803"/>
      <c r="EF9" s="2803"/>
      <c r="EG9" s="2803"/>
      <c r="EH9" s="2803"/>
      <c r="EI9" s="2803"/>
      <c r="EJ9" s="2803"/>
      <c r="EK9" s="2803"/>
      <c r="EL9" s="2803"/>
      <c r="EM9" s="2803"/>
      <c r="EN9" s="2803"/>
      <c r="EO9" s="2803"/>
      <c r="EP9" s="2803"/>
      <c r="EQ9" s="2803"/>
      <c r="ER9" s="2803"/>
      <c r="ES9" s="2803"/>
      <c r="ET9" s="2803"/>
      <c r="EU9" s="2803"/>
      <c r="EV9" s="2803"/>
      <c r="EW9" s="2803"/>
      <c r="EX9" s="2803"/>
      <c r="EY9" s="2803"/>
      <c r="EZ9" s="2803"/>
      <c r="FA9" s="2803"/>
      <c r="FB9" s="2803"/>
      <c r="FC9" s="2803"/>
      <c r="FD9" s="2803"/>
      <c r="FE9" s="2803"/>
      <c r="FF9" s="2803"/>
      <c r="FG9" s="2803"/>
      <c r="FH9" s="2803"/>
      <c r="FI9" s="2803"/>
      <c r="FJ9" s="2803"/>
      <c r="FK9" s="2803"/>
      <c r="FL9" s="2803"/>
      <c r="FM9" s="2803"/>
      <c r="FN9" s="2803"/>
      <c r="FO9" s="2803"/>
      <c r="FP9" s="2803"/>
      <c r="FQ9" s="2803"/>
      <c r="FR9" s="2803"/>
      <c r="FS9" s="2803"/>
      <c r="FT9" s="2803"/>
      <c r="FU9" s="2803"/>
      <c r="FV9" s="2803"/>
      <c r="FW9" s="2803"/>
      <c r="FX9" s="2803"/>
      <c r="FY9" s="2803"/>
      <c r="FZ9" s="2803"/>
      <c r="GA9" s="2803"/>
      <c r="GB9" s="2803"/>
      <c r="GC9" s="2803"/>
      <c r="GD9" s="2803"/>
      <c r="GE9" s="2803"/>
      <c r="GF9" s="2803"/>
      <c r="GG9" s="2803"/>
      <c r="GH9" s="2803"/>
      <c r="GI9" s="2803"/>
      <c r="GJ9" s="2803"/>
      <c r="GK9" s="2803"/>
      <c r="GL9" s="2803"/>
      <c r="GM9" s="2803"/>
      <c r="GN9" s="2803"/>
      <c r="GO9" s="2803"/>
      <c r="GP9" s="2803"/>
      <c r="GQ9" s="2803"/>
      <c r="GR9" s="2803"/>
      <c r="GS9" s="2803"/>
      <c r="GT9" s="2803"/>
      <c r="GU9" s="2803"/>
      <c r="GV9" s="2803"/>
      <c r="GW9" s="2803"/>
      <c r="GX9" s="2803"/>
      <c r="GY9" s="2803"/>
      <c r="GZ9" s="2803"/>
      <c r="HA9" s="2803"/>
      <c r="HB9" s="2803"/>
      <c r="HC9" s="2803"/>
      <c r="HD9" s="2803"/>
      <c r="HE9" s="2803"/>
      <c r="HF9" s="2803"/>
      <c r="HG9" s="2803"/>
      <c r="HH9" s="2803"/>
      <c r="HI9" s="2803"/>
      <c r="HJ9" s="2803"/>
      <c r="HK9" s="2803"/>
      <c r="HL9" s="2803"/>
      <c r="HM9" s="2803"/>
      <c r="HN9" s="2803"/>
      <c r="HO9" s="2803"/>
      <c r="HP9" s="2803"/>
      <c r="HQ9" s="2803"/>
      <c r="HR9" s="2803"/>
      <c r="HS9" s="2803"/>
      <c r="HT9" s="2803"/>
      <c r="HU9" s="2803"/>
      <c r="HV9" s="2803"/>
      <c r="HW9" s="2803"/>
      <c r="HX9" s="2803"/>
      <c r="HY9" s="2803"/>
      <c r="HZ9" s="2803"/>
      <c r="IA9" s="2803"/>
      <c r="IB9" s="2803"/>
      <c r="IC9" s="2803"/>
      <c r="ID9" s="2803"/>
      <c r="IE9" s="2803"/>
      <c r="IF9" s="2803"/>
      <c r="IG9" s="2803"/>
      <c r="IH9" s="2803"/>
      <c r="II9" s="2803"/>
      <c r="IJ9" s="2803"/>
      <c r="IK9" s="2803"/>
      <c r="IL9" s="2803"/>
      <c r="IM9" s="2803"/>
      <c r="IN9" s="2803"/>
      <c r="IO9" s="2803"/>
      <c r="IP9" s="2803"/>
      <c r="IQ9" s="2803"/>
      <c r="IR9" s="2803"/>
      <c r="IS9" s="2803"/>
      <c r="IT9" s="2803"/>
      <c r="IU9" s="2803"/>
      <c r="IV9" s="2803"/>
      <c r="IW9" s="2804"/>
    </row>
    <row r="10" spans="1:257" ht="22.5">
      <c r="A10" s="2805"/>
      <c r="B10" s="2806" t="s">
        <v>2793</v>
      </c>
      <c r="C10" s="2805"/>
      <c r="D10" s="2805"/>
      <c r="E10" s="2805"/>
      <c r="F10" s="2805"/>
      <c r="G10" s="2805"/>
      <c r="H10" s="2805"/>
      <c r="I10" s="2779"/>
      <c r="J10" s="2779"/>
      <c r="K10" s="2805"/>
      <c r="L10" s="2806" t="s">
        <v>2794</v>
      </c>
      <c r="M10" s="2805"/>
      <c r="N10" s="2805"/>
      <c r="O10" s="2805"/>
      <c r="P10" s="2805"/>
      <c r="Q10" s="2805"/>
      <c r="R10" s="2805"/>
      <c r="S10" s="2805"/>
      <c r="T10" s="2805"/>
      <c r="U10" s="2805"/>
      <c r="V10" s="2805"/>
      <c r="W10" s="2805"/>
      <c r="X10" s="2805"/>
      <c r="Y10" s="2805"/>
      <c r="Z10" s="2805"/>
      <c r="AA10" s="2807"/>
      <c r="AB10" s="2807"/>
      <c r="AC10" s="2807"/>
      <c r="AD10" s="2807"/>
      <c r="AE10" s="2807"/>
      <c r="AF10" s="2807"/>
      <c r="AG10" s="2807"/>
      <c r="AH10" s="2807"/>
      <c r="AI10" s="2807"/>
      <c r="AJ10" s="2807"/>
      <c r="AK10" s="2807"/>
      <c r="AL10" s="2807"/>
      <c r="AM10" s="2807"/>
      <c r="AN10" s="2807"/>
      <c r="AO10" s="2807"/>
      <c r="AP10" s="2807"/>
      <c r="AQ10" s="2807"/>
      <c r="AR10" s="2807"/>
      <c r="AS10" s="2807"/>
      <c r="AT10" s="2807"/>
      <c r="AU10" s="2807"/>
      <c r="AV10" s="2807"/>
      <c r="AW10" s="2807"/>
      <c r="AX10" s="2807"/>
      <c r="AY10" s="2807"/>
      <c r="AZ10" s="2807"/>
      <c r="BA10" s="2807"/>
      <c r="BB10" s="2807"/>
      <c r="BC10" s="2807"/>
      <c r="BD10" s="2807"/>
      <c r="BE10" s="2807"/>
      <c r="BF10" s="2807"/>
      <c r="BG10" s="2807"/>
      <c r="BH10" s="2807"/>
      <c r="BI10" s="2807"/>
      <c r="BJ10" s="2807"/>
      <c r="BK10" s="2807"/>
      <c r="BL10" s="2807"/>
      <c r="BM10" s="2807"/>
      <c r="BN10" s="2807"/>
      <c r="BO10" s="2807"/>
      <c r="BP10" s="2807"/>
      <c r="BQ10" s="2807"/>
      <c r="BR10" s="2807"/>
      <c r="BS10" s="2807"/>
      <c r="BT10" s="2807"/>
      <c r="BU10" s="2807"/>
      <c r="BV10" s="2807"/>
      <c r="BW10" s="2807"/>
      <c r="BX10" s="2807"/>
      <c r="BY10" s="2807"/>
      <c r="BZ10" s="2807"/>
      <c r="CA10" s="2807"/>
      <c r="CB10" s="2807"/>
      <c r="CC10" s="2807"/>
      <c r="CD10" s="2807"/>
      <c r="CE10" s="2807"/>
      <c r="CF10" s="2807"/>
      <c r="CG10" s="2807"/>
      <c r="CH10" s="2807"/>
      <c r="CI10" s="2807"/>
      <c r="CJ10" s="2807"/>
      <c r="CK10" s="2807"/>
      <c r="CL10" s="2807"/>
      <c r="CM10" s="2807"/>
      <c r="CN10" s="2807"/>
      <c r="CO10" s="2807"/>
      <c r="CP10" s="2807"/>
      <c r="CQ10" s="2807"/>
      <c r="CR10" s="2807"/>
      <c r="CS10" s="2807"/>
      <c r="CT10" s="2807"/>
      <c r="CU10" s="2807"/>
      <c r="CV10" s="2807"/>
      <c r="CW10" s="2807"/>
      <c r="CX10" s="2807"/>
      <c r="CY10" s="2807"/>
      <c r="CZ10" s="2807"/>
      <c r="DA10" s="2807"/>
      <c r="DB10" s="2807"/>
      <c r="DC10" s="2807"/>
      <c r="DD10" s="2807"/>
      <c r="DE10" s="2807"/>
      <c r="DF10" s="2807"/>
      <c r="DG10" s="2807"/>
      <c r="DH10" s="2807"/>
      <c r="DI10" s="2807"/>
      <c r="DJ10" s="2807"/>
      <c r="DK10" s="2807"/>
      <c r="DL10" s="2807"/>
      <c r="DM10" s="2807"/>
      <c r="DN10" s="2807"/>
      <c r="DO10" s="2807"/>
      <c r="DP10" s="2807"/>
      <c r="DQ10" s="2807"/>
      <c r="DR10" s="2807"/>
      <c r="DS10" s="2807"/>
      <c r="DT10" s="2807"/>
      <c r="DU10" s="2807"/>
      <c r="DV10" s="2807"/>
      <c r="DW10" s="2807"/>
      <c r="DX10" s="2807"/>
      <c r="DY10" s="2807"/>
      <c r="DZ10" s="2807"/>
      <c r="EA10" s="2807"/>
      <c r="EB10" s="2807"/>
      <c r="EC10" s="2807"/>
      <c r="ED10" s="2807"/>
      <c r="EE10" s="2807"/>
      <c r="EF10" s="2807"/>
      <c r="EG10" s="2807"/>
      <c r="EH10" s="2807"/>
      <c r="EI10" s="2807"/>
      <c r="EJ10" s="2807"/>
      <c r="EK10" s="2807"/>
      <c r="EL10" s="2807"/>
      <c r="EM10" s="2807"/>
      <c r="EN10" s="2807"/>
      <c r="EO10" s="2807"/>
      <c r="EP10" s="2807"/>
      <c r="EQ10" s="2807"/>
      <c r="ER10" s="2807"/>
      <c r="ES10" s="2807"/>
      <c r="ET10" s="2807"/>
      <c r="EU10" s="2807"/>
      <c r="EV10" s="2807"/>
      <c r="EW10" s="2807"/>
      <c r="EX10" s="2807"/>
      <c r="EY10" s="2807"/>
      <c r="EZ10" s="2807"/>
      <c r="FA10" s="2807"/>
      <c r="FB10" s="2807"/>
      <c r="FC10" s="2807"/>
      <c r="FD10" s="2807"/>
      <c r="FE10" s="2807"/>
      <c r="FF10" s="2807"/>
      <c r="FG10" s="2807"/>
      <c r="FH10" s="2807"/>
      <c r="FI10" s="2807"/>
      <c r="FJ10" s="2807"/>
      <c r="FK10" s="2807"/>
      <c r="FL10" s="2807"/>
      <c r="FM10" s="2807"/>
      <c r="FN10" s="2807"/>
      <c r="FO10" s="2807"/>
      <c r="FP10" s="2807"/>
      <c r="FQ10" s="2807"/>
      <c r="FR10" s="2807"/>
      <c r="FS10" s="2807"/>
      <c r="FT10" s="2807"/>
      <c r="FU10" s="2807"/>
      <c r="FV10" s="2807"/>
      <c r="FW10" s="2807"/>
      <c r="FX10" s="2807"/>
      <c r="FY10" s="2807"/>
      <c r="FZ10" s="2807"/>
      <c r="GA10" s="2807"/>
      <c r="GB10" s="2807"/>
      <c r="GC10" s="2807"/>
      <c r="GD10" s="2807"/>
      <c r="GE10" s="2807"/>
      <c r="GF10" s="2807"/>
      <c r="GG10" s="2807"/>
      <c r="GH10" s="2807"/>
      <c r="GI10" s="2807"/>
      <c r="GJ10" s="2807"/>
      <c r="GK10" s="2807"/>
      <c r="GL10" s="2807"/>
      <c r="GM10" s="2807"/>
      <c r="GN10" s="2807"/>
      <c r="GO10" s="2807"/>
      <c r="GP10" s="2807"/>
      <c r="GQ10" s="2807"/>
      <c r="GR10" s="2807"/>
      <c r="GS10" s="2807"/>
      <c r="GT10" s="2807"/>
      <c r="GU10" s="2807"/>
      <c r="GV10" s="2807"/>
      <c r="GW10" s="2807"/>
      <c r="GX10" s="2807"/>
      <c r="GY10" s="2807"/>
      <c r="GZ10" s="2807"/>
      <c r="HA10" s="2807"/>
      <c r="HB10" s="2807"/>
      <c r="HC10" s="2807"/>
      <c r="HD10" s="2807"/>
      <c r="HE10" s="2807"/>
      <c r="HF10" s="2807"/>
      <c r="HG10" s="2807"/>
      <c r="HH10" s="2807"/>
      <c r="HI10" s="2807"/>
      <c r="HJ10" s="2807"/>
      <c r="HK10" s="2807"/>
      <c r="HL10" s="2807"/>
      <c r="HM10" s="2807"/>
      <c r="HN10" s="2807"/>
      <c r="HO10" s="2807"/>
      <c r="HP10" s="2807"/>
      <c r="HQ10" s="2807"/>
      <c r="HR10" s="2807"/>
      <c r="HS10" s="2807"/>
      <c r="HT10" s="2807"/>
      <c r="HU10" s="2807"/>
      <c r="HV10" s="2807"/>
      <c r="HW10" s="2807"/>
      <c r="HX10" s="2807"/>
      <c r="HY10" s="2807"/>
      <c r="HZ10" s="2807"/>
      <c r="IA10" s="2807"/>
      <c r="IB10" s="2807"/>
      <c r="IC10" s="2807"/>
      <c r="ID10" s="2807"/>
      <c r="IE10" s="2807"/>
      <c r="IF10" s="2807"/>
      <c r="IG10" s="2807"/>
      <c r="IH10" s="2807"/>
      <c r="II10" s="2807"/>
      <c r="IJ10" s="2807"/>
      <c r="IK10" s="2807"/>
      <c r="IL10" s="2807"/>
      <c r="IM10" s="2807"/>
      <c r="IN10" s="2807"/>
      <c r="IO10" s="2807"/>
      <c r="IP10" s="2807"/>
      <c r="IQ10" s="2807"/>
      <c r="IR10" s="2807"/>
      <c r="IS10" s="2807"/>
      <c r="IT10" s="2807"/>
      <c r="IU10" s="2807"/>
      <c r="IV10" s="2807"/>
    </row>
    <row r="11" spans="1:257">
      <c r="A11" s="2808"/>
      <c r="B11" s="2809" t="s">
        <v>2795</v>
      </c>
      <c r="C11" s="2810" t="s">
        <v>2796</v>
      </c>
      <c r="D11" s="2811" t="s">
        <v>2797</v>
      </c>
      <c r="E11" s="2812"/>
      <c r="F11" s="2811" t="s">
        <v>2798</v>
      </c>
      <c r="G11" s="2813"/>
      <c r="H11" s="2812"/>
      <c r="I11" s="2811" t="s">
        <v>2799</v>
      </c>
      <c r="J11" s="2812"/>
      <c r="K11" s="2808"/>
      <c r="L11" s="2809" t="s">
        <v>2795</v>
      </c>
      <c r="M11" s="2810" t="s">
        <v>2796</v>
      </c>
      <c r="N11" s="2809" t="s">
        <v>2800</v>
      </c>
      <c r="O11" s="2811" t="s">
        <v>2801</v>
      </c>
      <c r="P11" s="2813"/>
      <c r="Q11" s="2813"/>
      <c r="R11" s="2813"/>
      <c r="S11" s="2813"/>
      <c r="T11" s="2812"/>
      <c r="U11" s="2811" t="s">
        <v>2802</v>
      </c>
      <c r="V11" s="2813"/>
      <c r="W11" s="2812"/>
      <c r="X11" s="2809" t="s">
        <v>2803</v>
      </c>
      <c r="Y11" s="2809" t="s">
        <v>2804</v>
      </c>
      <c r="Z11" s="2809" t="s">
        <v>2805</v>
      </c>
      <c r="AA11" s="2814"/>
      <c r="AB11" s="2814"/>
      <c r="AC11" s="2814"/>
      <c r="AD11" s="2814"/>
      <c r="AE11" s="2814"/>
      <c r="AF11" s="2814"/>
      <c r="AG11" s="2814"/>
      <c r="AH11" s="2814"/>
      <c r="AI11" s="2814"/>
      <c r="AJ11" s="2814"/>
      <c r="AK11" s="2814"/>
      <c r="AL11" s="2814"/>
      <c r="AM11" s="2814"/>
      <c r="AN11" s="2814"/>
      <c r="AO11" s="2814"/>
      <c r="AP11" s="2814"/>
      <c r="AQ11" s="2814"/>
      <c r="AR11" s="2814"/>
      <c r="AS11" s="2814"/>
      <c r="AT11" s="2814"/>
      <c r="AU11" s="2814"/>
      <c r="AV11" s="2814"/>
      <c r="AW11" s="2814"/>
      <c r="AX11" s="2814"/>
      <c r="AY11" s="2814"/>
      <c r="AZ11" s="2814"/>
      <c r="BA11" s="2814"/>
      <c r="BB11" s="2814"/>
      <c r="BC11" s="2814"/>
      <c r="BD11" s="2814"/>
      <c r="BE11" s="2814"/>
      <c r="BF11" s="2814"/>
      <c r="BG11" s="2814"/>
      <c r="BH11" s="2814"/>
      <c r="BI11" s="2814"/>
      <c r="BJ11" s="2814"/>
      <c r="BK11" s="2814"/>
      <c r="BL11" s="2814"/>
      <c r="BM11" s="2814"/>
      <c r="BN11" s="2814"/>
      <c r="BO11" s="2814"/>
      <c r="BP11" s="2814"/>
      <c r="BQ11" s="2814"/>
      <c r="BR11" s="2814"/>
      <c r="BS11" s="2814"/>
      <c r="BT11" s="2814"/>
      <c r="BU11" s="2814"/>
      <c r="BV11" s="2814"/>
      <c r="BW11" s="2814"/>
      <c r="BX11" s="2814"/>
      <c r="BY11" s="2814"/>
      <c r="BZ11" s="2814"/>
      <c r="CA11" s="2814"/>
      <c r="CB11" s="2814"/>
      <c r="CC11" s="2814"/>
      <c r="CD11" s="2814"/>
      <c r="CE11" s="2814"/>
      <c r="CF11" s="2814"/>
      <c r="CG11" s="2814"/>
      <c r="CH11" s="2814"/>
      <c r="CI11" s="2814"/>
      <c r="CJ11" s="2814"/>
      <c r="CK11" s="2814"/>
      <c r="CL11" s="2814"/>
      <c r="CM11" s="2814"/>
      <c r="CN11" s="2814"/>
      <c r="CO11" s="2814"/>
      <c r="CP11" s="2814"/>
      <c r="CQ11" s="2814"/>
      <c r="CR11" s="2814"/>
      <c r="CS11" s="2814"/>
      <c r="CT11" s="2814"/>
      <c r="CU11" s="2814"/>
      <c r="CV11" s="2814"/>
      <c r="CW11" s="2814"/>
      <c r="CX11" s="2814"/>
      <c r="CY11" s="2814"/>
      <c r="CZ11" s="2814"/>
      <c r="DA11" s="2814"/>
      <c r="DB11" s="2814"/>
      <c r="DC11" s="2814"/>
      <c r="DD11" s="2814"/>
      <c r="DE11" s="2814"/>
      <c r="DF11" s="2814"/>
      <c r="DG11" s="2814"/>
      <c r="DH11" s="2814"/>
      <c r="DI11" s="2814"/>
      <c r="DJ11" s="2814"/>
      <c r="DK11" s="2814"/>
      <c r="DL11" s="2814"/>
      <c r="DM11" s="2814"/>
      <c r="DN11" s="2814"/>
      <c r="DO11" s="2814"/>
      <c r="DP11" s="2814"/>
      <c r="DQ11" s="2814"/>
      <c r="DR11" s="2814"/>
      <c r="DS11" s="2814"/>
      <c r="DT11" s="2814"/>
      <c r="DU11" s="2814"/>
      <c r="DV11" s="2814"/>
      <c r="DW11" s="2814"/>
      <c r="DX11" s="2814"/>
      <c r="DY11" s="2814"/>
      <c r="DZ11" s="2814"/>
      <c r="EA11" s="2814"/>
      <c r="EB11" s="2814"/>
      <c r="EC11" s="2814"/>
      <c r="ED11" s="2814"/>
      <c r="EE11" s="2814"/>
      <c r="EF11" s="2814"/>
      <c r="EG11" s="2814"/>
      <c r="EH11" s="2814"/>
      <c r="EI11" s="2814"/>
      <c r="EJ11" s="2814"/>
      <c r="EK11" s="2814"/>
      <c r="EL11" s="2814"/>
      <c r="EM11" s="2814"/>
      <c r="EN11" s="2814"/>
      <c r="EO11" s="2814"/>
      <c r="EP11" s="2814"/>
      <c r="EQ11" s="2814"/>
      <c r="ER11" s="2814"/>
      <c r="ES11" s="2814"/>
      <c r="ET11" s="2814"/>
      <c r="EU11" s="2814"/>
      <c r="EV11" s="2814"/>
      <c r="EW11" s="2814"/>
      <c r="EX11" s="2814"/>
      <c r="EY11" s="2814"/>
      <c r="EZ11" s="2814"/>
      <c r="FA11" s="2814"/>
      <c r="FB11" s="2814"/>
      <c r="FC11" s="2814"/>
      <c r="FD11" s="2814"/>
      <c r="FE11" s="2814"/>
      <c r="FF11" s="2814"/>
      <c r="FG11" s="2814"/>
      <c r="FH11" s="2814"/>
      <c r="FI11" s="2814"/>
      <c r="FJ11" s="2814"/>
      <c r="FK11" s="2814"/>
      <c r="FL11" s="2814"/>
      <c r="FM11" s="2814"/>
      <c r="FN11" s="2814"/>
      <c r="FO11" s="2814"/>
      <c r="FP11" s="2814"/>
      <c r="FQ11" s="2814"/>
      <c r="FR11" s="2814"/>
      <c r="FS11" s="2814"/>
      <c r="FT11" s="2814"/>
      <c r="FU11" s="2814"/>
      <c r="FV11" s="2814"/>
      <c r="FW11" s="2814"/>
      <c r="FX11" s="2814"/>
      <c r="FY11" s="2814"/>
      <c r="FZ11" s="2814"/>
      <c r="GA11" s="2814"/>
      <c r="GB11" s="2814"/>
      <c r="GC11" s="2814"/>
      <c r="GD11" s="2814"/>
      <c r="GE11" s="2814"/>
      <c r="GF11" s="2814"/>
      <c r="GG11" s="2814"/>
      <c r="GH11" s="2814"/>
      <c r="GI11" s="2814"/>
      <c r="GJ11" s="2814"/>
      <c r="GK11" s="2814"/>
      <c r="GL11" s="2814"/>
      <c r="GM11" s="2814"/>
      <c r="GN11" s="2814"/>
      <c r="GO11" s="2814"/>
      <c r="GP11" s="2814"/>
      <c r="GQ11" s="2814"/>
      <c r="GR11" s="2814"/>
      <c r="GS11" s="2814"/>
      <c r="GT11" s="2814"/>
      <c r="GU11" s="2814"/>
      <c r="GV11" s="2814"/>
      <c r="GW11" s="2814"/>
      <c r="GX11" s="2814"/>
      <c r="GY11" s="2814"/>
      <c r="GZ11" s="2814"/>
      <c r="HA11" s="2814"/>
      <c r="HB11" s="2814"/>
      <c r="HC11" s="2814"/>
      <c r="HD11" s="2814"/>
      <c r="HE11" s="2814"/>
      <c r="HF11" s="2814"/>
      <c r="HG11" s="2814"/>
      <c r="HH11" s="2814"/>
      <c r="HI11" s="2814"/>
      <c r="HJ11" s="2814"/>
      <c r="HK11" s="2814"/>
      <c r="HL11" s="2814"/>
      <c r="HM11" s="2814"/>
      <c r="HN11" s="2814"/>
      <c r="HO11" s="2814"/>
      <c r="HP11" s="2814"/>
      <c r="HQ11" s="2814"/>
      <c r="HR11" s="2814"/>
      <c r="HS11" s="2814"/>
      <c r="HT11" s="2814"/>
      <c r="HU11" s="2814"/>
      <c r="HV11" s="2814"/>
      <c r="HW11" s="2814"/>
      <c r="HX11" s="2814"/>
      <c r="HY11" s="2814"/>
      <c r="HZ11" s="2814"/>
      <c r="IA11" s="2814"/>
      <c r="IB11" s="2814"/>
      <c r="IC11" s="2814"/>
      <c r="ID11" s="2814"/>
      <c r="IE11" s="2814"/>
      <c r="IF11" s="2814"/>
      <c r="IG11" s="2814"/>
      <c r="IH11" s="2814"/>
      <c r="II11" s="2814"/>
      <c r="IJ11" s="2814"/>
      <c r="IK11" s="2814"/>
      <c r="IL11" s="2814"/>
      <c r="IM11" s="2814"/>
      <c r="IN11" s="2814"/>
      <c r="IO11" s="2814"/>
      <c r="IP11" s="2814"/>
      <c r="IQ11" s="2814"/>
      <c r="IR11" s="2814"/>
      <c r="IS11" s="2814"/>
      <c r="IT11" s="2814"/>
      <c r="IU11" s="2814"/>
      <c r="IV11" s="2814"/>
    </row>
    <row r="12" spans="1:257">
      <c r="A12" s="2815"/>
      <c r="B12" s="2816"/>
      <c r="C12" s="2817"/>
      <c r="D12" s="2818" t="s">
        <v>2806</v>
      </c>
      <c r="E12" s="2818" t="s">
        <v>2807</v>
      </c>
      <c r="F12" s="2818" t="s">
        <v>2808</v>
      </c>
      <c r="G12" s="2818" t="s">
        <v>2809</v>
      </c>
      <c r="H12" s="2818" t="s">
        <v>2791</v>
      </c>
      <c r="I12" s="2819" t="s">
        <v>2810</v>
      </c>
      <c r="J12" s="2819" t="s">
        <v>2810</v>
      </c>
      <c r="K12" s="2815"/>
      <c r="L12" s="2816"/>
      <c r="M12" s="2817"/>
      <c r="N12" s="2816"/>
      <c r="O12" s="2819" t="s">
        <v>2811</v>
      </c>
      <c r="P12" s="2819">
        <v>0.5</v>
      </c>
      <c r="Q12" s="2819">
        <v>1</v>
      </c>
      <c r="R12" s="2819">
        <v>2</v>
      </c>
      <c r="S12" s="2819">
        <v>3</v>
      </c>
      <c r="T12" s="2819">
        <v>5</v>
      </c>
      <c r="U12" s="2819">
        <v>1</v>
      </c>
      <c r="V12" s="2819">
        <v>3</v>
      </c>
      <c r="W12" s="2819">
        <v>5</v>
      </c>
      <c r="X12" s="2816"/>
      <c r="Y12" s="2816"/>
      <c r="Z12" s="2816"/>
      <c r="AA12" s="2820"/>
      <c r="AB12" s="2820"/>
      <c r="AC12" s="2820"/>
      <c r="AD12" s="2820"/>
      <c r="AE12" s="2820"/>
      <c r="AF12" s="2820"/>
      <c r="AG12" s="2820"/>
      <c r="AH12" s="2820"/>
      <c r="AI12" s="2820"/>
      <c r="AJ12" s="2820"/>
      <c r="AK12" s="2820"/>
      <c r="AL12" s="2820"/>
      <c r="AM12" s="2820"/>
      <c r="AN12" s="2820"/>
      <c r="AO12" s="2820"/>
      <c r="AP12" s="2820"/>
      <c r="AQ12" s="2820"/>
      <c r="AR12" s="2820"/>
      <c r="AS12" s="2820"/>
      <c r="AT12" s="2820"/>
      <c r="AU12" s="2820"/>
      <c r="AV12" s="2820"/>
      <c r="AW12" s="2820"/>
      <c r="AX12" s="2820"/>
      <c r="AY12" s="2820"/>
      <c r="AZ12" s="2820"/>
      <c r="BA12" s="2820"/>
      <c r="BB12" s="2820"/>
      <c r="BC12" s="2820"/>
      <c r="BD12" s="2820"/>
      <c r="BE12" s="2820"/>
      <c r="BF12" s="2820"/>
      <c r="BG12" s="2820"/>
      <c r="BH12" s="2820"/>
      <c r="BI12" s="2820"/>
      <c r="BJ12" s="2820"/>
      <c r="BK12" s="2820"/>
      <c r="BL12" s="2820"/>
      <c r="BM12" s="2820"/>
      <c r="BN12" s="2820"/>
      <c r="BO12" s="2820"/>
      <c r="BP12" s="2820"/>
      <c r="BQ12" s="2820"/>
      <c r="BR12" s="2820"/>
      <c r="BS12" s="2820"/>
      <c r="BT12" s="2820"/>
      <c r="BU12" s="2820"/>
      <c r="BV12" s="2820"/>
      <c r="BW12" s="2820"/>
      <c r="BX12" s="2820"/>
      <c r="BY12" s="2820"/>
      <c r="BZ12" s="2820"/>
      <c r="CA12" s="2820"/>
      <c r="CB12" s="2820"/>
      <c r="CC12" s="2820"/>
      <c r="CD12" s="2820"/>
      <c r="CE12" s="2820"/>
      <c r="CF12" s="2820"/>
      <c r="CG12" s="2820"/>
      <c r="CH12" s="2820"/>
      <c r="CI12" s="2820"/>
      <c r="CJ12" s="2820"/>
      <c r="CK12" s="2820"/>
      <c r="CL12" s="2820"/>
      <c r="CM12" s="2820"/>
      <c r="CN12" s="2820"/>
      <c r="CO12" s="2820"/>
      <c r="CP12" s="2820"/>
      <c r="CQ12" s="2820"/>
      <c r="CR12" s="2820"/>
      <c r="CS12" s="2820"/>
      <c r="CT12" s="2820"/>
      <c r="CU12" s="2820"/>
      <c r="CV12" s="2820"/>
      <c r="CW12" s="2820"/>
      <c r="CX12" s="2820"/>
      <c r="CY12" s="2820"/>
      <c r="CZ12" s="2820"/>
      <c r="DA12" s="2820"/>
      <c r="DB12" s="2820"/>
      <c r="DC12" s="2820"/>
      <c r="DD12" s="2820"/>
      <c r="DE12" s="2820"/>
      <c r="DF12" s="2820"/>
      <c r="DG12" s="2820"/>
      <c r="DH12" s="2820"/>
      <c r="DI12" s="2820"/>
      <c r="DJ12" s="2820"/>
      <c r="DK12" s="2820"/>
      <c r="DL12" s="2820"/>
      <c r="DM12" s="2820"/>
      <c r="DN12" s="2820"/>
      <c r="DO12" s="2820"/>
      <c r="DP12" s="2820"/>
      <c r="DQ12" s="2820"/>
      <c r="DR12" s="2820"/>
      <c r="DS12" s="2820"/>
      <c r="DT12" s="2820"/>
      <c r="DU12" s="2820"/>
      <c r="DV12" s="2820"/>
      <c r="DW12" s="2820"/>
      <c r="DX12" s="2820"/>
      <c r="DY12" s="2820"/>
      <c r="DZ12" s="2820"/>
      <c r="EA12" s="2820"/>
      <c r="EB12" s="2820"/>
      <c r="EC12" s="2820"/>
      <c r="ED12" s="2820"/>
      <c r="EE12" s="2820"/>
      <c r="EF12" s="2820"/>
      <c r="EG12" s="2820"/>
      <c r="EH12" s="2820"/>
      <c r="EI12" s="2820"/>
      <c r="EJ12" s="2820"/>
      <c r="EK12" s="2820"/>
      <c r="EL12" s="2820"/>
      <c r="EM12" s="2820"/>
      <c r="EN12" s="2820"/>
      <c r="EO12" s="2820"/>
      <c r="EP12" s="2820"/>
      <c r="EQ12" s="2820"/>
      <c r="ER12" s="2820"/>
      <c r="ES12" s="2820"/>
      <c r="ET12" s="2820"/>
      <c r="EU12" s="2820"/>
      <c r="EV12" s="2820"/>
      <c r="EW12" s="2820"/>
      <c r="EX12" s="2820"/>
      <c r="EY12" s="2820"/>
      <c r="EZ12" s="2820"/>
      <c r="FA12" s="2820"/>
      <c r="FB12" s="2820"/>
      <c r="FC12" s="2820"/>
      <c r="FD12" s="2820"/>
      <c r="FE12" s="2820"/>
      <c r="FF12" s="2820"/>
      <c r="FG12" s="2820"/>
      <c r="FH12" s="2820"/>
      <c r="FI12" s="2820"/>
      <c r="FJ12" s="2820"/>
      <c r="FK12" s="2820"/>
      <c r="FL12" s="2820"/>
      <c r="FM12" s="2820"/>
      <c r="FN12" s="2820"/>
      <c r="FO12" s="2820"/>
      <c r="FP12" s="2820"/>
      <c r="FQ12" s="2820"/>
      <c r="FR12" s="2820"/>
      <c r="FS12" s="2820"/>
      <c r="FT12" s="2820"/>
      <c r="FU12" s="2820"/>
      <c r="FV12" s="2820"/>
      <c r="FW12" s="2820"/>
      <c r="FX12" s="2820"/>
      <c r="FY12" s="2820"/>
      <c r="FZ12" s="2820"/>
      <c r="GA12" s="2820"/>
      <c r="GB12" s="2820"/>
      <c r="GC12" s="2820"/>
      <c r="GD12" s="2820"/>
      <c r="GE12" s="2820"/>
      <c r="GF12" s="2820"/>
      <c r="GG12" s="2820"/>
      <c r="GH12" s="2820"/>
      <c r="GI12" s="2820"/>
      <c r="GJ12" s="2820"/>
      <c r="GK12" s="2820"/>
      <c r="GL12" s="2820"/>
      <c r="GM12" s="2820"/>
      <c r="GN12" s="2820"/>
      <c r="GO12" s="2820"/>
      <c r="GP12" s="2820"/>
      <c r="GQ12" s="2820"/>
      <c r="GR12" s="2820"/>
      <c r="GS12" s="2820"/>
      <c r="GT12" s="2820"/>
      <c r="GU12" s="2820"/>
      <c r="GV12" s="2820"/>
      <c r="GW12" s="2820"/>
      <c r="GX12" s="2820"/>
      <c r="GY12" s="2820"/>
      <c r="GZ12" s="2820"/>
      <c r="HA12" s="2820"/>
      <c r="HB12" s="2820"/>
      <c r="HC12" s="2820"/>
      <c r="HD12" s="2820"/>
      <c r="HE12" s="2820"/>
      <c r="HF12" s="2820"/>
      <c r="HG12" s="2820"/>
      <c r="HH12" s="2820"/>
      <c r="HI12" s="2820"/>
      <c r="HJ12" s="2820"/>
      <c r="HK12" s="2820"/>
      <c r="HL12" s="2820"/>
      <c r="HM12" s="2820"/>
      <c r="HN12" s="2820"/>
      <c r="HO12" s="2820"/>
      <c r="HP12" s="2820"/>
      <c r="HQ12" s="2820"/>
      <c r="HR12" s="2820"/>
      <c r="HS12" s="2820"/>
      <c r="HT12" s="2820"/>
      <c r="HU12" s="2820"/>
      <c r="HV12" s="2820"/>
      <c r="HW12" s="2820"/>
      <c r="HX12" s="2820"/>
      <c r="HY12" s="2820"/>
      <c r="HZ12" s="2820"/>
      <c r="IA12" s="2820"/>
      <c r="IB12" s="2820"/>
      <c r="IC12" s="2820"/>
      <c r="ID12" s="2820"/>
      <c r="IE12" s="2820"/>
      <c r="IF12" s="2820"/>
      <c r="IG12" s="2820"/>
      <c r="IH12" s="2820"/>
      <c r="II12" s="2820"/>
      <c r="IJ12" s="2820"/>
      <c r="IK12" s="2820"/>
      <c r="IL12" s="2820"/>
      <c r="IM12" s="2820"/>
      <c r="IN12" s="2820"/>
      <c r="IO12" s="2820"/>
      <c r="IP12" s="2820"/>
      <c r="IQ12" s="2820"/>
      <c r="IR12" s="2820"/>
      <c r="IS12" s="2820"/>
      <c r="IT12" s="2820"/>
      <c r="IU12" s="2820"/>
      <c r="IV12" s="2820"/>
    </row>
    <row r="13" spans="1:257" ht="14.25">
      <c r="A13" s="2821"/>
      <c r="B13" s="2822" t="s">
        <v>2812</v>
      </c>
      <c r="C13" s="2823">
        <v>42301</v>
      </c>
      <c r="D13" s="2824">
        <v>4.3499999999999996</v>
      </c>
      <c r="E13" s="2824">
        <v>4.3499999999999996</v>
      </c>
      <c r="F13" s="2824">
        <v>4.75</v>
      </c>
      <c r="G13" s="2824">
        <v>4.75</v>
      </c>
      <c r="H13" s="2824">
        <v>4.9000000000000004</v>
      </c>
      <c r="I13" s="2824">
        <v>2.75</v>
      </c>
      <c r="J13" s="2824">
        <v>3.25</v>
      </c>
      <c r="K13" s="2821"/>
      <c r="L13" s="2822" t="s">
        <v>2812</v>
      </c>
      <c r="M13" s="2825">
        <v>42301</v>
      </c>
      <c r="N13" s="2824">
        <v>0.35</v>
      </c>
      <c r="O13" s="2824">
        <v>1.1000000000000001</v>
      </c>
      <c r="P13" s="2824">
        <v>1.3</v>
      </c>
      <c r="Q13" s="2824">
        <v>1.5</v>
      </c>
      <c r="R13" s="2824">
        <v>2.1</v>
      </c>
      <c r="S13" s="2824">
        <v>2.75</v>
      </c>
      <c r="T13" s="2824"/>
      <c r="U13" s="2824"/>
      <c r="V13" s="2824"/>
      <c r="W13" s="2824"/>
      <c r="X13" s="2824"/>
      <c r="Y13" s="2824"/>
      <c r="Z13" s="2824"/>
      <c r="AA13" s="2826"/>
      <c r="AB13" s="2826"/>
      <c r="AC13" s="2826"/>
      <c r="AD13" s="2826"/>
      <c r="AE13" s="2826"/>
      <c r="AF13" s="2826"/>
      <c r="AG13" s="2826"/>
      <c r="AH13" s="2826"/>
      <c r="AI13" s="2826"/>
      <c r="AJ13" s="2826"/>
      <c r="AK13" s="2826"/>
      <c r="AL13" s="2826"/>
      <c r="AM13" s="2826"/>
      <c r="AN13" s="2826"/>
      <c r="AO13" s="2826"/>
      <c r="AP13" s="2826"/>
      <c r="AQ13" s="2826"/>
      <c r="AR13" s="2826"/>
      <c r="AS13" s="2826"/>
      <c r="AT13" s="2826"/>
      <c r="AU13" s="2826"/>
      <c r="AV13" s="2826"/>
      <c r="AW13" s="2826"/>
      <c r="AX13" s="2826"/>
      <c r="AY13" s="2826"/>
      <c r="AZ13" s="2826"/>
      <c r="BA13" s="2826"/>
      <c r="BB13" s="2826"/>
      <c r="BC13" s="2826"/>
      <c r="BD13" s="2826"/>
      <c r="BE13" s="2826"/>
      <c r="BF13" s="2826"/>
      <c r="BG13" s="2826"/>
      <c r="BH13" s="2826"/>
      <c r="BI13" s="2826"/>
      <c r="BJ13" s="2826"/>
      <c r="BK13" s="2826"/>
      <c r="BL13" s="2826"/>
      <c r="BM13" s="2826"/>
      <c r="BN13" s="2826"/>
      <c r="BO13" s="2826"/>
      <c r="BP13" s="2826"/>
      <c r="BQ13" s="2826"/>
      <c r="BR13" s="2826"/>
      <c r="BS13" s="2826"/>
      <c r="BT13" s="2826"/>
      <c r="BU13" s="2826"/>
      <c r="BV13" s="2826"/>
      <c r="BW13" s="2826"/>
      <c r="BX13" s="2826"/>
      <c r="BY13" s="2826"/>
      <c r="BZ13" s="2826"/>
      <c r="CA13" s="2826"/>
      <c r="CB13" s="2826"/>
      <c r="CC13" s="2826"/>
      <c r="CD13" s="2826"/>
      <c r="CE13" s="2826"/>
      <c r="CF13" s="2826"/>
      <c r="CG13" s="2826"/>
      <c r="CH13" s="2826"/>
      <c r="CI13" s="2826"/>
      <c r="CJ13" s="2826"/>
      <c r="CK13" s="2826"/>
      <c r="CL13" s="2826"/>
      <c r="CM13" s="2826"/>
      <c r="CN13" s="2826"/>
      <c r="CO13" s="2826"/>
      <c r="CP13" s="2826"/>
      <c r="CQ13" s="2826"/>
      <c r="CR13" s="2826"/>
      <c r="CS13" s="2826"/>
      <c r="CT13" s="2826"/>
      <c r="CU13" s="2826"/>
      <c r="CV13" s="2826"/>
      <c r="CW13" s="2826"/>
      <c r="CX13" s="2826"/>
      <c r="CY13" s="2826"/>
      <c r="CZ13" s="2826"/>
      <c r="DA13" s="2826"/>
      <c r="DB13" s="2826"/>
      <c r="DC13" s="2826"/>
      <c r="DD13" s="2826"/>
      <c r="DE13" s="2826"/>
      <c r="DF13" s="2826"/>
      <c r="DG13" s="2826"/>
      <c r="DH13" s="2826"/>
      <c r="DI13" s="2826"/>
      <c r="DJ13" s="2826"/>
      <c r="DK13" s="2826"/>
      <c r="DL13" s="2826"/>
      <c r="DM13" s="2826"/>
      <c r="DN13" s="2826"/>
      <c r="DO13" s="2826"/>
      <c r="DP13" s="2826"/>
      <c r="DQ13" s="2826"/>
      <c r="DR13" s="2826"/>
      <c r="DS13" s="2826"/>
      <c r="DT13" s="2826"/>
      <c r="DU13" s="2826"/>
      <c r="DV13" s="2826"/>
      <c r="DW13" s="2826"/>
      <c r="DX13" s="2826"/>
      <c r="DY13" s="2826"/>
      <c r="DZ13" s="2826"/>
      <c r="EA13" s="2826"/>
      <c r="EB13" s="2826"/>
      <c r="EC13" s="2826"/>
      <c r="ED13" s="2826"/>
      <c r="EE13" s="2826"/>
      <c r="EF13" s="2826"/>
      <c r="EG13" s="2826"/>
      <c r="EH13" s="2826"/>
      <c r="EI13" s="2826"/>
      <c r="EJ13" s="2826"/>
      <c r="EK13" s="2826"/>
      <c r="EL13" s="2826"/>
      <c r="EM13" s="2826"/>
      <c r="EN13" s="2826"/>
      <c r="EO13" s="2826"/>
      <c r="EP13" s="2826"/>
      <c r="EQ13" s="2826"/>
      <c r="ER13" s="2826"/>
      <c r="ES13" s="2826"/>
      <c r="ET13" s="2826"/>
      <c r="EU13" s="2826"/>
      <c r="EV13" s="2826"/>
      <c r="EW13" s="2826"/>
      <c r="EX13" s="2826"/>
      <c r="EY13" s="2826"/>
      <c r="EZ13" s="2826"/>
      <c r="FA13" s="2826"/>
      <c r="FB13" s="2826"/>
      <c r="FC13" s="2826"/>
      <c r="FD13" s="2826"/>
      <c r="FE13" s="2826"/>
      <c r="FF13" s="2826"/>
      <c r="FG13" s="2826"/>
      <c r="FH13" s="2826"/>
      <c r="FI13" s="2826"/>
      <c r="FJ13" s="2826"/>
      <c r="FK13" s="2826"/>
      <c r="FL13" s="2826"/>
      <c r="FM13" s="2826"/>
      <c r="FN13" s="2826"/>
      <c r="FO13" s="2826"/>
      <c r="FP13" s="2826"/>
      <c r="FQ13" s="2826"/>
      <c r="FR13" s="2826"/>
      <c r="FS13" s="2826"/>
      <c r="FT13" s="2826"/>
      <c r="FU13" s="2826"/>
      <c r="FV13" s="2826"/>
      <c r="FW13" s="2826"/>
      <c r="FX13" s="2826"/>
      <c r="FY13" s="2826"/>
      <c r="FZ13" s="2826"/>
      <c r="GA13" s="2826"/>
      <c r="GB13" s="2826"/>
      <c r="GC13" s="2826"/>
      <c r="GD13" s="2826"/>
      <c r="GE13" s="2826"/>
      <c r="GF13" s="2826"/>
      <c r="GG13" s="2826"/>
      <c r="GH13" s="2826"/>
      <c r="GI13" s="2826"/>
      <c r="GJ13" s="2826"/>
      <c r="GK13" s="2826"/>
      <c r="GL13" s="2826"/>
      <c r="GM13" s="2826"/>
      <c r="GN13" s="2826"/>
      <c r="GO13" s="2826"/>
      <c r="GP13" s="2826"/>
      <c r="GQ13" s="2826"/>
      <c r="GR13" s="2826"/>
      <c r="GS13" s="2826"/>
      <c r="GT13" s="2826"/>
      <c r="GU13" s="2826"/>
      <c r="GV13" s="2826"/>
      <c r="GW13" s="2826"/>
      <c r="GX13" s="2826"/>
      <c r="GY13" s="2826"/>
      <c r="GZ13" s="2826"/>
      <c r="HA13" s="2826"/>
      <c r="HB13" s="2826"/>
      <c r="HC13" s="2826"/>
      <c r="HD13" s="2826"/>
      <c r="HE13" s="2826"/>
      <c r="HF13" s="2826"/>
      <c r="HG13" s="2826"/>
      <c r="HH13" s="2826"/>
      <c r="HI13" s="2826"/>
      <c r="HJ13" s="2826"/>
      <c r="HK13" s="2826"/>
      <c r="HL13" s="2826"/>
      <c r="HM13" s="2826"/>
      <c r="HN13" s="2826"/>
      <c r="HO13" s="2826"/>
      <c r="HP13" s="2826"/>
      <c r="HQ13" s="2826"/>
      <c r="HR13" s="2826"/>
      <c r="HS13" s="2826"/>
      <c r="HT13" s="2826"/>
      <c r="HU13" s="2826"/>
      <c r="HV13" s="2826"/>
      <c r="HW13" s="2826"/>
      <c r="HX13" s="2826"/>
      <c r="HY13" s="2826"/>
      <c r="HZ13" s="2826"/>
      <c r="IA13" s="2826"/>
      <c r="IB13" s="2826"/>
      <c r="IC13" s="2826"/>
      <c r="ID13" s="2826"/>
      <c r="IE13" s="2826"/>
      <c r="IF13" s="2826"/>
      <c r="IG13" s="2826"/>
      <c r="IH13" s="2826"/>
      <c r="II13" s="2826"/>
      <c r="IJ13" s="2826"/>
      <c r="IK13" s="2826"/>
      <c r="IL13" s="2826"/>
      <c r="IM13" s="2826"/>
      <c r="IN13" s="2826"/>
      <c r="IO13" s="2826"/>
      <c r="IP13" s="2826"/>
      <c r="IQ13" s="2826"/>
      <c r="IR13" s="2826"/>
      <c r="IS13" s="2826"/>
      <c r="IT13" s="2826"/>
      <c r="IU13" s="2826"/>
      <c r="IV13" s="2826"/>
      <c r="IW13" s="2827"/>
    </row>
    <row r="14" spans="1:257">
      <c r="B14" s="2828"/>
      <c r="C14" s="2829">
        <v>42242</v>
      </c>
      <c r="D14" s="2828">
        <v>4.5999999999999996</v>
      </c>
      <c r="E14" s="2828">
        <v>4.5999999999999996</v>
      </c>
      <c r="F14" s="2828">
        <v>5</v>
      </c>
      <c r="G14" s="2828">
        <v>5</v>
      </c>
      <c r="H14" s="2828">
        <v>5.15</v>
      </c>
      <c r="I14" s="2828">
        <v>2.75</v>
      </c>
      <c r="J14" s="2828">
        <v>3.25</v>
      </c>
      <c r="L14" s="2828"/>
      <c r="M14" s="2829">
        <v>42242</v>
      </c>
      <c r="N14" s="2828">
        <v>0.35</v>
      </c>
      <c r="O14" s="2828">
        <v>1.35</v>
      </c>
      <c r="P14" s="2828">
        <v>1.55</v>
      </c>
      <c r="Q14" s="2828">
        <v>1.75</v>
      </c>
      <c r="R14" s="2828">
        <v>2.35</v>
      </c>
      <c r="S14" s="2828">
        <v>3</v>
      </c>
      <c r="T14" s="2828"/>
      <c r="U14" s="2828"/>
      <c r="V14" s="2828"/>
      <c r="W14" s="2828"/>
      <c r="X14" s="2828"/>
      <c r="Y14" s="2828"/>
      <c r="Z14" s="2828"/>
    </row>
    <row r="15" spans="1:257">
      <c r="B15" s="2828"/>
      <c r="C15" s="2829">
        <v>42183</v>
      </c>
      <c r="D15" s="2828">
        <v>4.8499999999999996</v>
      </c>
      <c r="E15" s="2828">
        <v>4.8499999999999996</v>
      </c>
      <c r="F15" s="2828">
        <v>5.25</v>
      </c>
      <c r="G15" s="2828">
        <v>5.25</v>
      </c>
      <c r="H15" s="2828">
        <v>5.4</v>
      </c>
      <c r="I15" s="2828">
        <v>3</v>
      </c>
      <c r="J15" s="2828">
        <v>3.5</v>
      </c>
      <c r="L15" s="2828"/>
      <c r="M15" s="2829">
        <v>42183</v>
      </c>
      <c r="N15" s="2828">
        <v>0.35</v>
      </c>
      <c r="O15" s="2828">
        <v>1.6</v>
      </c>
      <c r="P15" s="2828">
        <v>1.8</v>
      </c>
      <c r="Q15" s="2828">
        <v>2</v>
      </c>
      <c r="R15" s="2828">
        <v>2.6</v>
      </c>
      <c r="S15" s="2828">
        <v>3.25</v>
      </c>
      <c r="T15" s="2828"/>
      <c r="U15" s="2828"/>
      <c r="V15" s="2828"/>
      <c r="W15" s="2828"/>
      <c r="X15" s="2828"/>
      <c r="Y15" s="2828"/>
      <c r="Z15" s="2828"/>
    </row>
    <row r="16" spans="1:257">
      <c r="B16" s="2828"/>
      <c r="C16" s="2829">
        <v>42135</v>
      </c>
      <c r="D16" s="2828">
        <v>5.0999999999999996</v>
      </c>
      <c r="E16" s="2828">
        <v>5.0999999999999996</v>
      </c>
      <c r="F16" s="2828">
        <v>5.5</v>
      </c>
      <c r="G16" s="2828">
        <v>5.5</v>
      </c>
      <c r="H16" s="2828">
        <v>5.65</v>
      </c>
      <c r="I16" s="2828">
        <v>3.25</v>
      </c>
      <c r="J16" s="2828">
        <v>3.75</v>
      </c>
      <c r="L16" s="2828"/>
      <c r="M16" s="2829">
        <v>42135</v>
      </c>
      <c r="N16" s="2828">
        <v>0.35</v>
      </c>
      <c r="O16" s="2828">
        <v>1.85</v>
      </c>
      <c r="P16" s="2828">
        <v>2.0499999999999998</v>
      </c>
      <c r="Q16" s="2828">
        <v>2.25</v>
      </c>
      <c r="R16" s="2828">
        <v>2.85</v>
      </c>
      <c r="S16" s="2828">
        <v>3.5</v>
      </c>
      <c r="T16" s="2828"/>
      <c r="U16" s="2828"/>
      <c r="V16" s="2828"/>
      <c r="W16" s="2828"/>
      <c r="X16" s="2828"/>
      <c r="Y16" s="2828"/>
      <c r="Z16" s="2828"/>
    </row>
    <row r="17" spans="2:26">
      <c r="B17" s="2828"/>
      <c r="C17" s="2829">
        <v>42064</v>
      </c>
      <c r="D17" s="2828">
        <v>5.35</v>
      </c>
      <c r="E17" s="2828">
        <v>5.35</v>
      </c>
      <c r="F17" s="2828">
        <v>5.75</v>
      </c>
      <c r="G17" s="2828">
        <v>5.75</v>
      </c>
      <c r="H17" s="2828">
        <v>5.9</v>
      </c>
      <c r="I17" s="2828"/>
      <c r="J17" s="2828"/>
      <c r="L17" s="2828"/>
      <c r="M17" s="2829">
        <v>42064</v>
      </c>
      <c r="N17" s="2828">
        <v>0.35</v>
      </c>
      <c r="O17" s="2828">
        <v>2.1</v>
      </c>
      <c r="P17" s="2828">
        <v>2.2999999999999998</v>
      </c>
      <c r="Q17" s="2828">
        <v>2.5</v>
      </c>
      <c r="R17" s="2828">
        <v>3.1</v>
      </c>
      <c r="S17" s="2828">
        <v>3.75</v>
      </c>
      <c r="T17" s="2828">
        <v>4.5</v>
      </c>
      <c r="U17" s="2828">
        <v>2.35</v>
      </c>
      <c r="V17" s="2828">
        <v>2.5499999999999998</v>
      </c>
      <c r="W17" s="2828">
        <v>2.75</v>
      </c>
      <c r="X17" s="2828"/>
      <c r="Y17" s="2828">
        <v>0.8</v>
      </c>
      <c r="Z17" s="2828">
        <v>1.35</v>
      </c>
    </row>
    <row r="18" spans="2:26" ht="15">
      <c r="B18" s="2828"/>
      <c r="C18" s="2829">
        <v>41965</v>
      </c>
      <c r="D18" s="2828">
        <v>5.6</v>
      </c>
      <c r="E18" s="2828">
        <v>5.6</v>
      </c>
      <c r="F18" s="2828">
        <v>6</v>
      </c>
      <c r="G18" s="2828">
        <v>6</v>
      </c>
      <c r="H18" s="2828">
        <v>6.15</v>
      </c>
      <c r="I18" s="2828"/>
      <c r="J18" s="2828"/>
      <c r="L18" s="2828"/>
      <c r="M18" s="2829">
        <v>41965</v>
      </c>
      <c r="N18" s="2828">
        <v>0.35</v>
      </c>
      <c r="O18" s="2828">
        <v>2.35</v>
      </c>
      <c r="P18" s="2828">
        <v>2.5499999999999998</v>
      </c>
      <c r="Q18" s="2828">
        <v>2.75</v>
      </c>
      <c r="R18" s="2828">
        <v>3.35</v>
      </c>
      <c r="S18" s="2828">
        <v>4</v>
      </c>
      <c r="T18" s="2828">
        <v>4.75</v>
      </c>
      <c r="U18" s="2830">
        <v>2.35</v>
      </c>
      <c r="V18" s="2830">
        <v>2.5499999999999998</v>
      </c>
      <c r="W18" s="2830">
        <v>2.75</v>
      </c>
      <c r="X18" s="2828"/>
      <c r="Y18" s="2830">
        <v>0.8</v>
      </c>
      <c r="Z18" s="2830">
        <v>1.35</v>
      </c>
    </row>
    <row r="19" spans="2:26">
      <c r="B19" s="2828"/>
      <c r="C19" s="2829">
        <v>41096</v>
      </c>
      <c r="D19" s="2828">
        <v>5.6</v>
      </c>
      <c r="E19" s="2828">
        <v>6</v>
      </c>
      <c r="F19" s="2828">
        <v>6.15</v>
      </c>
      <c r="G19" s="2828">
        <v>6.4</v>
      </c>
      <c r="H19" s="2828">
        <v>6.55</v>
      </c>
      <c r="I19" s="2828">
        <v>4</v>
      </c>
      <c r="J19" s="2828">
        <v>4.5</v>
      </c>
      <c r="L19" s="2828"/>
      <c r="M19" s="2829">
        <v>41096</v>
      </c>
      <c r="N19" s="2828">
        <v>0.35</v>
      </c>
      <c r="O19" s="2828">
        <v>2.6</v>
      </c>
      <c r="P19" s="2828">
        <v>2.8</v>
      </c>
      <c r="Q19" s="2828">
        <v>3</v>
      </c>
      <c r="R19" s="2828">
        <v>3.75</v>
      </c>
      <c r="S19" s="2828">
        <v>4.25</v>
      </c>
      <c r="T19" s="2828">
        <v>4.75</v>
      </c>
      <c r="U19" s="2828">
        <v>2.85</v>
      </c>
      <c r="V19" s="2828">
        <v>2.9</v>
      </c>
      <c r="W19" s="2828">
        <v>3</v>
      </c>
      <c r="X19" s="2828">
        <v>1.1499999999999999</v>
      </c>
      <c r="Y19" s="2828">
        <v>0.8</v>
      </c>
      <c r="Z19" s="2828">
        <v>1.35</v>
      </c>
    </row>
    <row r="20" spans="2:26">
      <c r="B20" s="2828"/>
      <c r="C20" s="2829">
        <v>41068</v>
      </c>
      <c r="D20" s="2828">
        <v>5.85</v>
      </c>
      <c r="E20" s="2828">
        <v>6.31</v>
      </c>
      <c r="F20" s="2828">
        <v>6.4</v>
      </c>
      <c r="G20" s="2828">
        <v>6.65</v>
      </c>
      <c r="H20" s="2828">
        <v>6.8</v>
      </c>
      <c r="I20" s="2828">
        <v>4.2</v>
      </c>
      <c r="J20" s="2828">
        <v>4.7</v>
      </c>
      <c r="L20" s="2828"/>
      <c r="M20" s="2829">
        <v>41068</v>
      </c>
      <c r="N20" s="2828">
        <v>0.4</v>
      </c>
      <c r="O20" s="2828">
        <v>2.85</v>
      </c>
      <c r="P20" s="2828">
        <v>3.05</v>
      </c>
      <c r="Q20" s="2828">
        <v>3.25</v>
      </c>
      <c r="R20" s="2828">
        <v>4.0999999999999996</v>
      </c>
      <c r="S20" s="2828">
        <v>4.6500000000000004</v>
      </c>
      <c r="T20" s="2828">
        <v>5.0999999999999996</v>
      </c>
      <c r="U20" s="2828">
        <v>3.1</v>
      </c>
      <c r="V20" s="2828">
        <v>3.15</v>
      </c>
      <c r="W20" s="2828">
        <v>3.25</v>
      </c>
      <c r="X20" s="2828">
        <v>1.31</v>
      </c>
      <c r="Y20" s="2828">
        <v>0.94</v>
      </c>
      <c r="Z20" s="2828">
        <v>1.49</v>
      </c>
    </row>
    <row r="21" spans="2:26">
      <c r="B21" s="2828"/>
      <c r="C21" s="2829">
        <v>40731</v>
      </c>
      <c r="D21" s="2828">
        <v>6.1</v>
      </c>
      <c r="E21" s="2828">
        <v>6.56</v>
      </c>
      <c r="F21" s="2828">
        <v>6.65</v>
      </c>
      <c r="G21" s="2828">
        <v>6.9</v>
      </c>
      <c r="H21" s="2828">
        <v>7.05</v>
      </c>
      <c r="I21" s="2828">
        <v>4.45</v>
      </c>
      <c r="J21" s="2828">
        <v>4.9000000000000004</v>
      </c>
      <c r="L21" s="2828"/>
      <c r="M21" s="2829">
        <v>40731</v>
      </c>
      <c r="N21" s="2828">
        <v>0.5</v>
      </c>
      <c r="O21" s="2828">
        <v>3.1</v>
      </c>
      <c r="P21" s="2828">
        <v>3.3</v>
      </c>
      <c r="Q21" s="2828">
        <v>3.5</v>
      </c>
      <c r="R21" s="2828">
        <v>4.4000000000000004</v>
      </c>
      <c r="S21" s="2828">
        <v>5</v>
      </c>
      <c r="T21" s="2828">
        <v>5.5</v>
      </c>
      <c r="U21" s="2828">
        <v>3.1</v>
      </c>
      <c r="V21" s="2828">
        <v>3.3</v>
      </c>
      <c r="W21" s="2828">
        <v>3.5</v>
      </c>
      <c r="X21" s="2828">
        <v>1.31</v>
      </c>
      <c r="Y21" s="2828">
        <v>0.95</v>
      </c>
      <c r="Z21" s="2828">
        <v>1.49</v>
      </c>
    </row>
    <row r="22" spans="2:26">
      <c r="B22" s="2828"/>
      <c r="C22" s="2829">
        <v>40639</v>
      </c>
      <c r="D22" s="2828">
        <v>5.85</v>
      </c>
      <c r="E22" s="2828">
        <v>6.31</v>
      </c>
      <c r="F22" s="2828">
        <v>6.4</v>
      </c>
      <c r="G22" s="2828">
        <v>6.65</v>
      </c>
      <c r="H22" s="2828">
        <v>6.8</v>
      </c>
      <c r="I22" s="2828">
        <v>4.2</v>
      </c>
      <c r="J22" s="2828">
        <v>4.7</v>
      </c>
      <c r="L22" s="2828"/>
      <c r="M22" s="2829">
        <v>40639</v>
      </c>
      <c r="N22" s="2828">
        <v>0.5</v>
      </c>
      <c r="O22" s="2828">
        <v>2.85</v>
      </c>
      <c r="P22" s="2828">
        <v>3.05</v>
      </c>
      <c r="Q22" s="2828">
        <v>3.25</v>
      </c>
      <c r="R22" s="2828">
        <v>4.1500000000000004</v>
      </c>
      <c r="S22" s="2828">
        <v>4.75</v>
      </c>
      <c r="T22" s="2828">
        <v>5.25</v>
      </c>
      <c r="U22" s="2828">
        <v>2.85</v>
      </c>
      <c r="V22" s="2828">
        <v>3.05</v>
      </c>
      <c r="W22" s="2828">
        <v>3.25</v>
      </c>
      <c r="X22" s="2828">
        <v>1.31</v>
      </c>
      <c r="Y22" s="2828">
        <v>0.95</v>
      </c>
      <c r="Z22" s="2828">
        <v>1.49</v>
      </c>
    </row>
    <row r="23" spans="2:26">
      <c r="B23" s="2828"/>
      <c r="C23" s="2829">
        <v>40583</v>
      </c>
      <c r="D23" s="2828">
        <v>5.6</v>
      </c>
      <c r="E23" s="2828">
        <v>6.06</v>
      </c>
      <c r="F23" s="2828">
        <v>6.1</v>
      </c>
      <c r="G23" s="2828">
        <v>6.45</v>
      </c>
      <c r="H23" s="2828">
        <v>6.6</v>
      </c>
      <c r="I23" s="2828">
        <v>4</v>
      </c>
      <c r="J23" s="2828">
        <v>4.5</v>
      </c>
      <c r="L23" s="2828"/>
      <c r="M23" s="2829">
        <v>40583</v>
      </c>
      <c r="N23" s="2828">
        <v>0.4</v>
      </c>
      <c r="O23" s="2828">
        <v>2.6</v>
      </c>
      <c r="P23" s="2828">
        <v>2.8</v>
      </c>
      <c r="Q23" s="2828">
        <v>3</v>
      </c>
      <c r="R23" s="2828">
        <v>3.9</v>
      </c>
      <c r="S23" s="2828">
        <v>4.5</v>
      </c>
      <c r="T23" s="2828">
        <v>5</v>
      </c>
      <c r="U23" s="2828">
        <v>2.6</v>
      </c>
      <c r="V23" s="2828">
        <v>2.8</v>
      </c>
      <c r="W23" s="2828">
        <v>3</v>
      </c>
      <c r="X23" s="2828">
        <v>1.21</v>
      </c>
      <c r="Y23" s="2828">
        <v>0.85</v>
      </c>
      <c r="Z23" s="2828">
        <v>1.39</v>
      </c>
    </row>
    <row r="24" spans="2:26">
      <c r="B24" s="2828"/>
      <c r="C24" s="2829">
        <v>40538</v>
      </c>
      <c r="D24" s="2828">
        <v>5.35</v>
      </c>
      <c r="E24" s="2828">
        <v>5.81</v>
      </c>
      <c r="F24" s="2828">
        <v>5.85</v>
      </c>
      <c r="G24" s="2828">
        <v>6.22</v>
      </c>
      <c r="H24" s="2828">
        <v>6.4</v>
      </c>
      <c r="I24" s="2828">
        <v>3.75</v>
      </c>
      <c r="J24" s="2828">
        <v>4.3</v>
      </c>
      <c r="L24" s="2828"/>
      <c r="M24" s="2829">
        <v>40538</v>
      </c>
      <c r="N24" s="2828">
        <v>0.36</v>
      </c>
      <c r="O24" s="2828">
        <v>2.25</v>
      </c>
      <c r="P24" s="2828">
        <v>2.5</v>
      </c>
      <c r="Q24" s="2828">
        <v>2.75</v>
      </c>
      <c r="R24" s="2828">
        <v>3.55</v>
      </c>
      <c r="S24" s="2828">
        <v>4.1500000000000004</v>
      </c>
      <c r="T24" s="2828">
        <v>4.55</v>
      </c>
      <c r="U24" s="2828">
        <v>2.16</v>
      </c>
      <c r="V24" s="2828">
        <v>2.5</v>
      </c>
      <c r="W24" s="2828">
        <v>2.85</v>
      </c>
      <c r="X24" s="2828">
        <v>1.17</v>
      </c>
      <c r="Y24" s="2828">
        <v>0.81</v>
      </c>
      <c r="Z24" s="2828">
        <v>1.35</v>
      </c>
    </row>
    <row r="25" spans="2:26">
      <c r="B25" s="2828"/>
      <c r="C25" s="2829">
        <v>40471</v>
      </c>
      <c r="D25" s="2828">
        <v>5.0999999999999996</v>
      </c>
      <c r="E25" s="2828">
        <v>5.56</v>
      </c>
      <c r="F25" s="2828">
        <v>5.6</v>
      </c>
      <c r="G25" s="2828">
        <v>5.96</v>
      </c>
      <c r="H25" s="2828">
        <v>6.14</v>
      </c>
      <c r="I25" s="2828">
        <v>3.5</v>
      </c>
      <c r="J25" s="2828">
        <v>4.05</v>
      </c>
      <c r="L25" s="2828"/>
      <c r="M25" s="2829">
        <v>40471</v>
      </c>
      <c r="N25" s="2828">
        <v>0.36</v>
      </c>
      <c r="O25" s="2828">
        <v>1.91</v>
      </c>
      <c r="P25" s="2828">
        <v>2.2000000000000002</v>
      </c>
      <c r="Q25" s="2828">
        <v>2.5</v>
      </c>
      <c r="R25" s="2828">
        <v>3.25</v>
      </c>
      <c r="S25" s="2828">
        <v>3.85</v>
      </c>
      <c r="T25" s="2828">
        <v>4.2</v>
      </c>
      <c r="U25" s="2828">
        <v>1.91</v>
      </c>
      <c r="V25" s="2828">
        <v>2.2000000000000002</v>
      </c>
      <c r="W25" s="2828">
        <v>2.5</v>
      </c>
      <c r="X25" s="2828">
        <v>1.17</v>
      </c>
      <c r="Y25" s="2828">
        <v>0.81</v>
      </c>
      <c r="Z25" s="2828">
        <v>1.35</v>
      </c>
    </row>
    <row r="26" spans="2:26">
      <c r="B26" s="2828"/>
      <c r="C26" s="2829">
        <v>39805</v>
      </c>
      <c r="D26" s="2828">
        <v>4.8600000000000003</v>
      </c>
      <c r="E26" s="2828">
        <v>5.31</v>
      </c>
      <c r="F26" s="2828">
        <v>5.4</v>
      </c>
      <c r="G26" s="2828">
        <v>5.76</v>
      </c>
      <c r="H26" s="2828">
        <v>5.94</v>
      </c>
      <c r="I26" s="2828">
        <v>3.33</v>
      </c>
      <c r="J26" s="2828">
        <v>3.87</v>
      </c>
      <c r="L26" s="2828"/>
      <c r="M26" s="2829">
        <v>39805</v>
      </c>
      <c r="N26" s="2828">
        <v>0.36</v>
      </c>
      <c r="O26" s="2828">
        <v>1.71</v>
      </c>
      <c r="P26" s="2828">
        <v>1.98</v>
      </c>
      <c r="Q26" s="2828">
        <v>2.25</v>
      </c>
      <c r="R26" s="2828">
        <v>2.79</v>
      </c>
      <c r="S26" s="2828">
        <v>3.33</v>
      </c>
      <c r="T26" s="2828">
        <v>3.6</v>
      </c>
      <c r="U26" s="2828">
        <v>1.71</v>
      </c>
      <c r="V26" s="2828">
        <v>1.98</v>
      </c>
      <c r="W26" s="2828">
        <v>2.25</v>
      </c>
      <c r="X26" s="2828">
        <v>1.17</v>
      </c>
      <c r="Y26" s="2828">
        <v>0.81</v>
      </c>
      <c r="Z26" s="2828">
        <v>1.35</v>
      </c>
    </row>
    <row r="27" spans="2:26">
      <c r="B27" s="2828"/>
      <c r="C27" s="2829">
        <v>39779</v>
      </c>
      <c r="D27" s="2828">
        <v>5.04</v>
      </c>
      <c r="E27" s="2828">
        <v>5.58</v>
      </c>
      <c r="F27" s="2828">
        <v>5.67</v>
      </c>
      <c r="G27" s="2828">
        <v>5.94</v>
      </c>
      <c r="H27" s="2828">
        <v>6.12</v>
      </c>
      <c r="I27" s="2828">
        <v>3.51</v>
      </c>
      <c r="J27" s="2828">
        <v>4.05</v>
      </c>
      <c r="L27" s="2828"/>
      <c r="M27" s="2829">
        <v>39779</v>
      </c>
      <c r="N27" s="2828">
        <v>0.36</v>
      </c>
      <c r="O27" s="2828">
        <v>1.98</v>
      </c>
      <c r="P27" s="2828">
        <v>2.25</v>
      </c>
      <c r="Q27" s="2828">
        <v>2.52</v>
      </c>
      <c r="R27" s="2828">
        <v>3.06</v>
      </c>
      <c r="S27" s="2828">
        <v>3.6</v>
      </c>
      <c r="T27" s="2828">
        <v>3.87</v>
      </c>
      <c r="U27" s="2828">
        <v>1.98</v>
      </c>
      <c r="V27" s="2828">
        <v>2.25</v>
      </c>
      <c r="W27" s="2828">
        <v>2.52</v>
      </c>
      <c r="X27" s="2828">
        <v>1.17</v>
      </c>
      <c r="Y27" s="2828">
        <v>0.81</v>
      </c>
      <c r="Z27" s="2828">
        <v>1.35</v>
      </c>
    </row>
    <row r="28" spans="2:26">
      <c r="B28" s="2828"/>
      <c r="C28" s="2829">
        <v>39751</v>
      </c>
      <c r="D28" s="2828">
        <v>6.03</v>
      </c>
      <c r="E28" s="2828">
        <v>6.66</v>
      </c>
      <c r="F28" s="2828">
        <v>6.75</v>
      </c>
      <c r="G28" s="2828">
        <v>7.02</v>
      </c>
      <c r="H28" s="2828">
        <v>7.2</v>
      </c>
      <c r="I28" s="2828">
        <v>4.05</v>
      </c>
      <c r="J28" s="2828">
        <v>4.59</v>
      </c>
      <c r="L28" s="2828"/>
      <c r="M28" s="2829">
        <v>39751</v>
      </c>
      <c r="N28" s="2828">
        <v>0.72</v>
      </c>
      <c r="O28" s="2828">
        <v>2.88</v>
      </c>
      <c r="P28" s="2828">
        <v>3.24</v>
      </c>
      <c r="Q28" s="2828">
        <v>3.6</v>
      </c>
      <c r="R28" s="2828">
        <v>4.1399999999999997</v>
      </c>
      <c r="S28" s="2828">
        <v>4.7699999999999996</v>
      </c>
      <c r="T28" s="2828">
        <v>5.13</v>
      </c>
      <c r="U28" s="2828">
        <v>2.88</v>
      </c>
      <c r="V28" s="2828">
        <v>3.24</v>
      </c>
      <c r="W28" s="2828">
        <v>3.6</v>
      </c>
      <c r="X28" s="2828">
        <v>1.53</v>
      </c>
      <c r="Y28" s="2828">
        <v>1.17</v>
      </c>
      <c r="Z28" s="2828">
        <v>1.71</v>
      </c>
    </row>
    <row r="29" spans="2:26">
      <c r="B29" s="2828"/>
      <c r="C29" s="2831">
        <v>39748</v>
      </c>
      <c r="D29" s="2828">
        <v>6.12</v>
      </c>
      <c r="E29" s="2828">
        <v>6.93</v>
      </c>
      <c r="F29" s="2828">
        <v>7.02</v>
      </c>
      <c r="G29" s="2828">
        <v>7.29</v>
      </c>
      <c r="H29" s="2828">
        <v>7.47</v>
      </c>
      <c r="I29" s="2828">
        <v>4.05</v>
      </c>
      <c r="J29" s="2828">
        <v>4.59</v>
      </c>
      <c r="L29" s="2828"/>
      <c r="M29" s="2831">
        <v>39736</v>
      </c>
      <c r="N29" s="2828">
        <v>0.72</v>
      </c>
      <c r="O29" s="2828">
        <v>3.15</v>
      </c>
      <c r="P29" s="2828">
        <v>3.51</v>
      </c>
      <c r="Q29" s="2828">
        <v>3.87</v>
      </c>
      <c r="R29" s="2828">
        <v>4.41</v>
      </c>
      <c r="S29" s="2828">
        <v>5.13</v>
      </c>
      <c r="T29" s="2828">
        <v>5.58</v>
      </c>
      <c r="U29" s="2828">
        <v>3.15</v>
      </c>
      <c r="V29" s="2828">
        <v>3.51</v>
      </c>
      <c r="W29" s="2828">
        <v>3.87</v>
      </c>
      <c r="X29" s="2828">
        <v>1.53</v>
      </c>
      <c r="Y29" s="2828">
        <v>1.17</v>
      </c>
      <c r="Z29" s="2828">
        <v>1.71</v>
      </c>
    </row>
    <row r="30" spans="2:26">
      <c r="B30" s="2828"/>
      <c r="C30" s="2829">
        <v>39730</v>
      </c>
      <c r="D30" s="2828">
        <v>6.12</v>
      </c>
      <c r="E30" s="2828">
        <v>6.93</v>
      </c>
      <c r="F30" s="2828">
        <v>7.02</v>
      </c>
      <c r="G30" s="2828">
        <v>7.29</v>
      </c>
      <c r="H30" s="2828">
        <v>7.47</v>
      </c>
      <c r="I30" s="2828">
        <v>4.32</v>
      </c>
      <c r="J30" s="2828">
        <v>4.8600000000000003</v>
      </c>
      <c r="L30" s="2828"/>
      <c r="M30" s="2829">
        <v>39730</v>
      </c>
      <c r="N30" s="2828">
        <v>0.72</v>
      </c>
      <c r="O30" s="2828">
        <v>3.15</v>
      </c>
      <c r="P30" s="2828">
        <v>3.51</v>
      </c>
      <c r="Q30" s="2828">
        <v>3.87</v>
      </c>
      <c r="R30" s="2828">
        <v>4.41</v>
      </c>
      <c r="S30" s="2828">
        <v>5.13</v>
      </c>
      <c r="T30" s="2828">
        <v>5.58</v>
      </c>
      <c r="U30" s="2828">
        <v>3.15</v>
      </c>
      <c r="V30" s="2828">
        <v>3.51</v>
      </c>
      <c r="W30" s="2828">
        <v>3.87</v>
      </c>
      <c r="X30" s="2828">
        <v>1.53</v>
      </c>
      <c r="Y30" s="2828">
        <v>1.17</v>
      </c>
      <c r="Z30" s="2828">
        <v>1.71</v>
      </c>
    </row>
    <row r="31" spans="2:26">
      <c r="B31" s="2828"/>
      <c r="C31" s="2829">
        <v>39707</v>
      </c>
      <c r="D31" s="2828">
        <v>6.21</v>
      </c>
      <c r="E31" s="2828">
        <v>7.2</v>
      </c>
      <c r="F31" s="2828">
        <v>7.29</v>
      </c>
      <c r="G31" s="2828">
        <v>7.56</v>
      </c>
      <c r="H31" s="2828">
        <v>7.74</v>
      </c>
      <c r="I31" s="2828">
        <v>4.59</v>
      </c>
      <c r="J31" s="2828">
        <v>5.13</v>
      </c>
      <c r="L31" s="2828"/>
      <c r="M31" s="2829">
        <v>39437</v>
      </c>
      <c r="N31" s="2828">
        <v>0.72</v>
      </c>
      <c r="O31" s="2828">
        <v>3.33</v>
      </c>
      <c r="P31" s="2828">
        <v>3.78</v>
      </c>
      <c r="Q31" s="2828">
        <v>4.1399999999999997</v>
      </c>
      <c r="R31" s="2828">
        <v>4.68</v>
      </c>
      <c r="S31" s="2828">
        <v>5.4</v>
      </c>
      <c r="T31" s="2828">
        <v>5.85</v>
      </c>
      <c r="U31" s="2828">
        <v>3.33</v>
      </c>
      <c r="V31" s="2828">
        <v>3.78</v>
      </c>
      <c r="W31" s="2828">
        <v>4.1399999999999997</v>
      </c>
      <c r="X31" s="2828">
        <v>1.53</v>
      </c>
      <c r="Y31" s="2828">
        <v>1.17</v>
      </c>
      <c r="Z31" s="2828">
        <v>1.71</v>
      </c>
    </row>
    <row r="32" spans="2:26">
      <c r="B32" s="2828"/>
      <c r="C32" s="2829">
        <v>39437</v>
      </c>
      <c r="D32" s="2828">
        <v>6.57</v>
      </c>
      <c r="E32" s="2828">
        <v>7.47</v>
      </c>
      <c r="F32" s="2828">
        <v>7.56</v>
      </c>
      <c r="G32" s="2828">
        <v>7.74</v>
      </c>
      <c r="H32" s="2828">
        <v>7.83</v>
      </c>
      <c r="I32" s="2828">
        <v>4.7699999999999996</v>
      </c>
      <c r="J32" s="2828">
        <v>5.22</v>
      </c>
      <c r="L32" s="2828"/>
      <c r="M32" s="2829">
        <v>39340</v>
      </c>
      <c r="N32" s="2828">
        <v>0.81</v>
      </c>
      <c r="O32" s="2828">
        <v>2.88</v>
      </c>
      <c r="P32" s="2828">
        <v>3.42</v>
      </c>
      <c r="Q32" s="2828">
        <v>3.87</v>
      </c>
      <c r="R32" s="2828">
        <v>4.5</v>
      </c>
      <c r="S32" s="2828">
        <v>5.22</v>
      </c>
      <c r="T32" s="2828">
        <v>5.76</v>
      </c>
      <c r="U32" s="2828">
        <v>2.88</v>
      </c>
      <c r="V32" s="2828">
        <v>3.42</v>
      </c>
      <c r="W32" s="2828">
        <v>3.87</v>
      </c>
      <c r="X32" s="2828">
        <v>1.53</v>
      </c>
      <c r="Y32" s="2828">
        <v>1.17</v>
      </c>
      <c r="Z32" s="2828">
        <v>1.71</v>
      </c>
    </row>
    <row r="33" spans="2:26">
      <c r="B33" s="2828"/>
      <c r="C33" s="2829">
        <v>39340</v>
      </c>
      <c r="D33" s="2828">
        <v>6.48</v>
      </c>
      <c r="E33" s="2828">
        <v>7.29</v>
      </c>
      <c r="F33" s="2828">
        <v>7.47</v>
      </c>
      <c r="G33" s="2828">
        <v>7.65</v>
      </c>
      <c r="H33" s="2828">
        <v>7.83</v>
      </c>
      <c r="I33" s="2828">
        <v>4.7699999999999996</v>
      </c>
      <c r="J33" s="2828">
        <v>5.22</v>
      </c>
      <c r="L33" s="2828"/>
      <c r="M33" s="2829">
        <v>39316</v>
      </c>
      <c r="N33" s="2828">
        <v>0.81</v>
      </c>
      <c r="O33" s="2828">
        <v>2.61</v>
      </c>
      <c r="P33" s="2828">
        <v>3.15</v>
      </c>
      <c r="Q33" s="2828">
        <v>3.6</v>
      </c>
      <c r="R33" s="2828">
        <v>4.2300000000000004</v>
      </c>
      <c r="S33" s="2828">
        <v>4.95</v>
      </c>
      <c r="T33" s="2828">
        <v>5.49</v>
      </c>
      <c r="U33" s="2828">
        <v>2.61</v>
      </c>
      <c r="V33" s="2828">
        <v>3.15</v>
      </c>
      <c r="W33" s="2828">
        <v>3.6</v>
      </c>
      <c r="X33" s="2828">
        <v>1.53</v>
      </c>
      <c r="Y33" s="2828">
        <v>1.17</v>
      </c>
      <c r="Z33" s="2828">
        <v>1.71</v>
      </c>
    </row>
    <row r="34" spans="2:26">
      <c r="B34" s="2828"/>
      <c r="C34" s="2829">
        <v>39316</v>
      </c>
      <c r="D34" s="2828">
        <v>6.21</v>
      </c>
      <c r="E34" s="2828">
        <v>7.02</v>
      </c>
      <c r="F34" s="2828">
        <v>7.2</v>
      </c>
      <c r="G34" s="2828">
        <v>7.38</v>
      </c>
      <c r="H34" s="2828">
        <v>7.56</v>
      </c>
      <c r="I34" s="2828">
        <v>4.59</v>
      </c>
      <c r="J34" s="2828">
        <v>5.04</v>
      </c>
      <c r="L34" s="2828"/>
      <c r="M34" s="2829">
        <v>39284</v>
      </c>
      <c r="N34" s="2828">
        <v>0.81</v>
      </c>
      <c r="O34" s="2828">
        <v>2.34</v>
      </c>
      <c r="P34" s="2828">
        <v>2.88</v>
      </c>
      <c r="Q34" s="2828">
        <v>3.33</v>
      </c>
      <c r="R34" s="2828">
        <v>3.96</v>
      </c>
      <c r="S34" s="2828">
        <v>4.68</v>
      </c>
      <c r="T34" s="2828">
        <v>5.22</v>
      </c>
      <c r="U34" s="2828">
        <v>2.34</v>
      </c>
      <c r="V34" s="2828">
        <v>2.88</v>
      </c>
      <c r="W34" s="2828">
        <v>3.33</v>
      </c>
      <c r="X34" s="2828">
        <v>1.53</v>
      </c>
      <c r="Y34" s="2828">
        <v>1.17</v>
      </c>
      <c r="Z34" s="2828">
        <v>1.71</v>
      </c>
    </row>
    <row r="35" spans="2:26">
      <c r="B35" s="2828"/>
      <c r="C35" s="2829">
        <v>39284</v>
      </c>
      <c r="D35" s="2828">
        <v>6.03</v>
      </c>
      <c r="E35" s="2828">
        <v>6.84</v>
      </c>
      <c r="F35" s="2828">
        <v>7.02</v>
      </c>
      <c r="G35" s="2828">
        <v>7.2</v>
      </c>
      <c r="H35" s="2828">
        <v>7.38</v>
      </c>
      <c r="I35" s="2828">
        <v>4.5</v>
      </c>
      <c r="J35" s="2828">
        <v>4.95</v>
      </c>
      <c r="L35" s="2828"/>
      <c r="M35" s="2829">
        <v>39221</v>
      </c>
      <c r="N35" s="2828">
        <v>0.72</v>
      </c>
      <c r="O35" s="2828">
        <v>2.0699999999999998</v>
      </c>
      <c r="P35" s="2828">
        <v>2.61</v>
      </c>
      <c r="Q35" s="2828">
        <v>3.06</v>
      </c>
      <c r="R35" s="2828">
        <v>3.69</v>
      </c>
      <c r="S35" s="2828">
        <v>4.41</v>
      </c>
      <c r="T35" s="2828">
        <v>4.95</v>
      </c>
      <c r="U35" s="2828">
        <v>2.0699999999999998</v>
      </c>
      <c r="V35" s="2828">
        <v>2.61</v>
      </c>
      <c r="W35" s="2828">
        <v>3.06</v>
      </c>
      <c r="X35" s="2828">
        <v>1.44</v>
      </c>
      <c r="Y35" s="2828">
        <v>1.08</v>
      </c>
      <c r="Z35" s="2828">
        <v>1.62</v>
      </c>
    </row>
    <row r="36" spans="2:26">
      <c r="B36" s="2828"/>
      <c r="C36" s="2829">
        <v>39221</v>
      </c>
      <c r="D36" s="2828">
        <v>5.85</v>
      </c>
      <c r="E36" s="2828">
        <v>6.57</v>
      </c>
      <c r="F36" s="2828">
        <v>6.75</v>
      </c>
      <c r="G36" s="2828">
        <v>6.93</v>
      </c>
      <c r="H36" s="2828">
        <v>7.2</v>
      </c>
      <c r="I36" s="2828">
        <v>4.41</v>
      </c>
      <c r="J36" s="2828">
        <v>4.8600000000000003</v>
      </c>
      <c r="L36" s="2828"/>
      <c r="M36" s="2829">
        <v>39159</v>
      </c>
      <c r="N36" s="2828">
        <v>0.72</v>
      </c>
      <c r="O36" s="2828">
        <v>1.98</v>
      </c>
      <c r="P36" s="2828">
        <v>2.4300000000000002</v>
      </c>
      <c r="Q36" s="2828">
        <v>2.79</v>
      </c>
      <c r="R36" s="2828">
        <v>3.33</v>
      </c>
      <c r="S36" s="2828">
        <v>3.96</v>
      </c>
      <c r="T36" s="2828">
        <v>4.41</v>
      </c>
      <c r="U36" s="2828">
        <v>1.98</v>
      </c>
      <c r="V36" s="2828">
        <v>2.4300000000000002</v>
      </c>
      <c r="W36" s="2828">
        <v>2.79</v>
      </c>
      <c r="X36" s="2828">
        <v>1.44</v>
      </c>
      <c r="Y36" s="2828">
        <v>1.08</v>
      </c>
      <c r="Z36" s="2828">
        <v>1.62</v>
      </c>
    </row>
    <row r="37" spans="2:26">
      <c r="B37" s="2828"/>
      <c r="C37" s="2829">
        <v>39159</v>
      </c>
      <c r="D37" s="2828">
        <v>5.67</v>
      </c>
      <c r="E37" s="2828">
        <v>6.39</v>
      </c>
      <c r="F37" s="2828">
        <v>6.57</v>
      </c>
      <c r="G37" s="2828">
        <v>6.75</v>
      </c>
      <c r="H37" s="2828">
        <v>7.11</v>
      </c>
      <c r="I37" s="2828">
        <v>4.32</v>
      </c>
      <c r="J37" s="2828">
        <v>4.7699999999999996</v>
      </c>
      <c r="L37" s="2828"/>
      <c r="M37" s="2829">
        <v>38948</v>
      </c>
      <c r="N37" s="2828">
        <v>0.72</v>
      </c>
      <c r="O37" s="2828">
        <v>1.8</v>
      </c>
      <c r="P37" s="2828">
        <v>2.25</v>
      </c>
      <c r="Q37" s="2828">
        <v>2.52</v>
      </c>
      <c r="R37" s="2828">
        <v>3.06</v>
      </c>
      <c r="S37" s="2828">
        <v>3.69</v>
      </c>
      <c r="T37" s="2828">
        <v>4.1399999999999997</v>
      </c>
      <c r="U37" s="2828">
        <v>1.8</v>
      </c>
      <c r="V37" s="2828">
        <v>2.25</v>
      </c>
      <c r="W37" s="2828">
        <v>2.52</v>
      </c>
      <c r="X37" s="2828">
        <v>1.44</v>
      </c>
      <c r="Y37" s="2828">
        <v>1.08</v>
      </c>
      <c r="Z37" s="2828">
        <v>1.62</v>
      </c>
    </row>
    <row r="38" spans="2:26">
      <c r="B38" s="2828"/>
      <c r="C38" s="2829">
        <v>38948</v>
      </c>
      <c r="D38" s="2828">
        <v>5.58</v>
      </c>
      <c r="E38" s="2828">
        <v>6.12</v>
      </c>
      <c r="F38" s="2828">
        <v>6.3</v>
      </c>
      <c r="G38" s="2828">
        <v>6.48</v>
      </c>
      <c r="H38" s="2828">
        <v>6.84</v>
      </c>
      <c r="I38" s="2828">
        <v>4.1399999999999997</v>
      </c>
      <c r="J38" s="2828">
        <v>4.59</v>
      </c>
      <c r="L38" s="2828"/>
      <c r="M38" s="2829">
        <v>38289</v>
      </c>
      <c r="N38" s="2828">
        <v>0.72</v>
      </c>
      <c r="O38" s="2828">
        <v>1.71</v>
      </c>
      <c r="P38" s="2828">
        <v>2.0699999999999998</v>
      </c>
      <c r="Q38" s="2828">
        <v>2.25</v>
      </c>
      <c r="R38" s="2828">
        <v>2.7</v>
      </c>
      <c r="S38" s="2828">
        <v>3.24</v>
      </c>
      <c r="T38" s="2828">
        <v>3.6</v>
      </c>
      <c r="U38" s="2828">
        <v>1.71</v>
      </c>
      <c r="V38" s="2828">
        <v>2.0699999999999998</v>
      </c>
      <c r="W38" s="2828">
        <v>2.25</v>
      </c>
      <c r="X38" s="2828">
        <v>1.44</v>
      </c>
      <c r="Y38" s="2828">
        <v>1.08</v>
      </c>
      <c r="Z38" s="2828">
        <v>1.62</v>
      </c>
    </row>
    <row r="39" spans="2:26">
      <c r="B39" s="2828"/>
      <c r="C39" s="2829">
        <v>38835</v>
      </c>
      <c r="D39" s="2828">
        <v>5.4</v>
      </c>
      <c r="E39" s="2828">
        <v>5.85</v>
      </c>
      <c r="F39" s="2828">
        <v>6.03</v>
      </c>
      <c r="G39" s="2828">
        <v>6.12</v>
      </c>
      <c r="H39" s="2828">
        <v>6.39</v>
      </c>
      <c r="I39" s="2828">
        <v>4.1399999999999997</v>
      </c>
      <c r="J39" s="2828">
        <v>4.59</v>
      </c>
      <c r="L39" s="2828"/>
      <c r="M39" s="2829">
        <v>37308</v>
      </c>
      <c r="N39" s="2828">
        <v>0.72</v>
      </c>
      <c r="O39" s="2828">
        <v>1.71</v>
      </c>
      <c r="P39" s="2828">
        <v>1.89</v>
      </c>
      <c r="Q39" s="2828">
        <v>1.98</v>
      </c>
      <c r="R39" s="2828">
        <v>2.25</v>
      </c>
      <c r="S39" s="2828">
        <v>2.52</v>
      </c>
      <c r="T39" s="2828">
        <v>2.79</v>
      </c>
      <c r="U39" s="2828">
        <v>1.71</v>
      </c>
      <c r="V39" s="2828">
        <v>1.89</v>
      </c>
      <c r="W39" s="2828">
        <v>1.98</v>
      </c>
      <c r="X39" s="2828">
        <v>1.44</v>
      </c>
      <c r="Y39" s="2828">
        <v>1.08</v>
      </c>
      <c r="Z39" s="2828">
        <v>1.62</v>
      </c>
    </row>
    <row r="40" spans="2:26">
      <c r="B40" s="2828"/>
      <c r="C40" s="2829">
        <v>38428</v>
      </c>
      <c r="D40" s="2828">
        <v>5.22</v>
      </c>
      <c r="E40" s="2828">
        <v>5.58</v>
      </c>
      <c r="F40" s="2828">
        <v>5.76</v>
      </c>
      <c r="G40" s="2828">
        <v>5.85</v>
      </c>
      <c r="H40" s="2828">
        <v>6.12</v>
      </c>
      <c r="I40" s="2828">
        <v>3.96</v>
      </c>
      <c r="J40" s="2828">
        <v>4.41</v>
      </c>
      <c r="L40" s="2828"/>
      <c r="M40" s="2829">
        <v>36321</v>
      </c>
      <c r="N40" s="2828">
        <v>0.99</v>
      </c>
      <c r="O40" s="2828">
        <v>1.98</v>
      </c>
      <c r="P40" s="2828">
        <v>2.16</v>
      </c>
      <c r="Q40" s="2828">
        <v>2.25</v>
      </c>
      <c r="R40" s="2828">
        <v>2.4300000000000002</v>
      </c>
      <c r="S40" s="2828">
        <v>2.7</v>
      </c>
      <c r="T40" s="2828">
        <v>2.88</v>
      </c>
      <c r="U40" s="2828">
        <v>1.98</v>
      </c>
      <c r="V40" s="2828">
        <v>2.16</v>
      </c>
      <c r="W40" s="2828">
        <v>2.25</v>
      </c>
      <c r="X40" s="2828">
        <v>1.71</v>
      </c>
      <c r="Y40" s="2828">
        <v>1.35</v>
      </c>
      <c r="Z40" s="2828">
        <v>1.89</v>
      </c>
    </row>
    <row r="41" spans="2:26">
      <c r="B41" s="2828"/>
      <c r="C41" s="2829">
        <v>38289</v>
      </c>
      <c r="D41" s="2828">
        <v>5.22</v>
      </c>
      <c r="E41" s="2828">
        <v>5.58</v>
      </c>
      <c r="F41" s="2828">
        <v>5.76</v>
      </c>
      <c r="G41" s="2828">
        <v>5.85</v>
      </c>
      <c r="H41" s="2828">
        <v>6.12</v>
      </c>
      <c r="I41" s="2828">
        <v>3.78</v>
      </c>
      <c r="J41" s="2828">
        <v>4.2300000000000004</v>
      </c>
      <c r="L41" s="2828"/>
      <c r="M41" s="2829">
        <v>36136</v>
      </c>
      <c r="N41" s="2828">
        <v>1.44</v>
      </c>
      <c r="O41" s="2828">
        <v>2.79</v>
      </c>
      <c r="P41" s="2828">
        <v>3.33</v>
      </c>
      <c r="Q41" s="2828">
        <v>3.78</v>
      </c>
      <c r="R41" s="2828">
        <v>3.96</v>
      </c>
      <c r="S41" s="2828">
        <v>4.1399999999999997</v>
      </c>
      <c r="T41" s="2828">
        <v>4.5</v>
      </c>
      <c r="U41" s="2828">
        <v>3.33</v>
      </c>
      <c r="V41" s="2828">
        <v>3.78</v>
      </c>
      <c r="W41" s="2828">
        <v>4.1399999999999997</v>
      </c>
      <c r="X41" s="2828">
        <v>2.16</v>
      </c>
      <c r="Y41" s="2828">
        <v>1.8</v>
      </c>
      <c r="Z41" s="2828">
        <v>2.34</v>
      </c>
    </row>
    <row r="42" spans="2:26">
      <c r="B42" s="2828"/>
      <c r="C42" s="2829">
        <v>37308</v>
      </c>
      <c r="D42" s="2828">
        <v>5.04</v>
      </c>
      <c r="E42" s="2828">
        <v>5.31</v>
      </c>
      <c r="F42" s="2828">
        <v>5.49</v>
      </c>
      <c r="G42" s="2828">
        <v>5.58</v>
      </c>
      <c r="H42" s="2828">
        <v>5.76</v>
      </c>
      <c r="I42" s="2828">
        <v>3.6</v>
      </c>
      <c r="J42" s="2828">
        <v>4.05</v>
      </c>
      <c r="L42" s="2828"/>
      <c r="M42" s="2829">
        <v>35977</v>
      </c>
      <c r="N42" s="2828">
        <v>1.44</v>
      </c>
      <c r="O42" s="2828">
        <v>2.79</v>
      </c>
      <c r="P42" s="2828">
        <v>3.96</v>
      </c>
      <c r="Q42" s="2828">
        <v>4.7699999999999996</v>
      </c>
      <c r="R42" s="2828">
        <v>4.8600000000000003</v>
      </c>
      <c r="S42" s="2828">
        <v>4.95</v>
      </c>
      <c r="T42" s="2828">
        <v>5.22</v>
      </c>
      <c r="U42" s="2828">
        <v>3.96</v>
      </c>
      <c r="V42" s="2828">
        <v>4.7699999999999996</v>
      </c>
      <c r="W42" s="2828">
        <v>4.95</v>
      </c>
      <c r="X42" s="2828" t="s">
        <v>2813</v>
      </c>
      <c r="Y42" s="2828" t="s">
        <v>2813</v>
      </c>
      <c r="Z42" s="2828" t="s">
        <v>2813</v>
      </c>
    </row>
    <row r="43" spans="2:26">
      <c r="B43" s="2828"/>
      <c r="C43" s="2829">
        <v>36321</v>
      </c>
      <c r="D43" s="2828">
        <v>5.58</v>
      </c>
      <c r="E43" s="2828">
        <v>5.85</v>
      </c>
      <c r="F43" s="2828">
        <v>5.94</v>
      </c>
      <c r="G43" s="2828">
        <v>6.03</v>
      </c>
      <c r="H43" s="2828">
        <v>6.21</v>
      </c>
      <c r="I43" s="2828">
        <v>4.1399999999999997</v>
      </c>
      <c r="J43" s="2828">
        <v>4.59</v>
      </c>
      <c r="L43" s="2828"/>
      <c r="M43" s="2829">
        <v>35879</v>
      </c>
      <c r="N43" s="2828">
        <v>1.71</v>
      </c>
      <c r="O43" s="2828">
        <v>2.88</v>
      </c>
      <c r="P43" s="2828">
        <v>4.1399999999999997</v>
      </c>
      <c r="Q43" s="2828">
        <v>5.22</v>
      </c>
      <c r="R43" s="2828">
        <v>5.58</v>
      </c>
      <c r="S43" s="2828">
        <v>6.21</v>
      </c>
      <c r="T43" s="2828">
        <v>6.66</v>
      </c>
      <c r="U43" s="2828">
        <v>4.1399999999999997</v>
      </c>
      <c r="V43" s="2828">
        <v>5.22</v>
      </c>
      <c r="W43" s="2828">
        <v>6.21</v>
      </c>
      <c r="X43" s="2828" t="s">
        <v>2813</v>
      </c>
      <c r="Y43" s="2828" t="s">
        <v>2813</v>
      </c>
      <c r="Z43" s="2828" t="s">
        <v>2813</v>
      </c>
    </row>
    <row r="44" spans="2:26">
      <c r="B44" s="2828"/>
      <c r="C44" s="2829">
        <v>36136</v>
      </c>
      <c r="D44" s="2828">
        <v>6.12</v>
      </c>
      <c r="E44" s="2828">
        <v>6.39</v>
      </c>
      <c r="F44" s="2828">
        <v>6.66</v>
      </c>
      <c r="G44" s="2828">
        <v>7.2</v>
      </c>
      <c r="H44" s="2828">
        <v>7.56</v>
      </c>
      <c r="I44" s="2828">
        <v>0</v>
      </c>
      <c r="J44" s="2828">
        <v>0</v>
      </c>
      <c r="L44" s="2828"/>
      <c r="M44" s="2829">
        <v>35726</v>
      </c>
      <c r="N44" s="2828">
        <v>1.71</v>
      </c>
      <c r="O44" s="2828">
        <v>2.88</v>
      </c>
      <c r="P44" s="2828">
        <v>4.1399999999999997</v>
      </c>
      <c r="Q44" s="2828">
        <v>5.67</v>
      </c>
      <c r="R44" s="2828">
        <v>5.94</v>
      </c>
      <c r="S44" s="2828">
        <v>6.21</v>
      </c>
      <c r="T44" s="2828">
        <v>6.66</v>
      </c>
      <c r="U44" s="2828">
        <v>4.1399999999999997</v>
      </c>
      <c r="V44" s="2828">
        <v>5.67</v>
      </c>
      <c r="W44" s="2828">
        <v>6.21</v>
      </c>
      <c r="X44" s="2828" t="s">
        <v>2813</v>
      </c>
      <c r="Y44" s="2828" t="s">
        <v>2813</v>
      </c>
      <c r="Z44" s="2828" t="s">
        <v>2813</v>
      </c>
    </row>
    <row r="45" spans="2:26">
      <c r="B45" s="2828"/>
      <c r="C45" s="2829">
        <v>35977</v>
      </c>
      <c r="D45" s="2828">
        <v>6.57</v>
      </c>
      <c r="E45" s="2828">
        <v>6.93</v>
      </c>
      <c r="F45" s="2828">
        <v>7.11</v>
      </c>
      <c r="G45" s="2828">
        <v>7.65</v>
      </c>
      <c r="H45" s="2828">
        <v>8.01</v>
      </c>
      <c r="I45" s="2828">
        <v>0</v>
      </c>
      <c r="J45" s="2828">
        <v>0</v>
      </c>
      <c r="L45" s="2828"/>
      <c r="M45" s="2829">
        <v>35300</v>
      </c>
      <c r="N45" s="2828">
        <v>1.98</v>
      </c>
      <c r="O45" s="2828">
        <v>3.33</v>
      </c>
      <c r="P45" s="2828">
        <v>5.4</v>
      </c>
      <c r="Q45" s="2828">
        <v>7.47</v>
      </c>
      <c r="R45" s="2828">
        <v>7.92</v>
      </c>
      <c r="S45" s="2828">
        <v>8.2799999999999994</v>
      </c>
      <c r="T45" s="2828">
        <v>9</v>
      </c>
      <c r="U45" s="2828">
        <v>5.4</v>
      </c>
      <c r="V45" s="2828">
        <v>7.47</v>
      </c>
      <c r="W45" s="2828">
        <v>8.2799999999999994</v>
      </c>
      <c r="X45" s="2828" t="s">
        <v>2813</v>
      </c>
      <c r="Y45" s="2828" t="s">
        <v>2813</v>
      </c>
      <c r="Z45" s="2828" t="s">
        <v>2813</v>
      </c>
    </row>
    <row r="46" spans="2:26">
      <c r="B46" s="2828"/>
      <c r="C46" s="2829">
        <v>35879</v>
      </c>
      <c r="D46" s="2828">
        <v>7.02</v>
      </c>
      <c r="E46" s="2828">
        <v>7.92</v>
      </c>
      <c r="F46" s="2828">
        <v>9</v>
      </c>
      <c r="G46" s="2828">
        <v>9.7200000000000006</v>
      </c>
      <c r="H46" s="2828">
        <v>10.35</v>
      </c>
      <c r="I46" s="2828">
        <v>0</v>
      </c>
      <c r="J46" s="2828">
        <v>0</v>
      </c>
      <c r="L46" s="2828"/>
      <c r="M46" s="2829">
        <v>35186</v>
      </c>
      <c r="N46" s="2828">
        <v>2.97</v>
      </c>
      <c r="O46" s="2828">
        <v>4.8600000000000003</v>
      </c>
      <c r="P46" s="2828">
        <v>7.2</v>
      </c>
      <c r="Q46" s="2828">
        <v>9.18</v>
      </c>
      <c r="R46" s="2828">
        <v>9.9</v>
      </c>
      <c r="S46" s="2828">
        <v>10.8</v>
      </c>
      <c r="T46" s="2828">
        <v>12.06</v>
      </c>
      <c r="U46" s="2828">
        <v>7.2</v>
      </c>
      <c r="V46" s="2828">
        <v>9.18</v>
      </c>
      <c r="W46" s="2828">
        <v>10.8</v>
      </c>
      <c r="X46" s="2828" t="s">
        <v>2813</v>
      </c>
      <c r="Y46" s="2828" t="s">
        <v>2813</v>
      </c>
      <c r="Z46" s="2828" t="s">
        <v>2813</v>
      </c>
    </row>
    <row r="47" spans="2:26">
      <c r="B47" s="2828"/>
      <c r="C47" s="2829">
        <v>35726</v>
      </c>
      <c r="D47" s="2828">
        <v>7.65</v>
      </c>
      <c r="E47" s="2828">
        <v>8.64</v>
      </c>
      <c r="F47" s="2828">
        <v>9.36</v>
      </c>
      <c r="G47" s="2828">
        <v>9.9</v>
      </c>
      <c r="H47" s="2828">
        <v>10.53</v>
      </c>
      <c r="I47" s="2828">
        <v>0</v>
      </c>
      <c r="J47" s="2828">
        <v>0</v>
      </c>
      <c r="L47" s="2828"/>
      <c r="M47" s="2829">
        <v>34161</v>
      </c>
      <c r="N47" s="2828">
        <v>3.15</v>
      </c>
      <c r="O47" s="2828">
        <v>6.66</v>
      </c>
      <c r="P47" s="2828">
        <v>9</v>
      </c>
      <c r="Q47" s="2828">
        <v>10.98</v>
      </c>
      <c r="R47" s="2828">
        <v>11.7</v>
      </c>
      <c r="S47" s="2828">
        <v>12.24</v>
      </c>
      <c r="T47" s="2828">
        <v>13.86</v>
      </c>
      <c r="U47" s="2828">
        <v>9</v>
      </c>
      <c r="V47" s="2828">
        <v>10.98</v>
      </c>
      <c r="W47" s="2828">
        <v>12.24</v>
      </c>
      <c r="X47" s="2828" t="s">
        <v>2813</v>
      </c>
      <c r="Y47" s="2828" t="s">
        <v>2813</v>
      </c>
      <c r="Z47" s="2828" t="s">
        <v>2813</v>
      </c>
    </row>
    <row r="48" spans="2:26">
      <c r="B48" s="2828"/>
      <c r="C48" s="2829">
        <v>35300</v>
      </c>
      <c r="D48" s="2828">
        <v>9.18</v>
      </c>
      <c r="E48" s="2828">
        <v>10.08</v>
      </c>
      <c r="F48" s="2828">
        <v>10.98</v>
      </c>
      <c r="G48" s="2828">
        <v>11.7</v>
      </c>
      <c r="H48" s="2828">
        <v>12.42</v>
      </c>
      <c r="I48" s="2828">
        <v>0</v>
      </c>
      <c r="J48" s="2828">
        <v>0</v>
      </c>
      <c r="L48" s="2828"/>
      <c r="M48" s="2829">
        <v>34104</v>
      </c>
      <c r="N48" s="2828">
        <v>2.16</v>
      </c>
      <c r="O48" s="2828">
        <v>4.8600000000000003</v>
      </c>
      <c r="P48" s="2828">
        <v>7.2</v>
      </c>
      <c r="Q48" s="2828">
        <v>9.18</v>
      </c>
      <c r="R48" s="2828">
        <v>9.9</v>
      </c>
      <c r="S48" s="2828">
        <v>10.8</v>
      </c>
      <c r="T48" s="2828">
        <v>12.06</v>
      </c>
      <c r="U48" s="2828">
        <v>7.2</v>
      </c>
      <c r="V48" s="2828">
        <v>9.18</v>
      </c>
      <c r="W48" s="2828">
        <v>10.8</v>
      </c>
      <c r="X48" s="2828" t="s">
        <v>2813</v>
      </c>
      <c r="Y48" s="2828" t="s">
        <v>2813</v>
      </c>
      <c r="Z48" s="2828" t="s">
        <v>2813</v>
      </c>
    </row>
    <row r="49" spans="2:26">
      <c r="B49" s="2828"/>
      <c r="C49" s="2829">
        <v>35186</v>
      </c>
      <c r="D49" s="2828">
        <v>9.7200000000000006</v>
      </c>
      <c r="E49" s="2828">
        <v>10.98</v>
      </c>
      <c r="F49" s="2828">
        <v>13.14</v>
      </c>
      <c r="G49" s="2828">
        <v>14.94</v>
      </c>
      <c r="H49" s="2828">
        <v>15.12</v>
      </c>
      <c r="I49" s="2828">
        <v>0</v>
      </c>
      <c r="J49" s="2828">
        <v>0</v>
      </c>
      <c r="L49" s="2828"/>
      <c r="M49" s="2829">
        <v>33349</v>
      </c>
      <c r="N49" s="2828">
        <v>1.8</v>
      </c>
      <c r="O49" s="2828">
        <v>3.24</v>
      </c>
      <c r="P49" s="2828">
        <v>5.4</v>
      </c>
      <c r="Q49" s="2828">
        <v>7.56</v>
      </c>
      <c r="R49" s="2828">
        <v>7.92</v>
      </c>
      <c r="S49" s="2828">
        <v>8.2799999999999994</v>
      </c>
      <c r="T49" s="2828">
        <v>9</v>
      </c>
      <c r="U49" s="2828">
        <v>6.12</v>
      </c>
      <c r="V49" s="2828">
        <v>6.84</v>
      </c>
      <c r="W49" s="2828">
        <v>7.56</v>
      </c>
      <c r="X49" s="2828" t="s">
        <v>2813</v>
      </c>
      <c r="Y49" s="2828" t="s">
        <v>2813</v>
      </c>
      <c r="Z49" s="2828" t="s">
        <v>2813</v>
      </c>
    </row>
    <row r="50" spans="2:26">
      <c r="B50" s="2828"/>
      <c r="C50" s="2829">
        <v>34881</v>
      </c>
      <c r="D50" s="2828">
        <v>10.08</v>
      </c>
      <c r="E50" s="2828">
        <v>12.06</v>
      </c>
      <c r="F50" s="2828">
        <v>13.5</v>
      </c>
      <c r="G50" s="2828">
        <v>15.12</v>
      </c>
      <c r="H50" s="2828">
        <v>15.3</v>
      </c>
      <c r="I50" s="2828">
        <v>0</v>
      </c>
      <c r="J50" s="2828">
        <v>0</v>
      </c>
      <c r="L50" s="2828"/>
      <c r="M50" s="2829">
        <v>33106</v>
      </c>
      <c r="N50" s="2828">
        <v>2.16</v>
      </c>
      <c r="O50" s="2828">
        <v>4.32</v>
      </c>
      <c r="P50" s="2828">
        <v>6.48</v>
      </c>
      <c r="Q50" s="2828">
        <v>8.64</v>
      </c>
      <c r="R50" s="2828">
        <v>9.36</v>
      </c>
      <c r="S50" s="2828">
        <v>10.08</v>
      </c>
      <c r="T50" s="2828">
        <v>11.52</v>
      </c>
      <c r="U50" s="2828">
        <v>7.2</v>
      </c>
      <c r="V50" s="2828">
        <v>8.64</v>
      </c>
      <c r="W50" s="2828">
        <v>10.08</v>
      </c>
      <c r="X50" s="2828" t="s">
        <v>2813</v>
      </c>
      <c r="Y50" s="2828" t="s">
        <v>2813</v>
      </c>
      <c r="Z50" s="2828" t="s">
        <v>2813</v>
      </c>
    </row>
    <row r="51" spans="2:26">
      <c r="B51" s="2828"/>
      <c r="C51" s="2829">
        <v>34700</v>
      </c>
      <c r="D51" s="2828">
        <v>9</v>
      </c>
      <c r="E51" s="2828">
        <v>10.98</v>
      </c>
      <c r="F51" s="2828">
        <v>12.96</v>
      </c>
      <c r="G51" s="2828">
        <v>14.58</v>
      </c>
      <c r="H51" s="2828">
        <v>14.76</v>
      </c>
      <c r="I51" s="2828">
        <v>0</v>
      </c>
      <c r="J51" s="2828">
        <v>0</v>
      </c>
      <c r="L51" s="2828"/>
      <c r="M51" s="2829">
        <v>32978</v>
      </c>
      <c r="N51" s="2828">
        <v>2.88</v>
      </c>
      <c r="O51" s="2828">
        <v>6.3</v>
      </c>
      <c r="P51" s="2828">
        <v>7.74</v>
      </c>
      <c r="Q51" s="2828">
        <v>10.08</v>
      </c>
      <c r="R51" s="2828">
        <v>10.98</v>
      </c>
      <c r="S51" s="2828">
        <v>11.88</v>
      </c>
      <c r="T51" s="2828">
        <v>13.68</v>
      </c>
      <c r="U51" s="2828" t="s">
        <v>2813</v>
      </c>
      <c r="V51" s="2828" t="s">
        <v>2813</v>
      </c>
      <c r="W51" s="2828" t="s">
        <v>2813</v>
      </c>
      <c r="X51" s="2828" t="s">
        <v>2813</v>
      </c>
      <c r="Y51" s="2828" t="s">
        <v>2813</v>
      </c>
      <c r="Z51" s="2828" t="s">
        <v>2813</v>
      </c>
    </row>
    <row r="52" spans="2:26">
      <c r="B52" s="2828"/>
      <c r="C52" s="2829">
        <v>34161</v>
      </c>
      <c r="D52" s="2828">
        <v>9</v>
      </c>
      <c r="E52" s="2828">
        <v>10.98</v>
      </c>
      <c r="F52" s="2828">
        <v>12.24</v>
      </c>
      <c r="G52" s="2828">
        <v>13.86</v>
      </c>
      <c r="H52" s="2828">
        <v>14.04</v>
      </c>
      <c r="I52" s="2828">
        <v>0</v>
      </c>
      <c r="J52" s="2828">
        <v>0</v>
      </c>
      <c r="L52" s="2828"/>
      <c r="M52" s="2829"/>
      <c r="N52" s="2828"/>
      <c r="O52" s="2828"/>
      <c r="P52" s="2828"/>
      <c r="Q52" s="2828"/>
      <c r="R52" s="2828"/>
      <c r="S52" s="2828"/>
      <c r="T52" s="2828"/>
      <c r="U52" s="2828"/>
      <c r="V52" s="2828"/>
      <c r="W52" s="2828"/>
      <c r="X52" s="2828"/>
      <c r="Y52" s="2828"/>
      <c r="Z52" s="2828"/>
    </row>
    <row r="53" spans="2:26">
      <c r="B53" s="2828"/>
      <c r="C53" s="2829">
        <v>34104</v>
      </c>
      <c r="D53" s="2828">
        <v>8.82</v>
      </c>
      <c r="E53" s="2828">
        <v>9.36</v>
      </c>
      <c r="F53" s="2828">
        <v>10.8</v>
      </c>
      <c r="G53" s="2828">
        <v>12.06</v>
      </c>
      <c r="H53" s="2828">
        <v>12.24</v>
      </c>
      <c r="I53" s="2828">
        <v>0</v>
      </c>
      <c r="J53" s="2828">
        <v>0</v>
      </c>
      <c r="L53" s="2828"/>
      <c r="M53" s="2829"/>
      <c r="N53" s="2828"/>
      <c r="O53" s="2828"/>
      <c r="P53" s="2828"/>
      <c r="Q53" s="2828"/>
      <c r="R53" s="2828"/>
      <c r="S53" s="2828"/>
      <c r="T53" s="2828"/>
      <c r="U53" s="2828"/>
      <c r="V53" s="2828"/>
      <c r="W53" s="2828"/>
      <c r="X53" s="2828"/>
      <c r="Y53" s="2828"/>
      <c r="Z53" s="2828"/>
    </row>
    <row r="54" spans="2:26">
      <c r="B54" s="2828"/>
      <c r="C54" s="2829">
        <v>33349</v>
      </c>
      <c r="D54" s="2828">
        <v>8.1</v>
      </c>
      <c r="E54" s="2828">
        <v>8.64</v>
      </c>
      <c r="F54" s="2828">
        <v>9</v>
      </c>
      <c r="G54" s="2828">
        <v>9.5399999999999991</v>
      </c>
      <c r="H54" s="2828">
        <v>9.7200000000000006</v>
      </c>
      <c r="I54" s="2828">
        <v>0</v>
      </c>
      <c r="J54" s="2828">
        <v>0</v>
      </c>
      <c r="L54" s="2828"/>
      <c r="M54" s="2829"/>
      <c r="N54" s="2828"/>
      <c r="O54" s="2828"/>
      <c r="P54" s="2828"/>
      <c r="Q54" s="2828"/>
      <c r="R54" s="2828"/>
      <c r="S54" s="2828"/>
      <c r="T54" s="2828"/>
      <c r="U54" s="2828"/>
      <c r="V54" s="2828"/>
      <c r="W54" s="2828"/>
      <c r="X54" s="2828"/>
      <c r="Y54" s="2828"/>
      <c r="Z54" s="2828"/>
    </row>
    <row r="55" spans="2:26">
      <c r="B55" s="2828"/>
      <c r="C55" s="2829">
        <v>33318</v>
      </c>
      <c r="D55" s="2828">
        <v>9</v>
      </c>
      <c r="E55" s="2828">
        <v>10.08</v>
      </c>
      <c r="F55" s="2828">
        <v>10.8</v>
      </c>
      <c r="G55" s="2828">
        <v>11.52</v>
      </c>
      <c r="H55" s="2828">
        <v>11.88</v>
      </c>
      <c r="I55" s="2828" t="s">
        <v>2813</v>
      </c>
      <c r="J55" s="2828" t="s">
        <v>2813</v>
      </c>
      <c r="L55" s="2828"/>
      <c r="M55" s="2829"/>
      <c r="N55" s="2828"/>
      <c r="O55" s="2828"/>
      <c r="P55" s="2828"/>
      <c r="Q55" s="2828"/>
      <c r="R55" s="2828"/>
      <c r="S55" s="2828"/>
      <c r="T55" s="2828"/>
      <c r="U55" s="2828"/>
      <c r="V55" s="2828"/>
      <c r="W55" s="2828"/>
      <c r="X55" s="2828"/>
      <c r="Y55" s="2828"/>
      <c r="Z55" s="2828"/>
    </row>
    <row r="56" spans="2:26">
      <c r="B56" s="2828"/>
      <c r="C56" s="2829">
        <v>33106</v>
      </c>
      <c r="D56" s="2828">
        <v>8.64</v>
      </c>
      <c r="E56" s="2828">
        <v>9.36</v>
      </c>
      <c r="F56" s="2828">
        <v>10.08</v>
      </c>
      <c r="G56" s="2828">
        <v>10.8</v>
      </c>
      <c r="H56" s="2828">
        <v>11.16</v>
      </c>
      <c r="I56" s="2828">
        <v>0</v>
      </c>
      <c r="J56" s="2828">
        <v>0</v>
      </c>
      <c r="L56" s="2828"/>
      <c r="M56" s="2829"/>
      <c r="N56" s="2828"/>
      <c r="O56" s="2828"/>
      <c r="P56" s="2828"/>
      <c r="Q56" s="2828"/>
      <c r="R56" s="2828"/>
      <c r="S56" s="2828"/>
      <c r="T56" s="2828"/>
      <c r="U56" s="2828"/>
      <c r="V56" s="2828"/>
      <c r="W56" s="2828"/>
      <c r="X56" s="2828"/>
      <c r="Y56" s="2828"/>
      <c r="Z56" s="2828"/>
    </row>
    <row r="57" spans="2:26">
      <c r="B57" s="2828"/>
      <c r="C57" s="2829">
        <v>32540</v>
      </c>
      <c r="D57" s="2828">
        <v>11.34</v>
      </c>
      <c r="E57" s="2828">
        <v>11.34</v>
      </c>
      <c r="F57" s="2828">
        <v>12.78</v>
      </c>
      <c r="G57" s="2828">
        <v>14.4</v>
      </c>
      <c r="H57" s="2828">
        <v>19.260000000000002</v>
      </c>
      <c r="I57" s="2828">
        <v>0</v>
      </c>
      <c r="J57" s="2828">
        <v>0</v>
      </c>
      <c r="L57" s="2828"/>
      <c r="M57" s="2829"/>
      <c r="N57" s="2828"/>
      <c r="O57" s="2828"/>
      <c r="P57" s="2828"/>
      <c r="Q57" s="2828"/>
      <c r="R57" s="2828"/>
      <c r="S57" s="2828"/>
      <c r="T57" s="2828"/>
      <c r="U57" s="2828"/>
      <c r="V57" s="2828"/>
      <c r="W57" s="2828"/>
      <c r="X57" s="2828"/>
      <c r="Y57" s="2828"/>
      <c r="Z57" s="2828"/>
    </row>
    <row r="58" spans="2:26">
      <c r="B58" s="2828"/>
      <c r="C58" s="2829"/>
      <c r="D58" s="2828"/>
      <c r="E58" s="2828"/>
      <c r="F58" s="2828"/>
      <c r="G58" s="2828"/>
      <c r="H58" s="2828"/>
      <c r="I58" s="2828"/>
      <c r="J58" s="2828"/>
    </row>
    <row r="59" spans="2:26">
      <c r="B59" s="2832"/>
      <c r="C59" s="2833"/>
      <c r="D59" s="2832"/>
      <c r="E59" s="2832"/>
      <c r="F59" s="2832"/>
      <c r="G59" s="2832"/>
      <c r="H59" s="2832"/>
      <c r="I59" s="2832"/>
      <c r="J59" s="2832"/>
    </row>
    <row r="60" spans="2:26">
      <c r="B60" s="2832"/>
      <c r="C60" s="2833"/>
      <c r="D60" s="2832"/>
      <c r="E60" s="2832"/>
      <c r="F60" s="2832"/>
      <c r="G60" s="2832"/>
      <c r="H60" s="2832"/>
      <c r="I60" s="2832"/>
      <c r="J60" s="2832"/>
    </row>
    <row r="61" spans="2:26">
      <c r="B61" s="2832"/>
      <c r="C61" s="2833"/>
      <c r="D61" s="2832"/>
      <c r="E61" s="2832"/>
      <c r="F61" s="2832"/>
      <c r="G61" s="2832"/>
      <c r="H61" s="2832"/>
      <c r="I61" s="2832"/>
      <c r="J61" s="2832"/>
    </row>
    <row r="62" spans="2:26">
      <c r="B62" s="2779"/>
      <c r="C62" s="2779"/>
      <c r="D62" s="2779"/>
      <c r="E62" s="2779"/>
      <c r="F62" s="2779"/>
      <c r="G62" s="2779"/>
      <c r="H62" s="2779"/>
      <c r="I62" s="2779"/>
      <c r="J62" s="2779"/>
    </row>
    <row r="63" spans="2:26">
      <c r="B63" s="2779"/>
      <c r="C63" s="2779"/>
      <c r="D63" s="2779"/>
      <c r="E63" s="2779"/>
      <c r="F63" s="2779"/>
      <c r="G63" s="2779"/>
      <c r="H63" s="2779"/>
      <c r="I63" s="2779"/>
      <c r="J63" s="2779"/>
    </row>
  </sheetData>
  <sheetProtection sheet="1" objects="1" scenarios="1"/>
  <phoneticPr fontId="22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18" sqref="A118"/>
    </sheetView>
  </sheetViews>
  <sheetFormatPr defaultRowHeight="13.5"/>
  <sheetData/>
  <phoneticPr fontId="228"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13" workbookViewId="0">
      <selection activeCell="B43" sqref="B43"/>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647" t="s">
        <v>35</v>
      </c>
      <c r="C1" s="2088"/>
      <c r="D1" s="2088"/>
      <c r="E1" s="2088"/>
      <c r="F1" s="2088"/>
      <c r="G1" s="2088"/>
      <c r="H1" s="2088"/>
      <c r="I1" s="2088"/>
      <c r="J1" s="2088"/>
      <c r="K1" s="421">
        <f>MATCH(B1,'数据-取费表'!A6:A16,0)+5</f>
        <v>10</v>
      </c>
    </row>
    <row r="2" spans="1:31" s="2025" customFormat="1" ht="18" customHeight="1">
      <c r="A2" s="2085" t="s">
        <v>467</v>
      </c>
      <c r="B2" s="2089">
        <f ca="1">C36</f>
        <v>-181518</v>
      </c>
      <c r="C2" s="2088"/>
      <c r="D2" s="2088"/>
      <c r="E2" s="2088"/>
      <c r="F2" s="2088"/>
      <c r="G2" s="2088"/>
      <c r="H2" s="2088"/>
      <c r="I2" s="2088"/>
      <c r="J2" s="2088"/>
      <c r="K2" s="2088"/>
    </row>
    <row r="3" spans="1:31" s="2025" customFormat="1" ht="18" customHeight="1">
      <c r="A3" s="2090" t="s">
        <v>1684</v>
      </c>
      <c r="B3" s="2091">
        <f ca="1">ROUND(B2*10000/IF(B1="",'数据-汇总表'!E3,INDIRECT("'数据-取费表'!K"&amp;$K$1)),0)</f>
        <v>-4374</v>
      </c>
      <c r="C3" s="2088"/>
      <c r="D3" s="2088"/>
      <c r="E3" s="2088"/>
      <c r="F3" s="2088"/>
      <c r="G3" s="2088"/>
      <c r="H3" s="2088"/>
      <c r="I3" s="2088"/>
      <c r="J3" s="2088"/>
      <c r="K3" s="2088"/>
    </row>
    <row r="4" spans="1:31" s="2025" customFormat="1" ht="18" customHeight="1">
      <c r="A4" s="425" t="s">
        <v>468</v>
      </c>
      <c r="B4" s="426">
        <f ca="1">ROUND(B2*10000/IF(B1="",'数据-汇总表'!D3,INDIRECT("'数据-取费表'!R"&amp;$K$1)),0)</f>
        <v>-12855</v>
      </c>
      <c r="C4" s="427"/>
      <c r="D4" s="421"/>
      <c r="E4" s="421"/>
      <c r="F4" s="421"/>
      <c r="G4" s="421"/>
      <c r="H4" s="421"/>
      <c r="I4" s="421"/>
      <c r="J4" s="421"/>
      <c r="K4" s="421"/>
    </row>
    <row r="5" spans="1:31" s="2025" customFormat="1" ht="18" customHeight="1" thickBot="1">
      <c r="A5" s="428"/>
      <c r="B5" s="429">
        <f ca="1">ROUND(B2/(IF(B1="",'数据-汇总表'!D3,INDIRECT("'数据-取费表'!R"&amp;$K$1))/666.67),0)</f>
        <v>-857</v>
      </c>
      <c r="C5" s="430" t="s">
        <v>469</v>
      </c>
      <c r="D5" s="421"/>
      <c r="E5" s="421"/>
      <c r="F5" s="421"/>
      <c r="G5" s="421"/>
      <c r="H5" s="421"/>
      <c r="I5" s="421"/>
      <c r="J5" s="421"/>
      <c r="K5" s="421"/>
    </row>
    <row r="6" spans="1:31" s="2095" customFormat="1" ht="16.5" customHeight="1">
      <c r="A6" s="2666" t="s">
        <v>1842</v>
      </c>
      <c r="B6" s="2667"/>
      <c r="C6" s="2668">
        <f ca="1">SUM(C10:K10)</f>
        <v>0</v>
      </c>
      <c r="D6" s="2667"/>
      <c r="E6" s="2667"/>
      <c r="F6" s="2667"/>
      <c r="G6" s="2667"/>
      <c r="H6" s="2667"/>
      <c r="I6" s="2667"/>
      <c r="J6" s="2667"/>
      <c r="K6" s="2669"/>
    </row>
    <row r="7" spans="1:31" s="2097" customFormat="1" ht="15">
      <c r="A7" s="2670" t="s">
        <v>470</v>
      </c>
      <c r="B7" s="2671" t="s">
        <v>471</v>
      </c>
      <c r="C7" s="435"/>
      <c r="D7" s="435"/>
      <c r="E7" s="435"/>
      <c r="F7" s="435" t="s">
        <v>35</v>
      </c>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1845</v>
      </c>
      <c r="B8" s="260" t="s">
        <v>472</v>
      </c>
      <c r="C8" s="2672"/>
      <c r="D8" s="2672"/>
      <c r="E8" s="2672"/>
      <c r="F8" s="2672">
        <f ca="1">'不动产收益法-车库'!C43</f>
        <v>0</v>
      </c>
      <c r="G8" s="2672"/>
      <c r="H8" s="2672"/>
      <c r="I8" s="2672"/>
      <c r="J8" s="2672"/>
      <c r="K8" s="2673"/>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1846</v>
      </c>
      <c r="B9" s="260" t="s">
        <v>473</v>
      </c>
      <c r="C9" s="440">
        <f>SUMIF('数据-汇总表'!$C19:$C33,'剩余法-地下车库'!C7,'数据-汇总表'!$E19:$E33)</f>
        <v>0</v>
      </c>
      <c r="D9" s="440">
        <f>SUMIF('数据-汇总表'!$C19:$C33,'剩余法-地下车库'!D7,'数据-汇总表'!$E19:$E33)</f>
        <v>0</v>
      </c>
      <c r="E9" s="440">
        <f>SUMIF('数据-汇总表'!$C19:$C33,'剩余法-地下车库'!E7,'数据-汇总表'!$E19:$E33)</f>
        <v>0</v>
      </c>
      <c r="F9" s="440">
        <f>SUMIF('数据-汇总表'!$C19:$C33,'剩余法-地下车库'!F7,'数据-汇总表'!$E19:$E33)</f>
        <v>415000</v>
      </c>
      <c r="G9" s="440">
        <f>SUMIF('数据-汇总表'!$C19:$C33,'剩余法-地下车库'!G7,'数据-汇总表'!$E19:$E33)</f>
        <v>0</v>
      </c>
      <c r="H9" s="440">
        <f>SUMIF('数据-汇总表'!$C19:$C33,'剩余法-地下车库'!H7,'数据-汇总表'!$E19:$E33)</f>
        <v>0</v>
      </c>
      <c r="I9" s="440">
        <f>SUMIF('数据-汇总表'!$C19:$C33,'剩余法-地下车库'!I7,'数据-汇总表'!$E19:$E33)</f>
        <v>0</v>
      </c>
      <c r="J9" s="440">
        <f>SUMIF('数据-汇总表'!$C19:$C33,'剩余法-地下车库'!J7,'数据-汇总表'!$E19:$E33)</f>
        <v>0</v>
      </c>
      <c r="K9" s="441">
        <f>SUMIF('数据-汇总表'!$C19:$C33,'剩余法-地下车库'!K7,'数据-汇总表'!$E19:$E33)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674" t="s">
        <v>1847</v>
      </c>
      <c r="B10" s="2660" t="s">
        <v>474</v>
      </c>
      <c r="C10" s="2863">
        <f>ROUND(C8*C9/10000,0)</f>
        <v>0</v>
      </c>
      <c r="D10" s="2863">
        <f t="shared" ref="D10:F10" si="0">ROUND(D8*D9/10000,0)</f>
        <v>0</v>
      </c>
      <c r="E10" s="2863">
        <f t="shared" si="0"/>
        <v>0</v>
      </c>
      <c r="F10" s="2863">
        <f t="shared" ca="1" si="0"/>
        <v>0</v>
      </c>
      <c r="G10" s="2675"/>
      <c r="H10" s="2675"/>
      <c r="I10" s="2675"/>
      <c r="J10" s="2675"/>
      <c r="K10" s="2676"/>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677" t="s">
        <v>1843</v>
      </c>
      <c r="B11" s="2667"/>
      <c r="C11" s="2667"/>
      <c r="D11" s="2667"/>
      <c r="E11" s="2667"/>
      <c r="F11" s="2667"/>
      <c r="G11" s="2667"/>
      <c r="H11" s="2667"/>
      <c r="I11" s="2667"/>
      <c r="J11" s="2667"/>
      <c r="K11" s="2669"/>
    </row>
    <row r="12" spans="1:31" s="2069" customFormat="1" ht="13.5" customHeight="1">
      <c r="A12" s="2678" t="s">
        <v>470</v>
      </c>
      <c r="B12" s="2650" t="s">
        <v>471</v>
      </c>
      <c r="C12" s="2679" t="s">
        <v>475</v>
      </c>
      <c r="D12" s="3217" t="s">
        <v>476</v>
      </c>
      <c r="E12" s="3217" t="s">
        <v>477</v>
      </c>
      <c r="F12" s="3217" t="s">
        <v>478</v>
      </c>
      <c r="G12" s="2650"/>
      <c r="H12" s="2651"/>
      <c r="I12" s="2651"/>
      <c r="J12" s="2651"/>
      <c r="K12" s="2652"/>
    </row>
    <row r="13" spans="1:31" s="2100" customFormat="1" ht="13.5" customHeight="1">
      <c r="A13" s="2680" t="s">
        <v>1848</v>
      </c>
      <c r="B13" s="2681" t="s">
        <v>479</v>
      </c>
      <c r="C13" s="449">
        <f>'数据-取费表'!M9</f>
        <v>157700</v>
      </c>
      <c r="D13" s="2682"/>
      <c r="E13" s="2683"/>
      <c r="F13" s="2684"/>
      <c r="G13" s="2650"/>
      <c r="H13" s="2651"/>
      <c r="I13" s="2651"/>
      <c r="J13" s="2651"/>
      <c r="K13" s="2652"/>
    </row>
    <row r="14" spans="1:31" s="2100" customFormat="1" ht="13.5" customHeight="1">
      <c r="A14" s="2680" t="s">
        <v>1849</v>
      </c>
      <c r="B14" s="2681" t="s">
        <v>480</v>
      </c>
      <c r="C14" s="53">
        <f>ROUND(C13*F14,0)</f>
        <v>4731</v>
      </c>
      <c r="D14" s="2682"/>
      <c r="E14" s="2683"/>
      <c r="F14" s="2685">
        <f>'数据-取费表'!B33</f>
        <v>0.03</v>
      </c>
      <c r="G14" s="2650" t="s">
        <v>481</v>
      </c>
      <c r="H14" s="2651"/>
      <c r="I14" s="2651"/>
      <c r="J14" s="2651"/>
      <c r="K14" s="2652"/>
    </row>
    <row r="15" spans="1:31" s="2100" customFormat="1" ht="13.5" customHeight="1">
      <c r="A15" s="2680" t="s">
        <v>1850</v>
      </c>
      <c r="B15" s="2681" t="s">
        <v>482</v>
      </c>
      <c r="C15" s="53">
        <f ca="1">ROUND(IF(B1="",SUMIF('数据-取费表'!C:C,"住宅",'数据-取费表'!P:P)*F15,IF(INDIRECT("'数据-取费表'!c"&amp;$K$1)="住宅",INDIRECT("'数据-取费表'!P"&amp;$K$1)*F15,0)),0)</f>
        <v>0</v>
      </c>
      <c r="D15" s="2682"/>
      <c r="E15" s="2683"/>
      <c r="F15" s="2685">
        <f>'数据-取费表'!B34</f>
        <v>0.15</v>
      </c>
      <c r="G15" s="2650" t="s">
        <v>483</v>
      </c>
      <c r="H15" s="2651"/>
      <c r="I15" s="2651"/>
      <c r="J15" s="2651"/>
      <c r="K15" s="2652"/>
    </row>
    <row r="16" spans="1:31" s="2101" customFormat="1" ht="13.5" customHeight="1">
      <c r="A16" s="2680" t="s">
        <v>1851</v>
      </c>
      <c r="B16" s="2681" t="s">
        <v>484</v>
      </c>
      <c r="C16" s="53">
        <f ca="1">ROUND(D16*E16/10000,0)</f>
        <v>12450</v>
      </c>
      <c r="D16" s="2682">
        <f ca="1">IF(B1="",'数据-汇总表'!E3,INDIRECT("'数据-取费表'!K"&amp;$K$1)+INDIRECT("'数据-取费表'!S"&amp;$K$1))</f>
        <v>415000</v>
      </c>
      <c r="E16" s="53">
        <f>'数据-取费表'!B35</f>
        <v>300</v>
      </c>
      <c r="F16" s="2685"/>
      <c r="G16" s="2650"/>
      <c r="H16" s="2651"/>
      <c r="I16" s="2651"/>
      <c r="J16" s="2651"/>
      <c r="K16" s="2652"/>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680" t="s">
        <v>1852</v>
      </c>
      <c r="B17" s="2681" t="s">
        <v>485</v>
      </c>
      <c r="C17" s="2686">
        <f>ROUND(C13*F17,0)</f>
        <v>2366</v>
      </c>
      <c r="D17" s="474"/>
      <c r="E17" s="2686"/>
      <c r="F17" s="2687">
        <f>'数据-取费表'!B36</f>
        <v>1.4999999999999999E-2</v>
      </c>
      <c r="G17" s="260" t="s">
        <v>486</v>
      </c>
      <c r="H17" s="2653"/>
      <c r="I17" s="2653"/>
      <c r="J17" s="2653"/>
      <c r="K17" s="278"/>
    </row>
    <row r="18" spans="1:14" s="2100" customFormat="1" ht="13.5" customHeight="1">
      <c r="A18" s="2688" t="s">
        <v>1853</v>
      </c>
      <c r="B18" s="2689" t="s">
        <v>487</v>
      </c>
      <c r="C18" s="2690">
        <f ca="1">SUM(C13:C17)</f>
        <v>177247</v>
      </c>
      <c r="D18" s="2691"/>
      <c r="E18" s="467"/>
      <c r="F18" s="467"/>
      <c r="G18" s="2654" t="s">
        <v>2427</v>
      </c>
      <c r="H18" s="2655"/>
      <c r="I18" s="2655"/>
      <c r="J18" s="2655"/>
      <c r="K18" s="2656"/>
    </row>
    <row r="19" spans="1:14" s="2100" customFormat="1" ht="13.5" customHeight="1">
      <c r="A19" s="2688" t="s">
        <v>1854</v>
      </c>
      <c r="B19" s="2689" t="s">
        <v>488</v>
      </c>
      <c r="C19" s="3217">
        <f ca="1">ROUND(D19*E19/10000,0)</f>
        <v>8300</v>
      </c>
      <c r="D19" s="2692">
        <f ca="1">D16</f>
        <v>415000</v>
      </c>
      <c r="E19" s="3217">
        <f>'数据-取费表'!B32</f>
        <v>200</v>
      </c>
      <c r="F19" s="467"/>
      <c r="G19" s="2650" t="s">
        <v>489</v>
      </c>
      <c r="H19" s="2651"/>
      <c r="I19" s="2655"/>
      <c r="J19" s="2655"/>
      <c r="K19" s="2656"/>
    </row>
    <row r="20" spans="1:14" s="2100" customFormat="1" ht="13.5" customHeight="1">
      <c r="A20" s="2688" t="s">
        <v>1855</v>
      </c>
      <c r="B20" s="2689" t="s">
        <v>490</v>
      </c>
      <c r="C20" s="3217">
        <f ca="1">C21+C22-IF(B1="",'数据-取费表'!B29,IF(G20="已全部缴纳",C21+C22,H20))</f>
        <v>8300</v>
      </c>
      <c r="D20" s="2692"/>
      <c r="E20" s="3217"/>
      <c r="F20" s="2693"/>
      <c r="G20" s="2916" t="s">
        <v>3040</v>
      </c>
      <c r="H20" s="2648"/>
      <c r="I20" s="2649" t="s">
        <v>2647</v>
      </c>
      <c r="J20" s="2655"/>
      <c r="K20" s="2656"/>
    </row>
    <row r="21" spans="1:14" s="2100" customFormat="1" ht="13.5" customHeight="1">
      <c r="A21" s="2680" t="s">
        <v>1856</v>
      </c>
      <c r="B21" s="2681" t="s">
        <v>491</v>
      </c>
      <c r="C21" s="53">
        <f ca="1">ROUND(D21*E21/10000,0)</f>
        <v>0</v>
      </c>
      <c r="D21" s="2682">
        <f ca="1">IF(B1="",'数据-汇总表'!E5,IF(INDIRECT("'数据-取费表'!c"&amp;$K$1)="住宅",INDIRECT("'数据-取费表'!k"&amp;$K$1),0))</f>
        <v>0</v>
      </c>
      <c r="E21" s="53">
        <f>'数据-取费表'!B27</f>
        <v>170</v>
      </c>
      <c r="F21" s="2685"/>
      <c r="G21" s="26"/>
      <c r="H21" s="51"/>
      <c r="I21" s="51"/>
      <c r="J21" s="51"/>
      <c r="K21" s="2657"/>
    </row>
    <row r="22" spans="1:14" s="2100" customFormat="1" ht="13.5" customHeight="1">
      <c r="A22" s="2680" t="s">
        <v>1857</v>
      </c>
      <c r="B22" s="2681" t="s">
        <v>492</v>
      </c>
      <c r="C22" s="53">
        <f ca="1">ROUND(D22*E22/10000,0)</f>
        <v>8300</v>
      </c>
      <c r="D22" s="2682">
        <f ca="1">IF(B1="",'数据-汇总表'!E6,IF(INDIRECT("'数据-取费表'!c"&amp;$K$1)="住宅",INDIRECT("'数据-取费表'!s"&amp;$K$1),INDIRECT("'数据-取费表'!k"&amp;$K$1)+INDIRECT("'数据-取费表'!s"&amp;$K$1)))</f>
        <v>415000</v>
      </c>
      <c r="E22" s="53">
        <f>'数据-取费表'!B28</f>
        <v>200</v>
      </c>
      <c r="F22" s="2685"/>
      <c r="G22" s="26"/>
      <c r="H22" s="51"/>
      <c r="I22" s="51"/>
      <c r="J22" s="51"/>
      <c r="K22" s="2657"/>
    </row>
    <row r="23" spans="1:14" s="2100" customFormat="1" ht="13.5" customHeight="1">
      <c r="A23" s="2688" t="s">
        <v>1858</v>
      </c>
      <c r="B23" s="2869" t="s">
        <v>2829</v>
      </c>
      <c r="C23" s="2690">
        <f ca="1">ROUND((C18+C19+C20)*F23,0)</f>
        <v>3877</v>
      </c>
      <c r="D23" s="467"/>
      <c r="E23" s="467"/>
      <c r="F23" s="2694">
        <f>'数据-取费表'!B37</f>
        <v>0.02</v>
      </c>
      <c r="G23" s="2650" t="s">
        <v>2428</v>
      </c>
      <c r="H23" s="2651"/>
      <c r="I23" s="2651"/>
      <c r="J23" s="2651"/>
      <c r="K23" s="2652"/>
      <c r="L23" s="2102"/>
      <c r="M23" s="2102"/>
      <c r="N23" s="2102"/>
    </row>
    <row r="24" spans="1:14" s="2100" customFormat="1" ht="13.5" customHeight="1">
      <c r="A24" s="2688" t="s">
        <v>1859</v>
      </c>
      <c r="B24" s="2869" t="s">
        <v>2832</v>
      </c>
      <c r="C24" s="2690">
        <f ca="1">ROUND(C6*F24,0)</f>
        <v>0</v>
      </c>
      <c r="D24" s="474"/>
      <c r="E24" s="472"/>
      <c r="F24" s="2694">
        <f>'数据-取费表'!B38</f>
        <v>0.02</v>
      </c>
      <c r="G24" s="2659" t="s">
        <v>499</v>
      </c>
      <c r="H24" s="2653"/>
      <c r="I24" s="2653"/>
      <c r="J24" s="2653"/>
      <c r="K24" s="278"/>
      <c r="L24" s="2102"/>
      <c r="M24" s="2102"/>
      <c r="N24" s="2102"/>
    </row>
    <row r="25" spans="1:14" s="2103" customFormat="1" ht="13.5" customHeight="1">
      <c r="A25" s="2688" t="s">
        <v>1860</v>
      </c>
      <c r="B25" s="2869" t="s">
        <v>2830</v>
      </c>
      <c r="C25" s="3033">
        <f>F25</f>
        <v>3.0499999999999999E-2</v>
      </c>
      <c r="D25" s="461" t="s">
        <v>2824</v>
      </c>
      <c r="E25" s="468"/>
      <c r="F25" s="2694">
        <f>'数据-取费表'!B48+'数据-取费表'!B49</f>
        <v>3.0499999999999999E-2</v>
      </c>
      <c r="G25" s="2658" t="s">
        <v>2988</v>
      </c>
      <c r="H25" s="2651"/>
      <c r="I25" s="2651"/>
      <c r="J25" s="2651"/>
      <c r="K25" s="2652"/>
    </row>
    <row r="26" spans="1:14" s="2102" customFormat="1" ht="13.5" customHeight="1">
      <c r="A26" s="2688" t="s">
        <v>1861</v>
      </c>
      <c r="B26" s="2870" t="s">
        <v>2831</v>
      </c>
      <c r="C26" s="2695">
        <f ca="1">C28</f>
        <v>11809</v>
      </c>
      <c r="D26" s="466">
        <f ca="1">C27</f>
        <v>0.1268</v>
      </c>
      <c r="E26" s="468" t="s">
        <v>495</v>
      </c>
      <c r="F26" s="470">
        <f ca="1">'数据-取费表'!B40</f>
        <v>4.7500000000000001E-2</v>
      </c>
      <c r="G26" s="2535" t="str">
        <f>IF('数据-取费表'!B22&lt;=1,"单利计息。","复利计息。")&amp;"后续开发成本、管理费用及销售费用产生的利息。"</f>
        <v>复利计息。后续开发成本、管理费用及销售费用产生的利息。</v>
      </c>
      <c r="H26" s="2655"/>
      <c r="I26" s="2655"/>
      <c r="J26" s="2655"/>
      <c r="K26" s="2656"/>
    </row>
    <row r="27" spans="1:14" s="2104" customFormat="1" ht="13.5" customHeight="1">
      <c r="A27" s="802" t="s">
        <v>1856</v>
      </c>
      <c r="B27" s="2696" t="s">
        <v>496</v>
      </c>
      <c r="C27" s="2697">
        <f ca="1">ROUND(IF('数据-取费表'!B22&lt;=1,(1+C25)*F26*'数据-取费表'!B24,(1+C25)*(POWER((1+F26),'数据-取费表'!B24)-1)),4)</f>
        <v>0.1268</v>
      </c>
      <c r="D27" s="471"/>
      <c r="E27" s="472"/>
      <c r="F27" s="473"/>
      <c r="G27" s="2535" t="str">
        <f>IF('数据-取费表'!B22&lt;=1,"（1+取得税费率/(1+5%)）×年利率×建设期","（1+取得税费率）/(1+5%)×((1+年利率)^建设期-1)")</f>
        <v>（1+取得税费率）/(1+5%)×((1+年利率)^建设期-1)</v>
      </c>
      <c r="H27" s="2653"/>
      <c r="I27" s="2653"/>
      <c r="J27" s="2653"/>
      <c r="K27" s="278"/>
    </row>
    <row r="28" spans="1:14" s="2104" customFormat="1" ht="13.5" customHeight="1">
      <c r="A28" s="802" t="s">
        <v>1857</v>
      </c>
      <c r="B28" s="2696" t="s">
        <v>2833</v>
      </c>
      <c r="C28" s="2698">
        <f ca="1">ROUND(IF('数据-取费表'!B22&lt;=1,(C18+C19+C20+C23+C24)*F26*'数据-取费表'!B24/2,(C18+C19+C20+C23+C24)*(POWER((1+F26),'数据-取费表'!B24/2)-1)),0)</f>
        <v>11809</v>
      </c>
      <c r="D28" s="471"/>
      <c r="E28" s="472"/>
      <c r="F28" s="473"/>
      <c r="G28" s="2535" t="str">
        <f>IF('数据-取费表'!B22&lt;=1,"（1）-（4）项×年利率×建设期÷2","（1）-（4）项×((1+年利率)^(建设期÷2)-1)")</f>
        <v>（1）-（4）项×((1+年利率)^(建设期÷2)-1)</v>
      </c>
      <c r="H28" s="2653"/>
      <c r="I28" s="2653"/>
      <c r="J28" s="2653"/>
      <c r="K28" s="278"/>
    </row>
    <row r="29" spans="1:14" s="2104" customFormat="1" ht="13.5" customHeight="1">
      <c r="A29" s="2699" t="s">
        <v>1862</v>
      </c>
      <c r="B29" s="2689" t="s">
        <v>497</v>
      </c>
      <c r="C29" s="2690">
        <f ca="1">ROUND(C6*F29/(1+'数据-取费表'!C42),0)</f>
        <v>0</v>
      </c>
      <c r="D29" s="467"/>
      <c r="E29" s="467"/>
      <c r="F29" s="2871">
        <v>5.6500000000000002E-2</v>
      </c>
      <c r="G29" s="2659" t="s">
        <v>498</v>
      </c>
      <c r="H29" s="2651"/>
      <c r="I29" s="2651"/>
      <c r="J29" s="2651"/>
      <c r="K29" s="2652"/>
    </row>
    <row r="30" spans="1:14" s="2105" customFormat="1" ht="13.5" customHeight="1">
      <c r="A30" s="1619" t="s">
        <v>1863</v>
      </c>
      <c r="B30" s="2700" t="s">
        <v>500</v>
      </c>
      <c r="C30" s="2695">
        <f ca="1">C31</f>
        <v>209533</v>
      </c>
      <c r="D30" s="476">
        <f ca="1">C32</f>
        <v>0.1573</v>
      </c>
      <c r="E30" s="468" t="s">
        <v>495</v>
      </c>
      <c r="F30" s="470"/>
      <c r="G30" s="2658" t="s">
        <v>2968</v>
      </c>
      <c r="H30" s="2651"/>
      <c r="I30" s="2651"/>
      <c r="J30" s="2651"/>
      <c r="K30" s="2652"/>
    </row>
    <row r="31" spans="1:14" s="2104" customFormat="1" ht="13.5" customHeight="1">
      <c r="A31" s="802" t="s">
        <v>1856</v>
      </c>
      <c r="B31" s="2696"/>
      <c r="C31" s="449">
        <f ca="1">C18+C19+C20+C23+C24+C26+C29</f>
        <v>209533</v>
      </c>
      <c r="D31" s="471"/>
      <c r="E31" s="472"/>
      <c r="F31" s="473"/>
      <c r="G31" s="260"/>
      <c r="H31" s="2653"/>
      <c r="I31" s="2653"/>
      <c r="J31" s="2653"/>
      <c r="K31" s="278"/>
    </row>
    <row r="32" spans="1:14" s="2104" customFormat="1" ht="13.5" customHeight="1">
      <c r="A32" s="802" t="s">
        <v>1857</v>
      </c>
      <c r="B32" s="2696"/>
      <c r="C32" s="53">
        <f ca="1">ROUND(C25+D26,4)</f>
        <v>0.1573</v>
      </c>
      <c r="D32" s="471"/>
      <c r="E32" s="472"/>
      <c r="F32" s="473"/>
      <c r="G32" s="260"/>
      <c r="H32" s="2653"/>
      <c r="I32" s="2653"/>
      <c r="J32" s="2653"/>
      <c r="K32" s="278"/>
    </row>
    <row r="33" spans="1:11" s="2106" customFormat="1" ht="13.5" customHeight="1">
      <c r="A33" s="2868" t="s">
        <v>2828</v>
      </c>
      <c r="B33" s="2866" t="s">
        <v>2826</v>
      </c>
      <c r="C33" s="477">
        <f ca="1">C35</f>
        <v>9886</v>
      </c>
      <c r="D33" s="466">
        <f ca="1">C34</f>
        <v>5.1499999999999997E-2</v>
      </c>
      <c r="E33" s="468" t="s">
        <v>495</v>
      </c>
      <c r="F33" s="478">
        <f ca="1">IF(B1="",'数据-取费表'!Q16,INDIRECT("'数据-取费表'!q"&amp;$K$1))</f>
        <v>0.05</v>
      </c>
      <c r="G33" s="2654"/>
      <c r="H33" s="2655"/>
      <c r="I33" s="2655"/>
      <c r="J33" s="2655"/>
      <c r="K33" s="2656"/>
    </row>
    <row r="34" spans="1:11" s="2107" customFormat="1" ht="13.5" customHeight="1">
      <c r="A34" s="374" t="s">
        <v>1856</v>
      </c>
      <c r="B34" s="2701" t="s">
        <v>501</v>
      </c>
      <c r="C34" s="471">
        <f ca="1">ROUND((1+C25)*F33,4)</f>
        <v>5.1499999999999997E-2</v>
      </c>
      <c r="D34" s="471"/>
      <c r="E34" s="472"/>
      <c r="F34" s="479"/>
      <c r="G34" s="260" t="s">
        <v>2287</v>
      </c>
      <c r="H34" s="2653"/>
      <c r="I34" s="2653"/>
      <c r="J34" s="2653"/>
      <c r="K34" s="278"/>
    </row>
    <row r="35" spans="1:11" s="2107" customFormat="1" ht="13.5" customHeight="1" thickBot="1">
      <c r="A35" s="1620" t="s">
        <v>1857</v>
      </c>
      <c r="B35" s="2867" t="s">
        <v>2834</v>
      </c>
      <c r="C35" s="1612">
        <f ca="1">ROUND((C18+C19+C20+C23+C24)*F33,0)</f>
        <v>9886</v>
      </c>
      <c r="D35" s="1613"/>
      <c r="E35" s="2702"/>
      <c r="F35" s="1614"/>
      <c r="G35" s="2660"/>
      <c r="H35" s="2661"/>
      <c r="I35" s="2661"/>
      <c r="J35" s="2661"/>
      <c r="K35" s="2662"/>
    </row>
    <row r="36" spans="1:11" s="2069" customFormat="1" ht="13.5" customHeight="1" thickBot="1">
      <c r="A36" s="283" t="s">
        <v>1844</v>
      </c>
      <c r="B36" s="2664"/>
      <c r="C36" s="2703">
        <f ca="1">ROUND((C6-C30-C33)/(1+D30+D33),0)</f>
        <v>-181518</v>
      </c>
      <c r="D36" s="2664"/>
      <c r="E36" s="2664"/>
      <c r="F36" s="2664"/>
      <c r="G36" s="2663" t="s">
        <v>2835</v>
      </c>
      <c r="H36" s="2664"/>
      <c r="I36" s="2664"/>
      <c r="J36" s="2664"/>
      <c r="K36" s="2665"/>
    </row>
    <row r="37" spans="1:11">
      <c r="C37" s="2109">
        <f ca="1">ROUND(C36*10000/D16,0)</f>
        <v>-4374</v>
      </c>
    </row>
    <row r="38" spans="1:11" ht="12.75" customHeight="1"/>
  </sheetData>
  <sheetProtection password="C66D" sheet="1" objects="1" scenarios="1" formatCells="0" formatColumns="0" formatRows="0"/>
  <phoneticPr fontId="228"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18" sqref="A118"/>
    </sheetView>
  </sheetViews>
  <sheetFormatPr defaultRowHeight="13.5"/>
  <sheetData/>
  <phoneticPr fontId="228"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52" sqref="E52"/>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1725</v>
      </c>
      <c r="B1" s="737"/>
      <c r="C1" s="772" t="s">
        <v>35</v>
      </c>
      <c r="D1" s="2946" t="s">
        <v>952</v>
      </c>
      <c r="E1" s="2350" t="s">
        <v>870</v>
      </c>
      <c r="F1" s="2351">
        <f ca="1">J53</f>
        <v>50</v>
      </c>
      <c r="G1" s="773">
        <f>MATCH(C1,'数据-取费表'!A6:A16,0)+5</f>
        <v>10</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1726</v>
      </c>
      <c r="B2" s="774">
        <f ca="1">C40+J29+L46</f>
        <v>0</v>
      </c>
      <c r="C2" s="2041"/>
      <c r="D2" s="2039"/>
      <c r="E2" s="2040"/>
      <c r="F2" s="2040"/>
      <c r="G2" s="1575"/>
      <c r="H2" s="2041"/>
      <c r="I2" s="2041"/>
      <c r="J2" s="2041"/>
      <c r="K2" s="2042"/>
      <c r="L2" s="2041"/>
      <c r="M2" s="2041"/>
    </row>
    <row r="3" spans="1:33" ht="18" customHeight="1" thickBot="1">
      <c r="A3" s="832" t="s">
        <v>519</v>
      </c>
      <c r="B3" s="833">
        <f ca="1">IF(ISERROR(B2*10000/F43),0,ROUND(B2*10000/F43,0))</f>
        <v>0</v>
      </c>
      <c r="C3" s="2041"/>
      <c r="D3" s="2039"/>
      <c r="E3" s="2040"/>
      <c r="F3" s="2040"/>
      <c r="G3" s="1575"/>
      <c r="H3" s="775" t="s">
        <v>695</v>
      </c>
      <c r="I3" s="1358"/>
      <c r="J3" s="1358"/>
      <c r="K3" s="1576"/>
      <c r="L3" s="1358"/>
      <c r="M3" s="1358"/>
    </row>
    <row r="4" spans="1:33" ht="18" customHeight="1">
      <c r="A4" s="776" t="s">
        <v>698</v>
      </c>
      <c r="B4" s="777" t="s">
        <v>631</v>
      </c>
      <c r="C4" s="777" t="s">
        <v>632</v>
      </c>
      <c r="D4" s="777" t="s">
        <v>633</v>
      </c>
      <c r="E4" s="778" t="s">
        <v>1731</v>
      </c>
      <c r="F4" s="779"/>
      <c r="G4" s="1577"/>
      <c r="H4" s="776" t="s">
        <v>698</v>
      </c>
      <c r="I4" s="777" t="s">
        <v>631</v>
      </c>
      <c r="J4" s="777" t="s">
        <v>632</v>
      </c>
      <c r="K4" s="777" t="s">
        <v>1735</v>
      </c>
      <c r="L4" s="778" t="s">
        <v>1736</v>
      </c>
      <c r="M4" s="779"/>
    </row>
    <row r="5" spans="1:33" ht="18" customHeight="1">
      <c r="A5" s="780">
        <v>1</v>
      </c>
      <c r="B5" s="781" t="s">
        <v>2455</v>
      </c>
      <c r="C5" s="55">
        <f ca="1">C6+C10+C12</f>
        <v>20449</v>
      </c>
      <c r="D5" s="2459" t="s">
        <v>2458</v>
      </c>
      <c r="E5" s="2453"/>
      <c r="F5" s="2454"/>
      <c r="G5" s="1577"/>
      <c r="H5" s="780">
        <v>1</v>
      </c>
      <c r="I5" s="781" t="s">
        <v>2455</v>
      </c>
      <c r="J5" s="55">
        <f ca="1">J6+J10+J12</f>
        <v>0</v>
      </c>
      <c r="K5" s="2459" t="s">
        <v>2458</v>
      </c>
      <c r="L5" s="2453"/>
      <c r="M5" s="2454"/>
    </row>
    <row r="6" spans="1:33" ht="18" customHeight="1">
      <c r="A6" s="1814" t="s">
        <v>1824</v>
      </c>
      <c r="B6" s="3542" t="s">
        <v>2460</v>
      </c>
      <c r="C6" s="782">
        <f ca="1">ROUND(F6*F8*F7*(1-F9)/10000,0)</f>
        <v>20449</v>
      </c>
      <c r="D6" s="2460" t="s">
        <v>2459</v>
      </c>
      <c r="E6" s="783" t="s">
        <v>1738</v>
      </c>
      <c r="F6" s="784">
        <f ca="1">INDIRECT("'数据-取费表'!u"&amp;$G$1)</f>
        <v>1.5</v>
      </c>
      <c r="G6" s="1577"/>
      <c r="H6" s="2467" t="s">
        <v>1824</v>
      </c>
      <c r="I6" s="3542" t="s">
        <v>2460</v>
      </c>
      <c r="J6" s="782">
        <f ca="1">ROUND(M6*M8*M7*(1-M9)/10000,0)</f>
        <v>0</v>
      </c>
      <c r="K6" s="340" t="s">
        <v>1737</v>
      </c>
      <c r="L6" s="783" t="s">
        <v>1738</v>
      </c>
      <c r="M6" s="784">
        <f ca="1">INDIRECT("'数据-取费表'!z"&amp;$G$1)</f>
        <v>0</v>
      </c>
    </row>
    <row r="7" spans="1:33" ht="18" customHeight="1">
      <c r="A7" s="2463"/>
      <c r="B7" s="3543"/>
      <c r="C7" s="787"/>
      <c r="D7" s="788"/>
      <c r="E7" s="783" t="s">
        <v>1739</v>
      </c>
      <c r="F7" s="784">
        <f ca="1">IF(INDIRECT("'数据-取费表'!ah"&amp;$G$1)="",INDIRECT("'数据-取费表'!k"&amp;$G$1),INDIRECT("'数据-取费表'!ah"&amp;$G$1))</f>
        <v>415000</v>
      </c>
      <c r="G7" s="1577"/>
      <c r="H7" s="2452"/>
      <c r="I7" s="3543"/>
      <c r="J7" s="787"/>
      <c r="K7" s="788"/>
      <c r="L7" s="783" t="s">
        <v>1739</v>
      </c>
      <c r="M7" s="784">
        <f ca="1">F7</f>
        <v>415000</v>
      </c>
    </row>
    <row r="8" spans="1:33" ht="18" customHeight="1">
      <c r="A8" s="2456"/>
      <c r="B8" s="3544"/>
      <c r="C8" s="787"/>
      <c r="D8" s="788"/>
      <c r="E8" s="783" t="s">
        <v>639</v>
      </c>
      <c r="F8" s="784">
        <f ca="1">INDIRECT("'数据-取费表'!ai"&amp;$G$1)</f>
        <v>365</v>
      </c>
      <c r="G8" s="1577"/>
      <c r="H8" s="2452"/>
      <c r="I8" s="3544"/>
      <c r="J8" s="787"/>
      <c r="K8" s="788"/>
      <c r="L8" s="783" t="s">
        <v>639</v>
      </c>
      <c r="M8" s="784">
        <f ca="1">INDIRECT("'数据-取费表'!ai"&amp;$G$1)</f>
        <v>365</v>
      </c>
    </row>
    <row r="9" spans="1:33" ht="18" customHeight="1">
      <c r="A9" s="785"/>
      <c r="B9" s="3545"/>
      <c r="C9" s="787"/>
      <c r="D9" s="788"/>
      <c r="E9" s="783" t="s">
        <v>1741</v>
      </c>
      <c r="F9" s="793">
        <f ca="1">INDIRECT("'数据-取费表'!w"&amp;$G$1)</f>
        <v>0.1</v>
      </c>
      <c r="G9" s="1577"/>
      <c r="H9" s="2468"/>
      <c r="I9" s="3544"/>
      <c r="J9" s="787"/>
      <c r="K9" s="788"/>
      <c r="L9" s="794" t="s">
        <v>1741</v>
      </c>
      <c r="M9" s="795">
        <f ca="1">INDIRECT("'数据-取费表'!ab"&amp;$G$1)</f>
        <v>0</v>
      </c>
    </row>
    <row r="10" spans="1:33" ht="18" customHeight="1">
      <c r="A10" s="1814" t="s">
        <v>1834</v>
      </c>
      <c r="B10" s="2457" t="s">
        <v>2456</v>
      </c>
      <c r="C10" s="798">
        <f ca="1">ROUND(IF(F10="押一",C6/12*F11,IF(F10="押二",C6/12*2*F11,IF(F10="押三",C6/12*3*F11,C11*F11))),0)</f>
        <v>0</v>
      </c>
      <c r="D10" s="2464" t="s">
        <v>2970</v>
      </c>
      <c r="E10" s="2461" t="s">
        <v>2461</v>
      </c>
      <c r="F10" s="2584"/>
      <c r="G10" s="1577"/>
      <c r="H10" s="2524" t="s">
        <v>1834</v>
      </c>
      <c r="I10" s="2529" t="s">
        <v>2456</v>
      </c>
      <c r="J10" s="782">
        <f ca="1">ROUND(IF(M10="押一",J6/12*M11,IF(M10="押二",J6/12*2*M11,IF(M10="押三",J6/12*3*M11,J11*M11))),0)</f>
        <v>0</v>
      </c>
      <c r="K10" s="2464" t="s">
        <v>2970</v>
      </c>
      <c r="L10" s="2461" t="s">
        <v>2461</v>
      </c>
      <c r="M10" s="2584"/>
    </row>
    <row r="11" spans="1:33" ht="18" customHeight="1">
      <c r="A11" s="789"/>
      <c r="B11" s="2458" t="s">
        <v>2570</v>
      </c>
      <c r="C11" s="2462"/>
      <c r="D11" s="788"/>
      <c r="E11" s="2461" t="s">
        <v>2453</v>
      </c>
      <c r="F11" s="795">
        <f ca="1">'数据-取费表'!B39</f>
        <v>1.4999999999999999E-2</v>
      </c>
      <c r="G11" s="1577"/>
      <c r="H11" s="2525"/>
      <c r="I11" s="2458" t="s">
        <v>2570</v>
      </c>
      <c r="J11" s="2462"/>
      <c r="K11" s="2526"/>
      <c r="L11" s="2461" t="s">
        <v>2453</v>
      </c>
      <c r="M11" s="2455">
        <f ca="1">'数据-取费表'!B39</f>
        <v>1.4999999999999999E-2</v>
      </c>
    </row>
    <row r="12" spans="1:33" ht="18" customHeight="1" thickBot="1">
      <c r="A12" s="2500" t="s">
        <v>2464</v>
      </c>
      <c r="B12" s="2501" t="s">
        <v>2457</v>
      </c>
      <c r="C12" s="2502"/>
      <c r="D12" s="2503"/>
      <c r="E12" s="2504"/>
      <c r="F12" s="2505"/>
      <c r="G12" s="1577"/>
      <c r="H12" s="2514" t="s">
        <v>2464</v>
      </c>
      <c r="I12" s="2527" t="s">
        <v>2457</v>
      </c>
      <c r="J12" s="2528"/>
      <c r="K12" s="2503"/>
      <c r="L12" s="2504"/>
      <c r="M12" s="2517"/>
    </row>
    <row r="13" spans="1:33" ht="18" customHeight="1" thickTop="1">
      <c r="A13" s="1813">
        <v>2</v>
      </c>
      <c r="B13" s="1811" t="s">
        <v>1742</v>
      </c>
      <c r="C13" s="791">
        <f ca="1">ROUND(C29*F13,0)</f>
        <v>216804</v>
      </c>
      <c r="D13" s="1818" t="s">
        <v>2294</v>
      </c>
      <c r="E13" s="1818" t="s">
        <v>1744</v>
      </c>
      <c r="F13" s="2499">
        <f ca="1">INDIRECT("'数据-取费表'!y"&amp;$G$1)</f>
        <v>1</v>
      </c>
      <c r="G13" s="1577"/>
      <c r="H13" s="1813">
        <v>2</v>
      </c>
      <c r="I13" s="1811" t="s">
        <v>1742</v>
      </c>
      <c r="J13" s="1803">
        <f ca="1">ROUND(J14*J15,0)</f>
        <v>216804</v>
      </c>
      <c r="K13" s="1805" t="s">
        <v>1743</v>
      </c>
      <c r="L13" s="2515"/>
      <c r="M13" s="2516"/>
    </row>
    <row r="14" spans="1:33" ht="18" customHeight="1">
      <c r="A14" s="1632" t="s">
        <v>1831</v>
      </c>
      <c r="B14" s="783" t="s">
        <v>645</v>
      </c>
      <c r="C14" s="803">
        <f ca="1">INDIRECT("'数据-取费表'!m"&amp;$G$1)+INDIRECT("'数据-取费表'!t"&amp;$G$1)</f>
        <v>157700</v>
      </c>
      <c r="D14" s="3219" t="s">
        <v>1745</v>
      </c>
      <c r="E14" s="3220"/>
      <c r="F14" s="804"/>
      <c r="G14" s="1577"/>
      <c r="H14" s="1633" t="s">
        <v>1830</v>
      </c>
      <c r="I14" s="2215" t="s">
        <v>2820</v>
      </c>
      <c r="J14" s="53">
        <f ca="1">C29</f>
        <v>216804</v>
      </c>
      <c r="K14" s="26"/>
      <c r="L14" s="800"/>
      <c r="M14" s="801"/>
    </row>
    <row r="15" spans="1:33" s="2048" customFormat="1" ht="18" customHeight="1" thickBot="1">
      <c r="A15" s="1632" t="s">
        <v>1832</v>
      </c>
      <c r="B15" s="783" t="s">
        <v>647</v>
      </c>
      <c r="C15" s="53">
        <f ca="1">ROUND(C14*F15,0)</f>
        <v>4731</v>
      </c>
      <c r="D15" s="805" t="s">
        <v>1746</v>
      </c>
      <c r="E15" s="805" t="s">
        <v>1747</v>
      </c>
      <c r="F15" s="806">
        <f>'数据-取费表'!B33</f>
        <v>0.03</v>
      </c>
      <c r="G15" s="1578"/>
      <c r="H15" s="2514" t="s">
        <v>1889</v>
      </c>
      <c r="I15" s="2509" t="s">
        <v>1744</v>
      </c>
      <c r="J15" s="2518">
        <f ca="1">INDIRECT("'数据-取费表'!ad"&amp;$G$1)</f>
        <v>1</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1833</v>
      </c>
      <c r="B16" s="783" t="s">
        <v>650</v>
      </c>
      <c r="C16" s="53">
        <f ca="1">ROUND(INDIRECT("'数据-取费表'!m"&amp;$G$1)*F16,0)</f>
        <v>0</v>
      </c>
      <c r="D16" s="783" t="s">
        <v>1746</v>
      </c>
      <c r="E16" s="783" t="s">
        <v>1747</v>
      </c>
      <c r="F16" s="808">
        <f ca="1">IF(INDIRECT("'数据-取费表'!c"&amp;$G$1)="住宅",'数据-取费表'!B34,0)</f>
        <v>0</v>
      </c>
      <c r="G16" s="1577"/>
      <c r="H16" s="1813" t="s">
        <v>1748</v>
      </c>
      <c r="I16" s="1811" t="s">
        <v>1749</v>
      </c>
      <c r="J16" s="791">
        <f ca="1">ROUND(J17+J22+J23+J24,0)</f>
        <v>4227</v>
      </c>
      <c r="K16" s="1805" t="s">
        <v>652</v>
      </c>
      <c r="L16" s="3221"/>
      <c r="M16" s="2454"/>
    </row>
    <row r="17" spans="1:33" s="2048" customFormat="1" ht="18" customHeight="1">
      <c r="A17" s="1632" t="s">
        <v>1887</v>
      </c>
      <c r="B17" s="783" t="s">
        <v>653</v>
      </c>
      <c r="C17" s="53">
        <f ca="1">ROUND(F17*(F43+INDIRECT("'数据-取费表'!S"&amp;$G$1))/10000,0)</f>
        <v>12450</v>
      </c>
      <c r="D17" s="783" t="s">
        <v>654</v>
      </c>
      <c r="E17" s="783" t="s">
        <v>655</v>
      </c>
      <c r="F17" s="56">
        <f>'数据-取费表'!B35</f>
        <v>300</v>
      </c>
      <c r="G17" s="1578"/>
      <c r="H17" s="1633" t="s">
        <v>1830</v>
      </c>
      <c r="I17" s="783" t="s">
        <v>656</v>
      </c>
      <c r="J17" s="3031">
        <f ca="1">ROUND(IF(项目基本情况!B11="自然人",J6*M17/(1+'数据-取费表'!C42),J18+J19+J20),0)</f>
        <v>1842</v>
      </c>
      <c r="K17" s="3219" t="s">
        <v>1753</v>
      </c>
      <c r="L17" s="3218" t="s">
        <v>1754</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2366</v>
      </c>
      <c r="D18" s="783" t="s">
        <v>1746</v>
      </c>
      <c r="E18" s="783" t="s">
        <v>1747</v>
      </c>
      <c r="F18" s="808">
        <f>'数据-取费表'!B36</f>
        <v>1.4999999999999999E-2</v>
      </c>
      <c r="G18" s="1578"/>
      <c r="H18" s="1632" t="s">
        <v>1831</v>
      </c>
      <c r="I18" s="783" t="s">
        <v>1755</v>
      </c>
      <c r="J18" s="3031">
        <f ca="1">ROUND(J6*M18/(1+'数据-取费表'!C42),1)</f>
        <v>0</v>
      </c>
      <c r="K18" s="3218" t="s">
        <v>661</v>
      </c>
      <c r="L18" s="783" t="s">
        <v>1747</v>
      </c>
      <c r="M18" s="808">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3" t="s">
        <v>662</v>
      </c>
      <c r="C19" s="53">
        <f ca="1">SUM(C14:C18)</f>
        <v>177247</v>
      </c>
      <c r="D19" s="260" t="s">
        <v>663</v>
      </c>
      <c r="E19" s="3224"/>
      <c r="F19" s="56"/>
      <c r="G19" s="1577"/>
      <c r="H19" s="1632" t="s">
        <v>1832</v>
      </c>
      <c r="I19" s="783" t="s">
        <v>1758</v>
      </c>
      <c r="J19" s="3031">
        <f ca="1">IF(K19="按租金收入计税",ROUND(J6*M19/(1+'数据-取费表'!C42),1),ROUND(C29*F33*0.7,1))</f>
        <v>1821.2</v>
      </c>
      <c r="K19" s="810" t="s">
        <v>665</v>
      </c>
      <c r="L19" s="783" t="s">
        <v>1747</v>
      </c>
      <c r="M19" s="808">
        <f>IF(K19="按租金收入计税",'数据-取费表'!B51,'数据-取费表'!B50)</f>
        <v>1.2E-2</v>
      </c>
    </row>
    <row r="20" spans="1:33" s="2048" customFormat="1" ht="18" customHeight="1">
      <c r="A20" s="1633" t="s">
        <v>1889</v>
      </c>
      <c r="B20" s="783" t="s">
        <v>666</v>
      </c>
      <c r="C20" s="53">
        <f ca="1">ROUND(C19*F20,0)</f>
        <v>3545</v>
      </c>
      <c r="D20" s="811" t="s">
        <v>1759</v>
      </c>
      <c r="E20" s="783" t="s">
        <v>1747</v>
      </c>
      <c r="F20" s="808">
        <f>'数据-取费表'!B37</f>
        <v>0.02</v>
      </c>
      <c r="G20" s="1578"/>
      <c r="H20" s="1635" t="s">
        <v>1833</v>
      </c>
      <c r="I20" s="340" t="s">
        <v>1760</v>
      </c>
      <c r="J20" s="54">
        <f ca="1">ROUND(M20*M21/10000,0)</f>
        <v>21</v>
      </c>
      <c r="K20" s="813" t="s">
        <v>1761</v>
      </c>
      <c r="L20" s="783" t="s">
        <v>1762</v>
      </c>
      <c r="M20" s="639">
        <f>'数据-取费表'!B52</f>
        <v>1.5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1763</v>
      </c>
      <c r="C21" s="53" t="s">
        <v>3</v>
      </c>
      <c r="D21" s="811" t="s">
        <v>2295</v>
      </c>
      <c r="E21" s="783" t="s">
        <v>1765</v>
      </c>
      <c r="F21" s="808">
        <f>'数据-取费表'!B38</f>
        <v>0.02</v>
      </c>
      <c r="G21" s="1578"/>
      <c r="H21" s="2469"/>
      <c r="I21" s="792"/>
      <c r="J21" s="69"/>
      <c r="K21" s="815"/>
      <c r="L21" s="783" t="s">
        <v>1766</v>
      </c>
      <c r="M21" s="784">
        <f ca="1">INDIRECT("'数据-取费表'!r"&amp;$G$1)</f>
        <v>141207.44</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675</v>
      </c>
      <c r="C22" s="53"/>
      <c r="D22" s="2535" t="str">
        <f>IF(F23&lt;=1,"单利计息。","复利计息。")&amp;"建造成本、管理费用、销售费用产生的利息。"</f>
        <v>复利计息。建造成本、管理费用、销售费用产生的利息。</v>
      </c>
      <c r="E22" s="3224"/>
      <c r="F22" s="56"/>
      <c r="G22" s="1577"/>
      <c r="H22" s="1633" t="s">
        <v>1889</v>
      </c>
      <c r="I22" s="783" t="s">
        <v>676</v>
      </c>
      <c r="J22" s="53">
        <f ca="1">ROUND(J14*M22,0)</f>
        <v>2168</v>
      </c>
      <c r="K22" s="3218" t="s">
        <v>1769</v>
      </c>
      <c r="L22" s="783" t="s">
        <v>1747</v>
      </c>
      <c r="M22" s="816">
        <f ca="1">INDIRECT("'数据-取费表'!Ak"&amp;$G$1)</f>
        <v>0.01</v>
      </c>
    </row>
    <row r="23" spans="1:33" s="2048" customFormat="1" ht="18" customHeight="1">
      <c r="A23" s="1632" t="s">
        <v>1831</v>
      </c>
      <c r="B23" s="783" t="s">
        <v>2434</v>
      </c>
      <c r="C23" s="53">
        <f ca="1">ROUND(IF('数据-取费表'!B22&lt;=1,(C19+C20)*F24*F23/2,(C19+C20)*(POWER((1+F24),F23/2)-1)),0)</f>
        <v>10798</v>
      </c>
      <c r="D23" s="2534" t="str">
        <f>IF(F23&lt;=1,"(建造成本+管理费用)×利率×(建设周期÷2)","(建造成本+管理费用)×((1+利率)^(建设周期÷2)-1)")</f>
        <v>(建造成本+管理费用)×((1+利率)^(建设周期÷2)-1)</v>
      </c>
      <c r="E23" s="783" t="s">
        <v>1770</v>
      </c>
      <c r="F23" s="639">
        <f>'数据-取费表'!B20</f>
        <v>2.5</v>
      </c>
      <c r="G23" s="1578"/>
      <c r="H23" s="1633" t="s">
        <v>1890</v>
      </c>
      <c r="I23" s="783" t="s">
        <v>679</v>
      </c>
      <c r="J23" s="53">
        <f ca="1">ROUND(J13*M23,0)</f>
        <v>217</v>
      </c>
      <c r="K23" s="3218" t="s">
        <v>680</v>
      </c>
      <c r="L23" s="783" t="s">
        <v>1747</v>
      </c>
      <c r="M23" s="817">
        <f ca="1">INDIRECT("'数据-取费表'!Al"&amp;$G$1)</f>
        <v>1E-3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1772</v>
      </c>
      <c r="C24" s="53">
        <f ca="1">ROUND(IF('数据-取费表'!B22&lt;=1,F21*F24*F23/2,F21*(POWER((1+F24),F23/2)-1)),4)</f>
        <v>1.1999999999999999E-3</v>
      </c>
      <c r="D24" s="2534" t="str">
        <f>IF(F23&lt;=1,"销售费用×利率×(建设周期÷2)","销售费用×((1+利率)^(建设周期÷2)-1)")</f>
        <v>销售费用×((1+利率)^(建设周期÷2)-1)</v>
      </c>
      <c r="E24" s="783" t="s">
        <v>1773</v>
      </c>
      <c r="F24" s="818">
        <f ca="1">'数据-取费表'!B40</f>
        <v>4.7500000000000001E-2</v>
      </c>
      <c r="G24" s="1578"/>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685</v>
      </c>
      <c r="E25" s="3224"/>
      <c r="F25" s="56"/>
      <c r="G25" s="1577"/>
      <c r="H25" s="1813" t="s">
        <v>1776</v>
      </c>
      <c r="I25" s="2844" t="s">
        <v>2817</v>
      </c>
      <c r="J25" s="791">
        <f ca="1">J5-J16</f>
        <v>-4227</v>
      </c>
      <c r="K25" s="2511" t="s">
        <v>1777</v>
      </c>
      <c r="L25" s="2512"/>
      <c r="M25" s="2513"/>
    </row>
    <row r="26" spans="1:33" ht="18" customHeight="1">
      <c r="A26" s="1632" t="s">
        <v>1831</v>
      </c>
      <c r="B26" s="783" t="s">
        <v>2435</v>
      </c>
      <c r="C26" s="53">
        <f ca="1">ROUND((C19+C20)*F26,0)</f>
        <v>9040</v>
      </c>
      <c r="D26" s="811" t="s">
        <v>1778</v>
      </c>
      <c r="E26" s="794" t="s">
        <v>702</v>
      </c>
      <c r="F26" s="793">
        <f ca="1">INDIRECT("'数据-取费表'!q"&amp;$G$1)</f>
        <v>0.05</v>
      </c>
      <c r="G26" s="1577"/>
      <c r="H26" s="2465" t="s">
        <v>1780</v>
      </c>
      <c r="I26" s="2216" t="s">
        <v>2822</v>
      </c>
      <c r="J26" s="782">
        <f ca="1">IF(J5&lt;&gt;0,ROUND(J25*(1-((1+M28)/(1+M26))^M27)/(M26-M28),0),0)</f>
        <v>0</v>
      </c>
      <c r="K26" s="813" t="s">
        <v>1781</v>
      </c>
      <c r="L26" s="783" t="s">
        <v>2416</v>
      </c>
      <c r="M26" s="793">
        <f ca="1">INDIRECT("'数据-取费表'!I"&amp;$G$1)</f>
        <v>0.04</v>
      </c>
    </row>
    <row r="27" spans="1:33" ht="18" customHeight="1">
      <c r="A27" s="1632" t="s">
        <v>1832</v>
      </c>
      <c r="B27" s="783" t="s">
        <v>686</v>
      </c>
      <c r="C27" s="53">
        <f ca="1">ROUND(F21*F26,4)</f>
        <v>1E-3</v>
      </c>
      <c r="D27" s="811" t="s">
        <v>1782</v>
      </c>
      <c r="E27" s="805"/>
      <c r="F27" s="806"/>
      <c r="G27" s="1577"/>
      <c r="H27" s="2466"/>
      <c r="I27" s="786"/>
      <c r="J27" s="787"/>
      <c r="K27" s="820" t="s">
        <v>1783</v>
      </c>
      <c r="L27" s="783" t="s">
        <v>1784</v>
      </c>
      <c r="M27" s="821">
        <f ca="1">INDIRECT("'数据-取费表'!ag"&amp;$G$1)</f>
        <v>0</v>
      </c>
    </row>
    <row r="28" spans="1:33" s="2048" customFormat="1" ht="18" customHeight="1">
      <c r="A28" s="1634" t="s">
        <v>1841</v>
      </c>
      <c r="B28" s="783" t="s">
        <v>687</v>
      </c>
      <c r="C28" s="53">
        <f>ROUND(F28/(1+'数据-取费表'!C42),4)</f>
        <v>5.2400000000000002E-2</v>
      </c>
      <c r="D28" s="811" t="s">
        <v>2296</v>
      </c>
      <c r="E28" s="783" t="s">
        <v>649</v>
      </c>
      <c r="F28" s="808">
        <f>'数据-取费表'!B41</f>
        <v>5.5000000000000007E-2</v>
      </c>
      <c r="G28" s="1578"/>
      <c r="H28" s="1813"/>
      <c r="I28" s="790"/>
      <c r="J28" s="791"/>
      <c r="K28" s="815"/>
      <c r="L28" s="783" t="s">
        <v>1786</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2297</v>
      </c>
      <c r="C29" s="2507">
        <f ca="1">ROUND((C19+C20+C23+C26)/(1-F21-C24-C27-C28),0)</f>
        <v>216804</v>
      </c>
      <c r="D29" s="2508"/>
      <c r="E29" s="2509"/>
      <c r="F29" s="2510"/>
      <c r="G29" s="1578"/>
      <c r="H29" s="822" t="s">
        <v>1787</v>
      </c>
      <c r="I29" s="823" t="s">
        <v>1788</v>
      </c>
      <c r="J29" s="824">
        <f ca="1">ROUND(J26/(1+F40)^F41,0)</f>
        <v>0</v>
      </c>
      <c r="K29" s="825" t="s">
        <v>688</v>
      </c>
      <c r="L29" s="826"/>
      <c r="M29" s="827">
        <f ca="1">INDIRECT("'数据-取费表'!k"&amp;$G$1)</f>
        <v>415000</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1">
        <f ca="1">ROUND(C31+C36+C37+C38,0)</f>
        <v>5503</v>
      </c>
      <c r="D30" s="1805" t="s">
        <v>1791</v>
      </c>
      <c r="E30" s="3221"/>
      <c r="F30" s="2454"/>
      <c r="G30" s="2046"/>
      <c r="H30" s="2049"/>
      <c r="I30" s="2050"/>
      <c r="J30" s="2051"/>
      <c r="K30" s="2052"/>
      <c r="L30" s="2053"/>
      <c r="M30" s="2054"/>
    </row>
    <row r="31" spans="1:33" ht="18" customHeight="1">
      <c r="A31" s="1633" t="s">
        <v>1830</v>
      </c>
      <c r="B31" s="783" t="s">
        <v>656</v>
      </c>
      <c r="C31" s="3031">
        <f ca="1">ROUND(IF(项目基本情况!B11="自然人",C6*F31/(1+'数据-取费表'!C42),C32+C33+C34),1)</f>
        <v>2913.5</v>
      </c>
      <c r="D31" s="3219" t="s">
        <v>1753</v>
      </c>
      <c r="E31" s="3218" t="s">
        <v>1793</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1794</v>
      </c>
      <c r="C32" s="3031">
        <f ca="1">ROUND(C6*F32/(1+'数据-取费表'!C42),1)</f>
        <v>1071.0999999999999</v>
      </c>
      <c r="D32" s="3218" t="s">
        <v>661</v>
      </c>
      <c r="E32" s="783" t="s">
        <v>649</v>
      </c>
      <c r="F32" s="808">
        <f>'数据-取费表'!B41</f>
        <v>5.5000000000000007E-2</v>
      </c>
      <c r="G32" s="2046"/>
      <c r="H32" s="2055"/>
      <c r="I32" s="2056"/>
      <c r="J32" s="2057"/>
      <c r="K32" s="2058"/>
      <c r="L32" s="2059"/>
      <c r="M32" s="2060"/>
    </row>
    <row r="33" spans="1:18" ht="18" customHeight="1">
      <c r="A33" s="1632" t="s">
        <v>1832</v>
      </c>
      <c r="B33" s="783" t="s">
        <v>1797</v>
      </c>
      <c r="C33" s="3031">
        <f ca="1">IF(D33="按租金收入计税",ROUND(C6*F33/(1+'数据-取费表'!C42),1),IF(D33="按房产原值计税",ROUND(C29*F33*0.7,1),INDIRECT("'数据-取费表'!Aj"&amp;$G$1)))</f>
        <v>1821.2</v>
      </c>
      <c r="D33" s="810" t="s">
        <v>1680</v>
      </c>
      <c r="E33" s="783" t="s">
        <v>649</v>
      </c>
      <c r="F33" s="808">
        <f>IF(D33="按租金收入计税",'数据-取费表'!B51,'数据-取费表'!B50)</f>
        <v>1.2E-2</v>
      </c>
      <c r="G33" s="2046"/>
      <c r="H33" s="2061"/>
      <c r="I33" s="2061"/>
      <c r="J33" s="2061"/>
      <c r="K33" s="2062"/>
      <c r="L33" s="2061"/>
      <c r="M33" s="2061"/>
    </row>
    <row r="34" spans="1:18" ht="18" customHeight="1">
      <c r="A34" s="1635" t="s">
        <v>1833</v>
      </c>
      <c r="B34" s="340" t="s">
        <v>1798</v>
      </c>
      <c r="C34" s="54">
        <f ca="1">ROUND(F34*F35/10000,1)</f>
        <v>21.2</v>
      </c>
      <c r="D34" s="813" t="s">
        <v>1799</v>
      </c>
      <c r="E34" s="783" t="s">
        <v>1800</v>
      </c>
      <c r="F34" s="639">
        <f>'数据-取费表'!B52</f>
        <v>1.5</v>
      </c>
      <c r="G34" s="2046"/>
      <c r="H34" s="2049"/>
      <c r="I34" s="834" t="s">
        <v>1813</v>
      </c>
      <c r="J34" s="835"/>
      <c r="K34" s="2064"/>
      <c r="L34" s="2063"/>
      <c r="M34" s="2063"/>
    </row>
    <row r="35" spans="1:18" ht="18" customHeight="1">
      <c r="A35" s="814"/>
      <c r="B35" s="792"/>
      <c r="C35" s="69"/>
      <c r="D35" s="815"/>
      <c r="E35" s="783" t="s">
        <v>1766</v>
      </c>
      <c r="F35" s="784">
        <f ca="1">INDIRECT("'数据-取费表'!r"&amp;$G$1)</f>
        <v>141207.44</v>
      </c>
      <c r="G35" s="2046"/>
      <c r="H35" s="2049"/>
      <c r="I35" s="836" t="s">
        <v>1814</v>
      </c>
      <c r="J35" s="837">
        <f ca="1">ROUND(C13*J36,0)</f>
        <v>11924</v>
      </c>
      <c r="K35" s="2062"/>
      <c r="L35" s="2061"/>
      <c r="M35" s="2061"/>
    </row>
    <row r="36" spans="1:18" ht="18" customHeight="1">
      <c r="A36" s="1633" t="s">
        <v>1889</v>
      </c>
      <c r="B36" s="783" t="s">
        <v>676</v>
      </c>
      <c r="C36" s="53">
        <f ca="1">ROUND(C29*F36,1)</f>
        <v>2168</v>
      </c>
      <c r="D36" s="3218" t="s">
        <v>691</v>
      </c>
      <c r="E36" s="783" t="s">
        <v>649</v>
      </c>
      <c r="F36" s="816">
        <f ca="1">INDIRECT("'数据-取费表'!Ak"&amp;$G$1)</f>
        <v>0.01</v>
      </c>
      <c r="G36" s="2046"/>
      <c r="H36" s="2061"/>
      <c r="I36" s="838" t="s">
        <v>1815</v>
      </c>
      <c r="J36" s="839">
        <f ca="1">INDIRECT("'数据-取费表'!j"&amp;$G$1)</f>
        <v>5.5E-2</v>
      </c>
      <c r="K36" s="2066"/>
      <c r="L36" s="2061"/>
      <c r="M36" s="2061"/>
    </row>
    <row r="37" spans="1:18" ht="18" customHeight="1">
      <c r="A37" s="1633" t="s">
        <v>1890</v>
      </c>
      <c r="B37" s="783" t="s">
        <v>679</v>
      </c>
      <c r="C37" s="53">
        <f ca="1">ROUND(C13*F37,1)</f>
        <v>216.8</v>
      </c>
      <c r="D37" s="3218" t="s">
        <v>1804</v>
      </c>
      <c r="E37" s="783" t="s">
        <v>649</v>
      </c>
      <c r="F37" s="817">
        <f ca="1">INDIRECT("'数据-取费表'!Al"&amp;$G$1)</f>
        <v>1E-3</v>
      </c>
      <c r="G37" s="2046"/>
      <c r="H37" s="2061"/>
      <c r="I37" s="840" t="s">
        <v>1816</v>
      </c>
      <c r="J37" s="841"/>
      <c r="K37" s="2066"/>
      <c r="L37" s="2061"/>
      <c r="M37" s="2061"/>
    </row>
    <row r="38" spans="1:18" ht="18" customHeight="1" thickBot="1">
      <c r="A38" s="2514" t="s">
        <v>1891</v>
      </c>
      <c r="B38" s="2509" t="s">
        <v>666</v>
      </c>
      <c r="C38" s="2507">
        <f ca="1">ROUND(C5*F38,1)</f>
        <v>204.5</v>
      </c>
      <c r="D38" s="2508" t="s">
        <v>1805</v>
      </c>
      <c r="E38" s="2509" t="s">
        <v>649</v>
      </c>
      <c r="F38" s="2505">
        <f ca="1">INDIRECT("'数据-取费表'!Am"&amp;$G$1)</f>
        <v>0.01</v>
      </c>
      <c r="G38" s="2046"/>
      <c r="H38" s="2061"/>
      <c r="I38" s="842" t="s">
        <v>1817</v>
      </c>
      <c r="J38" s="843"/>
      <c r="K38" s="2067"/>
      <c r="L38" s="2061"/>
      <c r="M38" s="2061"/>
    </row>
    <row r="39" spans="1:18" ht="24.6" customHeight="1" thickTop="1">
      <c r="A39" s="1813" t="s">
        <v>1776</v>
      </c>
      <c r="B39" s="2844" t="s">
        <v>2817</v>
      </c>
      <c r="C39" s="791">
        <f ca="1">C5-C30</f>
        <v>14946</v>
      </c>
      <c r="D39" s="2511" t="s">
        <v>1806</v>
      </c>
      <c r="E39" s="2512"/>
      <c r="F39" s="2513"/>
      <c r="G39" s="2046"/>
      <c r="H39" s="2061"/>
      <c r="I39" s="836" t="s">
        <v>1818</v>
      </c>
      <c r="J39" s="844">
        <f ca="1">ROUND(J35/C39,3)</f>
        <v>0.79800000000000004</v>
      </c>
      <c r="K39" s="2067"/>
      <c r="L39" s="2061"/>
      <c r="M39" s="2061"/>
    </row>
    <row r="40" spans="1:18" ht="18" customHeight="1">
      <c r="A40" s="780" t="s">
        <v>1780</v>
      </c>
      <c r="B40" s="2216" t="s">
        <v>2298</v>
      </c>
      <c r="C40" s="782">
        <f ca="1">ROUND(C39*(1-((1+F42)/(1+F40))^F41)/(F40-F42),0)</f>
        <v>0</v>
      </c>
      <c r="D40" s="813" t="s">
        <v>1807</v>
      </c>
      <c r="E40" s="783" t="s">
        <v>2416</v>
      </c>
      <c r="F40" s="793">
        <f ca="1">INDIRECT("'数据-取费表'!I"&amp;$G$1)</f>
        <v>0.04</v>
      </c>
      <c r="G40" s="2046"/>
      <c r="H40" s="2046"/>
      <c r="I40" s="836" t="s">
        <v>1819</v>
      </c>
      <c r="J40" s="844">
        <f ca="1">1-J39</f>
        <v>0.20199999999999996</v>
      </c>
      <c r="K40" s="2067"/>
      <c r="L40" s="2046"/>
      <c r="M40" s="2046"/>
    </row>
    <row r="41" spans="1:18" ht="18" customHeight="1">
      <c r="A41" s="785"/>
      <c r="B41" s="786"/>
      <c r="C41" s="787"/>
      <c r="D41" s="820" t="s">
        <v>1808</v>
      </c>
      <c r="E41" s="783" t="s">
        <v>708</v>
      </c>
      <c r="F41" s="821">
        <f ca="1">IF(INDIRECT("'数据-取费表'!af"&amp;$G$1)=0,INDIRECT("'数据-取费表'!ae"&amp;$G$1),INDIRECT("'数据-取费表'!af"&amp;$G$1))</f>
        <v>0</v>
      </c>
      <c r="G41" s="2046"/>
      <c r="H41" s="1972"/>
      <c r="I41" s="842" t="s">
        <v>1820</v>
      </c>
      <c r="J41" s="845"/>
      <c r="K41" s="2066"/>
      <c r="L41" s="1972"/>
      <c r="M41" s="1972"/>
    </row>
    <row r="42" spans="1:18" ht="18" customHeight="1">
      <c r="A42" s="789"/>
      <c r="B42" s="790"/>
      <c r="C42" s="791"/>
      <c r="D42" s="815"/>
      <c r="E42" s="783" t="s">
        <v>1809</v>
      </c>
      <c r="F42" s="793">
        <f ca="1">INDIRECT("'数据-取费表'!v"&amp;$G$1)</f>
        <v>0</v>
      </c>
      <c r="G42" s="2046"/>
      <c r="H42" s="1972"/>
      <c r="I42" s="846" t="s">
        <v>1821</v>
      </c>
      <c r="J42" s="844" t="e">
        <f ca="1">ROUND(C13/C40,3)</f>
        <v>#DIV/0!</v>
      </c>
      <c r="K42" s="2066"/>
      <c r="L42" s="1972"/>
      <c r="M42" s="1972"/>
    </row>
    <row r="43" spans="1:18" ht="18" customHeight="1" thickBot="1">
      <c r="A43" s="822" t="s">
        <v>1787</v>
      </c>
      <c r="B43" s="823" t="s">
        <v>1810</v>
      </c>
      <c r="C43" s="824">
        <f ca="1">ROUND(C40*10000/F43,0)</f>
        <v>0</v>
      </c>
      <c r="D43" s="825" t="s">
        <v>1811</v>
      </c>
      <c r="E43" s="826" t="s">
        <v>1812</v>
      </c>
      <c r="F43" s="827">
        <f ca="1">INDIRECT("'数据-取费表'!k"&amp;$G$1)</f>
        <v>415000</v>
      </c>
      <c r="G43" s="2046"/>
      <c r="H43" s="1972"/>
      <c r="I43" s="846" t="s">
        <v>1822</v>
      </c>
      <c r="J43" s="847" t="e">
        <f ca="1">1-J42</f>
        <v>#DIV/0!</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2292</v>
      </c>
      <c r="B46" s="2069"/>
      <c r="C46" s="2537">
        <f ca="1">C67-C40</f>
        <v>0</v>
      </c>
      <c r="D46" s="2069"/>
      <c r="E46" s="2069"/>
      <c r="F46" s="2069"/>
      <c r="I46" s="2341" t="s">
        <v>2340</v>
      </c>
      <c r="J46" s="2342"/>
      <c r="K46" s="2343"/>
      <c r="L46" s="2960" t="str">
        <f ca="1">IF(OR(M47="住宅",D1="土地（套用方法）"),0,IF(L48&gt;J51,L60,J60))</f>
        <v>0</v>
      </c>
      <c r="O46" s="2357" t="s">
        <v>2407</v>
      </c>
      <c r="P46" s="1577"/>
      <c r="Q46" s="1588"/>
      <c r="R46" s="1577"/>
    </row>
    <row r="47" spans="1:18" s="2043" customFormat="1" ht="18" customHeight="1" thickBot="1">
      <c r="A47" s="2335">
        <v>1</v>
      </c>
      <c r="B47" s="2336" t="s">
        <v>635</v>
      </c>
      <c r="C47" s="2537">
        <f ca="1">C48+C52+C54</f>
        <v>0</v>
      </c>
      <c r="D47" s="2069"/>
      <c r="E47" s="2069"/>
      <c r="F47" s="2069"/>
      <c r="I47" s="2951" t="s">
        <v>2341</v>
      </c>
      <c r="J47" s="2344" t="s">
        <v>3031</v>
      </c>
      <c r="K47" s="2957" t="s">
        <v>2346</v>
      </c>
      <c r="L47" s="2961">
        <f ca="1">INDIRECT("'数据-取费表'!d"&amp;$G$1)</f>
        <v>50</v>
      </c>
      <c r="M47" s="1588" t="str">
        <f>IF(ISNUMBER(FIND("住宅",C1)),"住宅","非住宅")</f>
        <v>非住宅</v>
      </c>
      <c r="O47" s="2358" t="s">
        <v>2372</v>
      </c>
      <c r="P47" s="2359" t="s">
        <v>2373</v>
      </c>
      <c r="Q47" s="2360" t="s">
        <v>2374</v>
      </c>
      <c r="R47" s="2359" t="s">
        <v>2375</v>
      </c>
    </row>
    <row r="48" spans="1:18" s="2043" customFormat="1" ht="18" customHeight="1" thickBot="1">
      <c r="A48" s="2605" t="s">
        <v>2514</v>
      </c>
      <c r="B48" s="2606" t="s">
        <v>2535</v>
      </c>
      <c r="C48" s="2337">
        <f ca="1">ROUND(F48*F50*F49*(1-F51)/10000,0)</f>
        <v>0</v>
      </c>
      <c r="D48" s="2338" t="s">
        <v>636</v>
      </c>
      <c r="E48" s="2339" t="s">
        <v>2293</v>
      </c>
      <c r="F48" s="2340"/>
      <c r="G48" s="2074"/>
      <c r="I48" s="2947" t="s">
        <v>2342</v>
      </c>
      <c r="J48" s="2345" t="s">
        <v>2347</v>
      </c>
      <c r="K48" s="2958" t="s">
        <v>2348</v>
      </c>
      <c r="L48" s="1892">
        <f ca="1">INDIRECT("'数据-取费表'!f"&amp;$G$1)</f>
        <v>50</v>
      </c>
      <c r="O48" s="2361" t="s">
        <v>2376</v>
      </c>
      <c r="P48" s="2362" t="s">
        <v>2402</v>
      </c>
      <c r="Q48" s="2363">
        <f ca="1">C40+J29</f>
        <v>0</v>
      </c>
      <c r="R48" s="2362" t="s">
        <v>2377</v>
      </c>
    </row>
    <row r="49" spans="1:18" s="2043" customFormat="1" ht="18" customHeight="1" thickBot="1">
      <c r="A49" s="785"/>
      <c r="B49" s="786"/>
      <c r="C49" s="787"/>
      <c r="D49" s="788"/>
      <c r="E49" s="783" t="s">
        <v>1739</v>
      </c>
      <c r="F49" s="784">
        <f ca="1">F7</f>
        <v>415000</v>
      </c>
      <c r="G49" s="2074"/>
      <c r="H49" s="2077"/>
      <c r="I49" s="2947" t="s">
        <v>2343</v>
      </c>
      <c r="J49" s="2346">
        <v>2020</v>
      </c>
      <c r="K49" s="2959" t="s">
        <v>2349</v>
      </c>
      <c r="L49" s="2347"/>
      <c r="O49" s="2361" t="s">
        <v>2378</v>
      </c>
      <c r="P49" s="2362" t="s">
        <v>2403</v>
      </c>
      <c r="Q49" s="2363" t="str">
        <f ca="1">J60</f>
        <v>0</v>
      </c>
      <c r="R49" s="2362" t="s">
        <v>2379</v>
      </c>
    </row>
    <row r="50" spans="1:18" s="2043" customFormat="1" ht="18" customHeight="1" thickBot="1">
      <c r="A50" s="785"/>
      <c r="B50" s="786"/>
      <c r="C50" s="787"/>
      <c r="D50" s="788"/>
      <c r="E50" s="783" t="s">
        <v>639</v>
      </c>
      <c r="F50" s="784">
        <f ca="1">F8</f>
        <v>365</v>
      </c>
      <c r="G50" s="2079"/>
      <c r="H50" s="2077"/>
      <c r="I50" s="2947" t="s">
        <v>2344</v>
      </c>
      <c r="J50" s="2955">
        <f>SUMPRODUCT((I63:I65=J47)*(J62:L62=J48)*(J63:L65))</f>
        <v>60</v>
      </c>
      <c r="K50" s="2959" t="s">
        <v>2350</v>
      </c>
      <c r="L50" s="2347"/>
      <c r="O50" s="2364" t="s">
        <v>2380</v>
      </c>
      <c r="P50" s="2362" t="s">
        <v>2404</v>
      </c>
      <c r="Q50" s="2363">
        <f ca="1">C29</f>
        <v>216804</v>
      </c>
      <c r="R50" s="2362" t="s">
        <v>2377</v>
      </c>
    </row>
    <row r="51" spans="1:18" s="2043" customFormat="1" ht="18" customHeight="1" thickBot="1">
      <c r="A51" s="785"/>
      <c r="B51" s="786"/>
      <c r="C51" s="787"/>
      <c r="D51" s="788"/>
      <c r="E51" s="783" t="s">
        <v>640</v>
      </c>
      <c r="F51" s="2334"/>
      <c r="H51" s="2077"/>
      <c r="I51" s="2952" t="s">
        <v>2345</v>
      </c>
      <c r="J51" s="2956">
        <f>IF(J49="",J50,J49+J50-YEAR('数据-取费表'!B2))</f>
        <v>60</v>
      </c>
      <c r="K51" s="2947" t="s">
        <v>2351</v>
      </c>
      <c r="L51" s="2962">
        <f ca="1">ROUND(-PV(INDIRECT("'数据-取费表'!h"&amp;$G$1),J51,(C39-C13*J36),0),0)</f>
        <v>68363</v>
      </c>
      <c r="O51" s="2364" t="s">
        <v>2381</v>
      </c>
      <c r="P51" s="2362" t="s">
        <v>2382</v>
      </c>
      <c r="Q51" s="2365" t="e">
        <f ca="1">J58</f>
        <v>#VALUE!</v>
      </c>
      <c r="R51" s="2366"/>
    </row>
    <row r="52" spans="1:18" s="2043" customFormat="1" ht="18" customHeight="1" thickBot="1">
      <c r="A52" s="780" t="s">
        <v>2533</v>
      </c>
      <c r="B52" s="2457" t="s">
        <v>2456</v>
      </c>
      <c r="C52" s="798">
        <f ca="1">ROUND(IF(F52="押一",C48/12*F11,IF(F52="押二",C48/12*2*F11,IF(F52="押三",C48/12*3*F11,C53*F11))),0)</f>
        <v>0</v>
      </c>
      <c r="D52" s="2464" t="s">
        <v>2970</v>
      </c>
      <c r="E52" s="2461" t="s">
        <v>2461</v>
      </c>
      <c r="F52" s="2584"/>
      <c r="I52" s="2953" t="s">
        <v>2418</v>
      </c>
      <c r="J52" s="2348"/>
      <c r="K52" s="2953" t="s">
        <v>2417</v>
      </c>
      <c r="L52" s="2348"/>
      <c r="O52" s="2364" t="s">
        <v>2383</v>
      </c>
      <c r="P52" s="2362" t="s">
        <v>2384</v>
      </c>
      <c r="Q52" s="2365">
        <f>J52</f>
        <v>0</v>
      </c>
      <c r="R52" s="2366"/>
    </row>
    <row r="53" spans="1:18" s="2043" customFormat="1" ht="39.75" customHeight="1" thickBot="1">
      <c r="A53" s="785"/>
      <c r="B53" s="2458" t="s">
        <v>2570</v>
      </c>
      <c r="C53" s="2462"/>
      <c r="D53" s="2464"/>
      <c r="E53" s="2461"/>
      <c r="F53" s="799"/>
      <c r="I53" s="2954" t="s">
        <v>2974</v>
      </c>
      <c r="J53" s="3032">
        <f ca="1">IF(M47="住宅",MAX(J51,L48),MIN(J51,L48))</f>
        <v>50</v>
      </c>
      <c r="K53" s="3559" t="s">
        <v>2962</v>
      </c>
      <c r="L53" s="3560"/>
      <c r="O53" s="2364" t="s">
        <v>2385</v>
      </c>
      <c r="P53" s="2362" t="s">
        <v>2386</v>
      </c>
      <c r="Q53" s="2363">
        <f ca="1">J53</f>
        <v>50</v>
      </c>
      <c r="R53" s="2362" t="s">
        <v>2387</v>
      </c>
    </row>
    <row r="54" spans="1:18" s="2043" customFormat="1" ht="18" customHeight="1" thickBot="1">
      <c r="A54" s="2500" t="s">
        <v>2464</v>
      </c>
      <c r="B54" s="2501" t="s">
        <v>2457</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2388</v>
      </c>
      <c r="P54" s="2362" t="s">
        <v>2405</v>
      </c>
      <c r="Q54" s="2363">
        <f ca="1">Q48+Q49</f>
        <v>0</v>
      </c>
      <c r="R54" s="2366" t="s">
        <v>2389</v>
      </c>
    </row>
    <row r="55" spans="1:18" s="2043" customFormat="1" ht="18" customHeight="1" thickTop="1" thickBot="1">
      <c r="A55" s="796">
        <v>2</v>
      </c>
      <c r="B55" s="797" t="s">
        <v>644</v>
      </c>
      <c r="C55" s="798">
        <f ca="1">C13</f>
        <v>216804</v>
      </c>
      <c r="D55" s="794"/>
      <c r="E55" s="794"/>
      <c r="F55" s="799"/>
      <c r="I55" s="2965" t="s">
        <v>2352</v>
      </c>
      <c r="J55" s="2929" t="e">
        <f ca="1">ROUND(IF(J47="钢混",J57/J50,1-(1-2%)*(J50-J57)/J50),3)</f>
        <v>#VALUE!</v>
      </c>
      <c r="K55" s="2966" t="s">
        <v>2353</v>
      </c>
      <c r="L55" s="2349"/>
      <c r="O55" s="2367" t="s">
        <v>2408</v>
      </c>
      <c r="P55" s="1577"/>
      <c r="Q55" s="1588"/>
      <c r="R55" s="1577"/>
    </row>
    <row r="56" spans="1:18" s="2043" customFormat="1" ht="42.75" customHeight="1" thickBot="1">
      <c r="A56" s="1634"/>
      <c r="B56" s="2215" t="s">
        <v>2297</v>
      </c>
      <c r="C56" s="53">
        <f ca="1">C29</f>
        <v>216804</v>
      </c>
      <c r="D56" s="3218"/>
      <c r="E56" s="783"/>
      <c r="F56" s="808"/>
      <c r="I56" s="2967" t="s">
        <v>2354</v>
      </c>
      <c r="J56" s="2977" t="s">
        <v>1678</v>
      </c>
      <c r="K56" s="2947" t="s">
        <v>2359</v>
      </c>
      <c r="L56" s="1892" t="str">
        <f ca="1">IF(L48&lt;J51,"——",L48-J51)</f>
        <v>——</v>
      </c>
      <c r="O56" s="2358" t="s">
        <v>2372</v>
      </c>
      <c r="P56" s="2359" t="s">
        <v>2373</v>
      </c>
      <c r="Q56" s="2360" t="s">
        <v>2374</v>
      </c>
      <c r="R56" s="2359" t="s">
        <v>2375</v>
      </c>
    </row>
    <row r="57" spans="1:18" s="2043" customFormat="1" ht="28.5" customHeight="1" thickBot="1">
      <c r="A57" s="796" t="s">
        <v>1748</v>
      </c>
      <c r="B57" s="797" t="s">
        <v>651</v>
      </c>
      <c r="C57" s="798">
        <f ca="1">ROUND(C58+C63+C64+C65,0)</f>
        <v>4227</v>
      </c>
      <c r="D57" s="26" t="s">
        <v>652</v>
      </c>
      <c r="E57" s="3224"/>
      <c r="F57" s="56"/>
      <c r="I57" s="2968" t="s">
        <v>2355</v>
      </c>
      <c r="J57" s="2969" t="str">
        <f ca="1">IF(OR(M47="住宅",J51&lt;L48,J56="是"),"——",J51-L48)</f>
        <v>——</v>
      </c>
      <c r="K57" s="2947" t="s">
        <v>2360</v>
      </c>
      <c r="L57" s="1892" t="str">
        <f ca="1">IF(L48&lt;J51,"——",IF(L55="比较法",L49,IF(L55="基准地价",L50,L51)))</f>
        <v>——</v>
      </c>
      <c r="O57" s="2361" t="s">
        <v>2376</v>
      </c>
      <c r="P57" s="2362" t="s">
        <v>2402</v>
      </c>
      <c r="Q57" s="2363">
        <f ca="1">C40+J29</f>
        <v>0</v>
      </c>
      <c r="R57" s="2362" t="s">
        <v>2377</v>
      </c>
    </row>
    <row r="58" spans="1:18" s="2043" customFormat="1" ht="28.5" customHeight="1" thickBot="1">
      <c r="A58" s="1633" t="s">
        <v>1824</v>
      </c>
      <c r="B58" s="783" t="s">
        <v>656</v>
      </c>
      <c r="C58" s="53">
        <f ca="1">ROUND(IF(项目基本情况!B11="自然人",C47*F58,C59+C60+C61),1)</f>
        <v>1842.4</v>
      </c>
      <c r="D58" s="3219" t="s">
        <v>657</v>
      </c>
      <c r="E58" s="3218" t="s">
        <v>690</v>
      </c>
      <c r="F58" s="809" t="str">
        <f ca="1">IF(项目基本情况!B11="企业","",IF(INDIRECT("'数据-取费表'!c"&amp;$G$1)="住宅",5%,IF(F48*F49*F50/12/(1+'数据-取费表'!C42)&gt;20000,12%,7%)))</f>
        <v/>
      </c>
      <c r="I58" s="2968" t="s">
        <v>2356</v>
      </c>
      <c r="J58" s="2930" t="e">
        <f ca="1">IF(J55&lt;0.4,0.4,J55)</f>
        <v>#VALUE!</v>
      </c>
      <c r="K58" s="2947" t="s">
        <v>2361</v>
      </c>
      <c r="L58" s="1892" t="e">
        <f ca="1">ROUND(POWER(1+L52,L47-L48)*(POWER(1+L52,L48)-1)/(POWER(1+L52,L47)-1),4)</f>
        <v>#DIV/0!</v>
      </c>
      <c r="O58" s="2361" t="s">
        <v>2378</v>
      </c>
      <c r="P58" s="2362" t="s">
        <v>2409</v>
      </c>
      <c r="Q58" s="2363">
        <f ca="1">L60</f>
        <v>0</v>
      </c>
      <c r="R58" s="2366" t="s">
        <v>2411</v>
      </c>
    </row>
    <row r="59" spans="1:18" s="2043" customFormat="1" ht="28.5" customHeight="1" thickBot="1">
      <c r="A59" s="1632" t="s">
        <v>1831</v>
      </c>
      <c r="B59" s="783" t="s">
        <v>660</v>
      </c>
      <c r="C59" s="53">
        <f ca="1">ROUND(C47*F59/1.05,1)</f>
        <v>0</v>
      </c>
      <c r="D59" s="3218" t="s">
        <v>661</v>
      </c>
      <c r="E59" s="783" t="s">
        <v>1747</v>
      </c>
      <c r="F59" s="808">
        <f t="shared" ref="F59:F65" si="0">F32</f>
        <v>5.5000000000000007E-2</v>
      </c>
      <c r="I59" s="2968" t="s">
        <v>2357</v>
      </c>
      <c r="J59" s="2969" t="str">
        <f ca="1">IF(OR(M47="住宅",J51&lt;L48,J56="是"),"——",ROUND(C29*J58,0))</f>
        <v>——</v>
      </c>
      <c r="K59" s="2947"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2380</v>
      </c>
      <c r="P59" s="2362" t="s">
        <v>2410</v>
      </c>
      <c r="Q59" s="2363">
        <f>IF(L55="比较法",L49,IF(L55="基准地价",L50,0))</f>
        <v>0</v>
      </c>
      <c r="R59" s="2362" t="s">
        <v>2377</v>
      </c>
    </row>
    <row r="60" spans="1:18" s="2043" customFormat="1" ht="18" customHeight="1" thickBot="1">
      <c r="A60" s="1632" t="s">
        <v>1832</v>
      </c>
      <c r="B60" s="783" t="s">
        <v>1758</v>
      </c>
      <c r="C60" s="53">
        <f ca="1">IF(D60="按租金收入计税",ROUND(C47*F60,1),IF(D60="按房产原值计税",ROUND(C56*F60*0.7,1),INDIRECT("'数据-取费表'!Aj"&amp;$G$1)))</f>
        <v>1821.2</v>
      </c>
      <c r="D60" s="3218" t="str">
        <f>D33</f>
        <v>按房产原值计税</v>
      </c>
      <c r="E60" s="783" t="s">
        <v>1747</v>
      </c>
      <c r="F60" s="808">
        <f t="shared" si="0"/>
        <v>1.2E-2</v>
      </c>
      <c r="I60" s="2970" t="s">
        <v>2358</v>
      </c>
      <c r="J60" s="2971" t="str">
        <f ca="1">IF(OR(M47="住宅",J51&lt;L48,J56="是"),"0",ROUND(J59/(1+J52)^J53,0))</f>
        <v>0</v>
      </c>
      <c r="K60" s="2972" t="s">
        <v>2363</v>
      </c>
      <c r="L60" s="2971">
        <f ca="1">IF(OR(M47="住宅",L48&lt;J51),0,ROUND(L57*(L58/L59-1),0))</f>
        <v>0</v>
      </c>
      <c r="O60" s="2364" t="s">
        <v>2381</v>
      </c>
      <c r="P60" s="2362" t="s">
        <v>2390</v>
      </c>
      <c r="Q60" s="2365">
        <f>L52</f>
        <v>0</v>
      </c>
      <c r="R60" s="2366"/>
    </row>
    <row r="61" spans="1:18" s="2043" customFormat="1" ht="18" customHeight="1" thickBot="1">
      <c r="A61" s="1635" t="s">
        <v>1833</v>
      </c>
      <c r="B61" s="340" t="s">
        <v>668</v>
      </c>
      <c r="C61" s="54">
        <f ca="1">ROUND(F61*F62/10000,1)</f>
        <v>21.2</v>
      </c>
      <c r="D61" s="813" t="s">
        <v>669</v>
      </c>
      <c r="E61" s="783" t="s">
        <v>670</v>
      </c>
      <c r="F61" s="639">
        <f t="shared" si="0"/>
        <v>1.5</v>
      </c>
      <c r="K61" s="2070"/>
      <c r="O61" s="2364" t="s">
        <v>2383</v>
      </c>
      <c r="P61" s="2362" t="s">
        <v>2391</v>
      </c>
      <c r="Q61" s="2363" t="e">
        <f ca="1">L58</f>
        <v>#DIV/0!</v>
      </c>
      <c r="R61" s="2366" t="s">
        <v>2392</v>
      </c>
    </row>
    <row r="62" spans="1:18" s="2043" customFormat="1" ht="15.75" thickBot="1">
      <c r="A62" s="814"/>
      <c r="B62" s="792"/>
      <c r="C62" s="69"/>
      <c r="D62" s="815"/>
      <c r="E62" s="783" t="s">
        <v>674</v>
      </c>
      <c r="F62" s="784">
        <f t="shared" ca="1" si="0"/>
        <v>141207.44</v>
      </c>
      <c r="I62" s="2973" t="s">
        <v>2364</v>
      </c>
      <c r="J62" s="2974" t="s">
        <v>2365</v>
      </c>
      <c r="K62" s="2974" t="s">
        <v>2366</v>
      </c>
      <c r="L62" s="2974" t="s">
        <v>2347</v>
      </c>
      <c r="M62" s="2975" t="s">
        <v>2939</v>
      </c>
      <c r="O62" s="2364" t="s">
        <v>2385</v>
      </c>
      <c r="P62" s="2362" t="str">
        <f>K59</f>
        <v>建筑物剩余耐用年限下的土地年期修正系数Kn</v>
      </c>
      <c r="Q62" s="2363" t="e">
        <f ca="1">L59</f>
        <v>#DIV/0!</v>
      </c>
      <c r="R62" s="2366" t="s">
        <v>2394</v>
      </c>
    </row>
    <row r="63" spans="1:18" s="2043" customFormat="1" ht="15.75" thickBot="1">
      <c r="A63" s="1633" t="s">
        <v>1889</v>
      </c>
      <c r="B63" s="783" t="s">
        <v>676</v>
      </c>
      <c r="C63" s="53">
        <f ca="1">ROUND(C56*F63,1)</f>
        <v>2168</v>
      </c>
      <c r="D63" s="3218" t="s">
        <v>691</v>
      </c>
      <c r="E63" s="783" t="s">
        <v>1747</v>
      </c>
      <c r="F63" s="816">
        <f t="shared" ca="1" si="0"/>
        <v>0.01</v>
      </c>
      <c r="I63" s="2973" t="s">
        <v>2367</v>
      </c>
      <c r="J63" s="2974">
        <v>70</v>
      </c>
      <c r="K63" s="2974">
        <v>50</v>
      </c>
      <c r="L63" s="2974">
        <v>80</v>
      </c>
      <c r="M63" s="2976">
        <v>0.02</v>
      </c>
      <c r="O63" s="2361" t="s">
        <v>2388</v>
      </c>
      <c r="P63" s="2362" t="s">
        <v>2405</v>
      </c>
      <c r="Q63" s="2363">
        <f ca="1">Q57+Q58</f>
        <v>0</v>
      </c>
      <c r="R63" s="2366" t="s">
        <v>2389</v>
      </c>
    </row>
    <row r="64" spans="1:18" s="2043" customFormat="1" ht="16.5" thickBot="1">
      <c r="A64" s="1633" t="s">
        <v>1890</v>
      </c>
      <c r="B64" s="783" t="s">
        <v>679</v>
      </c>
      <c r="C64" s="53">
        <f ca="1">ROUND(C55*F64,1)</f>
        <v>216.8</v>
      </c>
      <c r="D64" s="3218" t="s">
        <v>680</v>
      </c>
      <c r="E64" s="783" t="s">
        <v>1747</v>
      </c>
      <c r="F64" s="817">
        <f t="shared" ca="1" si="0"/>
        <v>1E-3</v>
      </c>
      <c r="I64" s="2973" t="s">
        <v>2368</v>
      </c>
      <c r="J64" s="2974">
        <v>50</v>
      </c>
      <c r="K64" s="2974">
        <v>35</v>
      </c>
      <c r="L64" s="2974">
        <v>60</v>
      </c>
      <c r="M64" s="845">
        <v>0</v>
      </c>
      <c r="O64" s="2367" t="s">
        <v>2412</v>
      </c>
      <c r="P64" s="1577"/>
      <c r="Q64" s="1588"/>
      <c r="R64" s="1577"/>
    </row>
    <row r="65" spans="1:18" s="2043" customFormat="1" ht="15.75" thickBot="1">
      <c r="A65" s="1633" t="s">
        <v>1891</v>
      </c>
      <c r="B65" s="783" t="s">
        <v>666</v>
      </c>
      <c r="C65" s="53">
        <f ca="1">ROUND(C47*F65,1)</f>
        <v>0</v>
      </c>
      <c r="D65" s="3218" t="s">
        <v>683</v>
      </c>
      <c r="E65" s="783" t="s">
        <v>1747</v>
      </c>
      <c r="F65" s="793">
        <f t="shared" ca="1" si="0"/>
        <v>0.01</v>
      </c>
      <c r="I65" s="2973" t="s">
        <v>2369</v>
      </c>
      <c r="J65" s="2974">
        <v>40</v>
      </c>
      <c r="K65" s="2974">
        <v>30</v>
      </c>
      <c r="L65" s="2974">
        <v>50</v>
      </c>
      <c r="M65" s="2976">
        <v>0.02</v>
      </c>
      <c r="O65" s="2358" t="s">
        <v>2372</v>
      </c>
      <c r="P65" s="2359" t="s">
        <v>2373</v>
      </c>
      <c r="Q65" s="2360" t="s">
        <v>2374</v>
      </c>
      <c r="R65" s="2359" t="s">
        <v>2375</v>
      </c>
    </row>
    <row r="66" spans="1:18" s="2043" customFormat="1" ht="24.75" thickBot="1">
      <c r="A66" s="796" t="s">
        <v>1776</v>
      </c>
      <c r="B66" s="2845" t="s">
        <v>2817</v>
      </c>
      <c r="C66" s="798">
        <f ca="1">C47-C57</f>
        <v>-4227</v>
      </c>
      <c r="D66" s="3219" t="s">
        <v>700</v>
      </c>
      <c r="E66" s="3223"/>
      <c r="F66" s="819"/>
      <c r="K66" s="2070"/>
      <c r="O66" s="2361" t="s">
        <v>2376</v>
      </c>
      <c r="P66" s="2362" t="s">
        <v>2402</v>
      </c>
      <c r="Q66" s="2363">
        <f ca="1">C40+J29</f>
        <v>0</v>
      </c>
      <c r="R66" s="2362" t="s">
        <v>2377</v>
      </c>
    </row>
    <row r="67" spans="1:18" s="2043" customFormat="1" ht="20.25" thickBot="1">
      <c r="A67" s="780" t="s">
        <v>1780</v>
      </c>
      <c r="B67" s="2216" t="s">
        <v>2298</v>
      </c>
      <c r="C67" s="782">
        <f ca="1">ROUND(C66*(1-((1+F69)/(1+F67))^F68)/(F67-F69),0)</f>
        <v>0</v>
      </c>
      <c r="D67" s="813" t="s">
        <v>704</v>
      </c>
      <c r="E67" s="783" t="s">
        <v>705</v>
      </c>
      <c r="F67" s="793">
        <f ca="1">F40</f>
        <v>0.04</v>
      </c>
      <c r="K67" s="2070"/>
      <c r="O67" s="2361" t="s">
        <v>2378</v>
      </c>
      <c r="P67" s="2362" t="s">
        <v>2409</v>
      </c>
      <c r="Q67" s="2363">
        <f ca="1">L60</f>
        <v>0</v>
      </c>
      <c r="R67" s="2366" t="s">
        <v>2411</v>
      </c>
    </row>
    <row r="68" spans="1:18" ht="21.75" thickBot="1">
      <c r="A68" s="785"/>
      <c r="B68" s="786"/>
      <c r="C68" s="787"/>
      <c r="D68" s="820" t="s">
        <v>1808</v>
      </c>
      <c r="E68" s="783" t="s">
        <v>1784</v>
      </c>
      <c r="F68" s="821">
        <f ca="1">F41</f>
        <v>0</v>
      </c>
      <c r="O68" s="2364" t="s">
        <v>2380</v>
      </c>
      <c r="P68" s="2362" t="s">
        <v>2410</v>
      </c>
      <c r="Q68" s="2368">
        <f ca="1">L51</f>
        <v>68363</v>
      </c>
      <c r="R68" s="2369" t="s">
        <v>2413</v>
      </c>
    </row>
    <row r="69" spans="1:18" ht="20.25" thickBot="1">
      <c r="A69" s="789"/>
      <c r="B69" s="790"/>
      <c r="C69" s="791"/>
      <c r="D69" s="815"/>
      <c r="E69" s="783" t="s">
        <v>710</v>
      </c>
      <c r="F69" s="2334"/>
      <c r="O69" s="2364" t="s">
        <v>2381</v>
      </c>
      <c r="P69" s="2370" t="s">
        <v>2395</v>
      </c>
      <c r="Q69" s="2363">
        <f ca="1">ROUND(Q70-Q71*Q72,0)</f>
        <v>3022</v>
      </c>
      <c r="R69" s="2366"/>
    </row>
    <row r="70" spans="1:18" ht="15.75" thickBot="1">
      <c r="A70" s="822" t="s">
        <v>1787</v>
      </c>
      <c r="B70" s="823" t="s">
        <v>1810</v>
      </c>
      <c r="C70" s="824">
        <f ca="1">ROUND(C67*10000/F70,0)</f>
        <v>0</v>
      </c>
      <c r="D70" s="825" t="s">
        <v>1811</v>
      </c>
      <c r="E70" s="826" t="s">
        <v>1812</v>
      </c>
      <c r="F70" s="827">
        <f ca="1">F43</f>
        <v>415000</v>
      </c>
      <c r="O70" s="2364" t="s">
        <v>2396</v>
      </c>
      <c r="P70" s="2370" t="s">
        <v>2397</v>
      </c>
      <c r="Q70" s="2363">
        <f ca="1">C39</f>
        <v>14946</v>
      </c>
      <c r="R70" s="2362" t="s">
        <v>2377</v>
      </c>
    </row>
    <row r="71" spans="1:18" ht="15.75" thickBot="1">
      <c r="O71" s="2364" t="s">
        <v>2398</v>
      </c>
      <c r="P71" s="2370" t="s">
        <v>2399</v>
      </c>
      <c r="Q71" s="2363">
        <f ca="1">C13</f>
        <v>216804</v>
      </c>
      <c r="R71" s="2362" t="s">
        <v>2377</v>
      </c>
    </row>
    <row r="72" spans="1:18" ht="15.75" thickBot="1">
      <c r="O72" s="2364" t="s">
        <v>2400</v>
      </c>
      <c r="P72" s="2370" t="s">
        <v>2401</v>
      </c>
      <c r="Q72" s="2365">
        <f ca="1">J36</f>
        <v>5.5E-2</v>
      </c>
      <c r="R72" s="2366"/>
    </row>
    <row r="73" spans="1:18" ht="15.75" thickBot="1">
      <c r="O73" s="2364" t="s">
        <v>2383</v>
      </c>
      <c r="P73" s="2362" t="s">
        <v>2390</v>
      </c>
      <c r="Q73" s="2365">
        <f>L52</f>
        <v>0</v>
      </c>
      <c r="R73" s="2366"/>
    </row>
    <row r="74" spans="1:18" ht="20.25" thickBot="1">
      <c r="O74" s="2364" t="s">
        <v>2385</v>
      </c>
      <c r="P74" s="2362" t="s">
        <v>2391</v>
      </c>
      <c r="Q74" s="2363" t="e">
        <f ca="1">L58</f>
        <v>#DIV/0!</v>
      </c>
      <c r="R74" s="2366" t="s">
        <v>2392</v>
      </c>
    </row>
    <row r="75" spans="1:18" ht="15.75" thickBot="1">
      <c r="O75" s="2364" t="s">
        <v>2414</v>
      </c>
      <c r="P75" s="2362" t="str">
        <f>K59</f>
        <v>建筑物剩余耐用年限下的土地年期修正系数Kn</v>
      </c>
      <c r="Q75" s="2363" t="e">
        <f ca="1">L59</f>
        <v>#DIV/0!</v>
      </c>
      <c r="R75" s="2366" t="s">
        <v>2394</v>
      </c>
    </row>
    <row r="76" spans="1:18" ht="15.75" thickBot="1">
      <c r="O76" s="2361" t="s">
        <v>2388</v>
      </c>
      <c r="P76" s="2362" t="s">
        <v>2405</v>
      </c>
      <c r="Q76" s="2363">
        <f ca="1">Q66+Q67</f>
        <v>0</v>
      </c>
      <c r="R76" s="2366"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27" priority="6">
      <formula>$L$48&gt;$J$51</formula>
    </cfRule>
  </conditionalFormatting>
  <conditionalFormatting sqref="I55">
    <cfRule type="expression" dxfId="26" priority="7">
      <formula>$J$51&gt;$L$48</formula>
    </cfRule>
  </conditionalFormatting>
  <conditionalFormatting sqref="I60">
    <cfRule type="expression" dxfId="25" priority="5">
      <formula>$J$51&gt;$L$48</formula>
    </cfRule>
  </conditionalFormatting>
  <conditionalFormatting sqref="K60">
    <cfRule type="expression" dxfId="24" priority="4">
      <formula>$L$48&gt;$J$51</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3">
    <cfRule type="expression" dxfId="2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70" t="s">
        <v>2036</v>
      </c>
      <c r="B1" s="3270"/>
      <c r="C1" s="3270"/>
      <c r="D1" s="3270"/>
      <c r="E1" s="3270"/>
      <c r="F1" s="3270"/>
      <c r="G1" s="3270"/>
      <c r="H1" s="3270"/>
      <c r="I1" s="3270"/>
      <c r="J1" s="3270"/>
      <c r="K1" s="3270"/>
      <c r="L1" s="3270"/>
      <c r="M1" s="3270"/>
      <c r="N1" s="3270"/>
      <c r="O1" s="3270"/>
      <c r="P1" s="3270"/>
      <c r="Q1" s="3270"/>
      <c r="R1" s="3270"/>
    </row>
    <row r="2" spans="1:18">
      <c r="A2" s="1791" t="s">
        <v>2038</v>
      </c>
      <c r="B2" s="1791"/>
      <c r="C2" s="1791"/>
      <c r="D2" s="1791"/>
      <c r="E2" s="1791"/>
      <c r="F2" s="1791"/>
      <c r="G2" s="1791"/>
      <c r="H2" s="1791"/>
      <c r="I2" s="1792"/>
      <c r="J2" s="1792"/>
      <c r="K2" s="1793" t="str">
        <f>"估价期日："&amp;TEXT(项目基本情况!D3,"yyyy年m月d日;;")</f>
        <v>估价期日：2020年9月4日</v>
      </c>
      <c r="L2" s="1791"/>
      <c r="M2" s="1791"/>
      <c r="N2" s="1791"/>
      <c r="O2" s="1791"/>
      <c r="P2" s="1791"/>
      <c r="Q2" s="1791"/>
      <c r="R2" s="1793" t="str">
        <f>"估价期日的国有建设用地使用权性质："&amp;项目基本情况!B16</f>
        <v>估价期日的国有建设用地使用权性质：划拨</v>
      </c>
    </row>
    <row r="3" spans="1:18" ht="23.25" customHeight="1">
      <c r="A3" s="3271" t="s">
        <v>2027</v>
      </c>
      <c r="B3" s="3271" t="s">
        <v>2727</v>
      </c>
      <c r="C3" s="3272" t="s">
        <v>2028</v>
      </c>
      <c r="D3" s="3271" t="s">
        <v>2731</v>
      </c>
      <c r="E3" s="3274" t="s">
        <v>2029</v>
      </c>
      <c r="F3" s="3274"/>
      <c r="G3" s="3274"/>
      <c r="H3" s="3274" t="s">
        <v>2030</v>
      </c>
      <c r="I3" s="3274"/>
      <c r="J3" s="3274"/>
      <c r="K3" s="3272" t="s">
        <v>2031</v>
      </c>
      <c r="L3" s="3272" t="s">
        <v>2032</v>
      </c>
      <c r="M3" s="3271" t="s">
        <v>2728</v>
      </c>
      <c r="N3" s="3273" t="str">
        <f>"（分摊）"&amp;项目基本情况!B16&amp;"国有建设用地使用权面积/㎡"</f>
        <v>（分摊）划拨国有建设用地使用权面积/㎡</v>
      </c>
      <c r="O3" s="3271" t="s">
        <v>2061</v>
      </c>
      <c r="P3" s="3272" t="s">
        <v>2041</v>
      </c>
      <c r="Q3" s="3272" t="s">
        <v>2062</v>
      </c>
      <c r="R3" s="3272" t="s">
        <v>2033</v>
      </c>
    </row>
    <row r="4" spans="1:18" ht="36.75" customHeight="1">
      <c r="A4" s="3271"/>
      <c r="B4" s="3271"/>
      <c r="C4" s="3272"/>
      <c r="D4" s="3271"/>
      <c r="E4" s="2612" t="s">
        <v>2040</v>
      </c>
      <c r="F4" s="2612" t="s">
        <v>2740</v>
      </c>
      <c r="G4" s="2612" t="s">
        <v>2034</v>
      </c>
      <c r="H4" s="2612" t="s">
        <v>2035</v>
      </c>
      <c r="I4" s="2612" t="s">
        <v>2741</v>
      </c>
      <c r="J4" s="2612" t="s">
        <v>2034</v>
      </c>
      <c r="K4" s="3272"/>
      <c r="L4" s="3272"/>
      <c r="M4" s="3271"/>
      <c r="N4" s="3273"/>
      <c r="O4" s="3271"/>
      <c r="P4" s="3272"/>
      <c r="Q4" s="3272"/>
      <c r="R4" s="3272"/>
    </row>
    <row r="5" spans="1:18" ht="135" customHeight="1">
      <c r="A5" s="1927" t="s">
        <v>2651</v>
      </c>
      <c r="B5" s="2705" t="s">
        <v>2649</v>
      </c>
      <c r="C5" s="2611">
        <v>22</v>
      </c>
      <c r="D5" s="2610" t="s">
        <v>2650</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t="str">
        <f>IF(项目基本情况!B16="出让",项目基本情况!D20,"——")</f>
        <v>——</v>
      </c>
      <c r="N5" s="1794">
        <f>项目基本情况!C22</f>
        <v>798900</v>
      </c>
      <c r="O5" s="1794">
        <f>项目基本情况!C21</f>
        <v>2347917.9900000002</v>
      </c>
      <c r="P5" s="1794" t="e">
        <f ca="1">结果表!E42</f>
        <v>#REF!</v>
      </c>
      <c r="Q5" s="1794" t="e">
        <f ca="1">结果表!D42</f>
        <v>#REF!</v>
      </c>
      <c r="R5" s="1795" t="e">
        <f ca="1">结果表!C42</f>
        <v>#REF!</v>
      </c>
    </row>
    <row r="6" spans="1:18">
      <c r="A6" s="3267" t="str">
        <f>IF(项目基本情况!B9="市场价格","——","抵押价格")</f>
        <v>——</v>
      </c>
      <c r="B6" s="3268"/>
      <c r="C6" s="3268"/>
      <c r="D6" s="3268"/>
      <c r="E6" s="3268"/>
      <c r="F6" s="3268"/>
      <c r="G6" s="3268"/>
      <c r="H6" s="3268"/>
      <c r="I6" s="3268"/>
      <c r="J6" s="3268"/>
      <c r="K6" s="3268"/>
      <c r="L6" s="3268"/>
      <c r="M6" s="3268"/>
      <c r="N6" s="3268"/>
      <c r="O6" s="3268"/>
      <c r="P6" s="3268"/>
      <c r="Q6" s="3269"/>
      <c r="R6" s="1796" t="str">
        <f>结果表!O39</f>
        <v>——</v>
      </c>
    </row>
    <row r="7" spans="1:18">
      <c r="A7" s="3267" t="str">
        <f>IF(项目基本情况!B9="市场价格","——",IF(项目基本情况!E8="已注销及未注销","抵押担保权已注销时的抵押价格","——"))</f>
        <v>——</v>
      </c>
      <c r="B7" s="3268"/>
      <c r="C7" s="3268"/>
      <c r="D7" s="3268"/>
      <c r="E7" s="3268"/>
      <c r="F7" s="3268"/>
      <c r="G7" s="3268"/>
      <c r="H7" s="3268"/>
      <c r="I7" s="3268"/>
      <c r="J7" s="3268"/>
      <c r="K7" s="3268"/>
      <c r="L7" s="3268"/>
      <c r="M7" s="3268"/>
      <c r="N7" s="3268"/>
      <c r="O7" s="3268"/>
      <c r="P7" s="3268"/>
      <c r="Q7" s="3269"/>
      <c r="R7" s="1796" t="str">
        <f>结果表!O40</f>
        <v>——</v>
      </c>
    </row>
    <row r="8" spans="1:18">
      <c r="A8" s="3267" t="str">
        <f>IF(项目基本情况!B9="市场价格","——",项目基本情况!E9)</f>
        <v>——</v>
      </c>
      <c r="B8" s="3268"/>
      <c r="C8" s="3268"/>
      <c r="D8" s="3268"/>
      <c r="E8" s="3268"/>
      <c r="F8" s="3268"/>
      <c r="G8" s="3268"/>
      <c r="H8" s="3268"/>
      <c r="I8" s="3268"/>
      <c r="J8" s="3268"/>
      <c r="K8" s="3268"/>
      <c r="L8" s="3268"/>
      <c r="M8" s="3268"/>
      <c r="N8" s="3268"/>
      <c r="O8" s="3268"/>
      <c r="P8" s="3268"/>
      <c r="Q8" s="3269"/>
      <c r="R8" s="1796" t="str">
        <f>结果表!O41</f>
        <v>——</v>
      </c>
    </row>
    <row r="9" spans="1:18">
      <c r="A9" s="1797" t="s">
        <v>2039</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2026</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4" workbookViewId="0">
      <selection activeCell="A80" sqref="A80"/>
    </sheetView>
  </sheetViews>
  <sheetFormatPr defaultRowHeight="13.5"/>
  <sheetData/>
  <phoneticPr fontId="228"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G33" sqref="G33"/>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647" t="s">
        <v>3080</v>
      </c>
      <c r="C1" s="2088"/>
      <c r="D1" s="2088"/>
      <c r="E1" s="2088"/>
      <c r="F1" s="2088"/>
      <c r="G1" s="2088"/>
      <c r="H1" s="2088"/>
      <c r="I1" s="2088"/>
      <c r="J1" s="2088"/>
      <c r="K1" s="421">
        <f>MATCH(B1,'数据-取费表'!A6:A16,0)+5</f>
        <v>9</v>
      </c>
    </row>
    <row r="2" spans="1:31" s="2025" customFormat="1" ht="18" customHeight="1">
      <c r="A2" s="2085" t="s">
        <v>467</v>
      </c>
      <c r="B2" s="2089">
        <f ca="1">C36</f>
        <v>94248</v>
      </c>
      <c r="C2" s="2088"/>
      <c r="D2" s="2088"/>
      <c r="E2" s="2088"/>
      <c r="F2" s="2088"/>
      <c r="G2" s="2088"/>
      <c r="H2" s="2088"/>
      <c r="I2" s="2088"/>
      <c r="J2" s="2088"/>
      <c r="K2" s="2088"/>
    </row>
    <row r="3" spans="1:31" s="2025" customFormat="1" ht="18" customHeight="1">
      <c r="A3" s="2090" t="s">
        <v>1684</v>
      </c>
      <c r="B3" s="2091">
        <f ca="1">ROUND(B2*10000/IF(B1="",'数据-汇总表'!E3,INDIRECT("'数据-取费表'!K"&amp;$K$1)),0)</f>
        <v>2271</v>
      </c>
      <c r="C3" s="2088"/>
      <c r="D3" s="2088"/>
      <c r="E3" s="2088"/>
      <c r="F3" s="2088"/>
      <c r="G3" s="2088"/>
      <c r="H3" s="2088"/>
      <c r="I3" s="2088"/>
      <c r="J3" s="2088"/>
      <c r="K3" s="2088"/>
    </row>
    <row r="4" spans="1:31" s="2025" customFormat="1" ht="18" customHeight="1">
      <c r="A4" s="425" t="s">
        <v>468</v>
      </c>
      <c r="B4" s="426">
        <f ca="1">ROUND(B2*10000/IF(B1="",'数据-汇总表'!D3,INDIRECT("'数据-取费表'!R"&amp;$K$1)),0)</f>
        <v>6674</v>
      </c>
      <c r="C4" s="427"/>
      <c r="D4" s="421"/>
      <c r="E4" s="421"/>
      <c r="F4" s="421"/>
      <c r="G4" s="421"/>
      <c r="H4" s="421"/>
      <c r="I4" s="421"/>
      <c r="J4" s="421"/>
      <c r="K4" s="421"/>
    </row>
    <row r="5" spans="1:31" s="2025" customFormat="1" ht="18" customHeight="1" thickBot="1">
      <c r="A5" s="428"/>
      <c r="B5" s="429">
        <f ca="1">ROUND(B2/(IF(B1="",'数据-汇总表'!D3,INDIRECT("'数据-取费表'!R"&amp;$K$1))/666.67),0)</f>
        <v>445</v>
      </c>
      <c r="C5" s="430" t="s">
        <v>469</v>
      </c>
      <c r="D5" s="421"/>
      <c r="E5" s="421"/>
      <c r="F5" s="421"/>
      <c r="G5" s="421"/>
      <c r="H5" s="421"/>
      <c r="I5" s="421"/>
      <c r="J5" s="421"/>
      <c r="K5" s="421"/>
    </row>
    <row r="6" spans="1:31" s="2095" customFormat="1" ht="16.5" customHeight="1">
      <c r="A6" s="2666" t="s">
        <v>1842</v>
      </c>
      <c r="B6" s="2667"/>
      <c r="C6" s="2668">
        <f ca="1">SUM(C10:K10)</f>
        <v>238708</v>
      </c>
      <c r="D6" s="2667"/>
      <c r="E6" s="2667"/>
      <c r="F6" s="2667"/>
      <c r="G6" s="2667"/>
      <c r="H6" s="2667"/>
      <c r="I6" s="2667"/>
      <c r="J6" s="2667"/>
      <c r="K6" s="2669"/>
    </row>
    <row r="7" spans="1:31" s="2097" customFormat="1" ht="15">
      <c r="A7" s="2670" t="s">
        <v>470</v>
      </c>
      <c r="B7" s="2671" t="s">
        <v>471</v>
      </c>
      <c r="C7" s="435"/>
      <c r="D7" s="435"/>
      <c r="E7" s="435" t="s">
        <v>3080</v>
      </c>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1845</v>
      </c>
      <c r="B8" s="260" t="s">
        <v>472</v>
      </c>
      <c r="C8" s="2672"/>
      <c r="D8" s="2672"/>
      <c r="E8" s="2672">
        <f ca="1">'不动产收益法-仓储'!C43</f>
        <v>5752</v>
      </c>
      <c r="F8" s="2672"/>
      <c r="G8" s="2672"/>
      <c r="H8" s="2672"/>
      <c r="I8" s="2672"/>
      <c r="J8" s="2672"/>
      <c r="K8" s="2673"/>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1846</v>
      </c>
      <c r="B9" s="260" t="s">
        <v>473</v>
      </c>
      <c r="C9" s="440">
        <f>SUMIF('数据-汇总表'!$C19:$C33,'剩余法-地下仓储'!C7,'数据-汇总表'!$E19:$E33)</f>
        <v>0</v>
      </c>
      <c r="D9" s="440">
        <f>SUMIF('数据-汇总表'!$C19:$C33,'剩余法-地下仓储'!D7,'数据-汇总表'!$E19:$E33)</f>
        <v>0</v>
      </c>
      <c r="E9" s="440">
        <f>SUMIF('数据-汇总表'!$C19:$C33,'剩余法-地下仓储'!E7,'数据-汇总表'!$E19:$E33)</f>
        <v>415000</v>
      </c>
      <c r="F9" s="440">
        <f>SUMIF('数据-汇总表'!$C19:$C33,'剩余法-地下仓储'!F7,'数据-汇总表'!$E19:$E33)</f>
        <v>0</v>
      </c>
      <c r="G9" s="440">
        <f>SUMIF('数据-汇总表'!$C19:$C33,'剩余法-地下仓储'!G7,'数据-汇总表'!$E19:$E33)</f>
        <v>0</v>
      </c>
      <c r="H9" s="440">
        <f>SUMIF('数据-汇总表'!$C19:$C33,'剩余法-地下仓储'!H7,'数据-汇总表'!$E19:$E33)</f>
        <v>0</v>
      </c>
      <c r="I9" s="440">
        <f>SUMIF('数据-汇总表'!$C19:$C33,'剩余法-地下仓储'!I7,'数据-汇总表'!$E19:$E33)</f>
        <v>0</v>
      </c>
      <c r="J9" s="440">
        <f>SUMIF('数据-汇总表'!$C19:$C33,'剩余法-地下仓储'!J7,'数据-汇总表'!$E19:$E33)</f>
        <v>0</v>
      </c>
      <c r="K9" s="441">
        <f>SUMIF('数据-汇总表'!$C19:$C33,'剩余法-地下仓储'!K7,'数据-汇总表'!$E19:$E33)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674" t="s">
        <v>1847</v>
      </c>
      <c r="B10" s="2660" t="s">
        <v>474</v>
      </c>
      <c r="C10" s="2863">
        <f>ROUND(C8*C9/10000,0)</f>
        <v>0</v>
      </c>
      <c r="D10" s="2863">
        <f t="shared" ref="D10:F10" si="0">ROUND(D8*D9/10000,0)</f>
        <v>0</v>
      </c>
      <c r="E10" s="2863">
        <f t="shared" ca="1" si="0"/>
        <v>238708</v>
      </c>
      <c r="F10" s="2863">
        <f t="shared" si="0"/>
        <v>0</v>
      </c>
      <c r="G10" s="2675"/>
      <c r="H10" s="2675"/>
      <c r="I10" s="2675"/>
      <c r="J10" s="2675"/>
      <c r="K10" s="2676"/>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677" t="s">
        <v>1843</v>
      </c>
      <c r="B11" s="2667"/>
      <c r="C11" s="2667"/>
      <c r="D11" s="2667"/>
      <c r="E11" s="2667"/>
      <c r="F11" s="2667"/>
      <c r="G11" s="2667"/>
      <c r="H11" s="2667"/>
      <c r="I11" s="2667"/>
      <c r="J11" s="2667"/>
      <c r="K11" s="2669"/>
    </row>
    <row r="12" spans="1:31" s="2069" customFormat="1" ht="13.5" customHeight="1">
      <c r="A12" s="2678" t="s">
        <v>470</v>
      </c>
      <c r="B12" s="2650" t="s">
        <v>471</v>
      </c>
      <c r="C12" s="2679" t="s">
        <v>475</v>
      </c>
      <c r="D12" s="3217" t="s">
        <v>476</v>
      </c>
      <c r="E12" s="3217" t="s">
        <v>477</v>
      </c>
      <c r="F12" s="3217" t="s">
        <v>478</v>
      </c>
      <c r="G12" s="2650"/>
      <c r="H12" s="2651"/>
      <c r="I12" s="2651"/>
      <c r="J12" s="2651"/>
      <c r="K12" s="2652"/>
    </row>
    <row r="13" spans="1:31" s="2100" customFormat="1" ht="13.5" customHeight="1">
      <c r="A13" s="2680" t="s">
        <v>1848</v>
      </c>
      <c r="B13" s="2681" t="s">
        <v>479</v>
      </c>
      <c r="C13" s="449">
        <f>'数据-取费表'!M8</f>
        <v>62355</v>
      </c>
      <c r="D13" s="2682"/>
      <c r="E13" s="2683"/>
      <c r="F13" s="2684"/>
      <c r="G13" s="2650"/>
      <c r="H13" s="2651"/>
      <c r="I13" s="2651"/>
      <c r="J13" s="2651"/>
      <c r="K13" s="2652"/>
    </row>
    <row r="14" spans="1:31" s="2100" customFormat="1" ht="13.5" customHeight="1">
      <c r="A14" s="2680" t="s">
        <v>1849</v>
      </c>
      <c r="B14" s="2681" t="s">
        <v>480</v>
      </c>
      <c r="C14" s="53">
        <f>ROUND(C13*F14,0)</f>
        <v>1871</v>
      </c>
      <c r="D14" s="2682"/>
      <c r="E14" s="2683"/>
      <c r="F14" s="2685">
        <f>'数据-取费表'!B33</f>
        <v>0.03</v>
      </c>
      <c r="G14" s="2650" t="s">
        <v>481</v>
      </c>
      <c r="H14" s="2651"/>
      <c r="I14" s="2651"/>
      <c r="J14" s="2651"/>
      <c r="K14" s="2652"/>
    </row>
    <row r="15" spans="1:31" s="2100" customFormat="1" ht="13.5" customHeight="1">
      <c r="A15" s="2680" t="s">
        <v>1850</v>
      </c>
      <c r="B15" s="2681" t="s">
        <v>482</v>
      </c>
      <c r="C15" s="53">
        <f ca="1">ROUND(IF(B1="",SUMIF('数据-取费表'!C:C,"住宅",'数据-取费表'!P:P)*F15,IF(INDIRECT("'数据-取费表'!c"&amp;$K$1)="住宅",INDIRECT("'数据-取费表'!P"&amp;$K$1)*F15,0)),0)</f>
        <v>0</v>
      </c>
      <c r="D15" s="2682"/>
      <c r="E15" s="2683"/>
      <c r="F15" s="2685">
        <f>'数据-取费表'!B34</f>
        <v>0.15</v>
      </c>
      <c r="G15" s="2650" t="s">
        <v>483</v>
      </c>
      <c r="H15" s="2651"/>
      <c r="I15" s="2651"/>
      <c r="J15" s="2651"/>
      <c r="K15" s="2652"/>
    </row>
    <row r="16" spans="1:31" s="2101" customFormat="1" ht="13.5" customHeight="1">
      <c r="A16" s="2680" t="s">
        <v>1851</v>
      </c>
      <c r="B16" s="2681" t="s">
        <v>484</v>
      </c>
      <c r="C16" s="53">
        <f ca="1">ROUND(D16*E16/10000,0)</f>
        <v>12450</v>
      </c>
      <c r="D16" s="2682">
        <f ca="1">IF(B1="",'数据-汇总表'!E3,INDIRECT("'数据-取费表'!K"&amp;$K$1)+INDIRECT("'数据-取费表'!S"&amp;$K$1))</f>
        <v>415000</v>
      </c>
      <c r="E16" s="53">
        <f>'数据-取费表'!B35</f>
        <v>300</v>
      </c>
      <c r="F16" s="2685"/>
      <c r="G16" s="2650"/>
      <c r="H16" s="2651"/>
      <c r="I16" s="2651"/>
      <c r="J16" s="2651"/>
      <c r="K16" s="2652"/>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680" t="s">
        <v>1852</v>
      </c>
      <c r="B17" s="2681" t="s">
        <v>485</v>
      </c>
      <c r="C17" s="2686">
        <f>ROUND(C13*F17,0)</f>
        <v>935</v>
      </c>
      <c r="D17" s="474"/>
      <c r="E17" s="2686"/>
      <c r="F17" s="2687">
        <f>'数据-取费表'!B36</f>
        <v>1.4999999999999999E-2</v>
      </c>
      <c r="G17" s="260" t="s">
        <v>486</v>
      </c>
      <c r="H17" s="2653"/>
      <c r="I17" s="2653"/>
      <c r="J17" s="2653"/>
      <c r="K17" s="278"/>
    </row>
    <row r="18" spans="1:14" s="2100" customFormat="1" ht="13.5" customHeight="1">
      <c r="A18" s="2688" t="s">
        <v>1853</v>
      </c>
      <c r="B18" s="2689" t="s">
        <v>487</v>
      </c>
      <c r="C18" s="2690">
        <f ca="1">SUM(C13:C17)</f>
        <v>77611</v>
      </c>
      <c r="D18" s="2691"/>
      <c r="E18" s="467"/>
      <c r="F18" s="467"/>
      <c r="G18" s="2654" t="s">
        <v>2427</v>
      </c>
      <c r="H18" s="2655"/>
      <c r="I18" s="2655"/>
      <c r="J18" s="2655"/>
      <c r="K18" s="2656"/>
    </row>
    <row r="19" spans="1:14" s="2100" customFormat="1" ht="13.5" customHeight="1">
      <c r="A19" s="2688" t="s">
        <v>1854</v>
      </c>
      <c r="B19" s="2689" t="s">
        <v>488</v>
      </c>
      <c r="C19" s="3217">
        <f ca="1">ROUND(D19*E19/10000,0)</f>
        <v>8300</v>
      </c>
      <c r="D19" s="2692">
        <f ca="1">D16</f>
        <v>415000</v>
      </c>
      <c r="E19" s="3217">
        <f>'数据-取费表'!B32</f>
        <v>200</v>
      </c>
      <c r="F19" s="467"/>
      <c r="G19" s="2650" t="s">
        <v>489</v>
      </c>
      <c r="H19" s="2651"/>
      <c r="I19" s="2655"/>
      <c r="J19" s="2655"/>
      <c r="K19" s="2656"/>
    </row>
    <row r="20" spans="1:14" s="2100" customFormat="1" ht="13.5" customHeight="1">
      <c r="A20" s="2688" t="s">
        <v>1855</v>
      </c>
      <c r="B20" s="2689" t="s">
        <v>490</v>
      </c>
      <c r="C20" s="3217">
        <f ca="1">C21+C22-IF(B1="",'数据-取费表'!B29,IF(G20="已全部缴纳",C21+C22,H20))</f>
        <v>8300</v>
      </c>
      <c r="D20" s="2692"/>
      <c r="E20" s="3217"/>
      <c r="F20" s="2693"/>
      <c r="G20" s="2916" t="s">
        <v>3040</v>
      </c>
      <c r="H20" s="2648"/>
      <c r="I20" s="2649" t="s">
        <v>2647</v>
      </c>
      <c r="J20" s="2655"/>
      <c r="K20" s="2656"/>
    </row>
    <row r="21" spans="1:14" s="2100" customFormat="1" ht="13.5" customHeight="1">
      <c r="A21" s="2680" t="s">
        <v>1856</v>
      </c>
      <c r="B21" s="2681" t="s">
        <v>491</v>
      </c>
      <c r="C21" s="53">
        <f ca="1">ROUND(D21*E21/10000,0)</f>
        <v>0</v>
      </c>
      <c r="D21" s="2682">
        <f ca="1">IF(B1="",'数据-汇总表'!E5,IF(INDIRECT("'数据-取费表'!c"&amp;$K$1)="住宅",INDIRECT("'数据-取费表'!k"&amp;$K$1),0))</f>
        <v>0</v>
      </c>
      <c r="E21" s="53">
        <f>'数据-取费表'!B27</f>
        <v>170</v>
      </c>
      <c r="F21" s="2685"/>
      <c r="G21" s="26"/>
      <c r="H21" s="51"/>
      <c r="I21" s="51"/>
      <c r="J21" s="51"/>
      <c r="K21" s="2657"/>
    </row>
    <row r="22" spans="1:14" s="2100" customFormat="1" ht="13.5" customHeight="1">
      <c r="A22" s="2680" t="s">
        <v>1857</v>
      </c>
      <c r="B22" s="2681" t="s">
        <v>492</v>
      </c>
      <c r="C22" s="53">
        <f ca="1">ROUND(D22*E22/10000,0)</f>
        <v>8300</v>
      </c>
      <c r="D22" s="2682">
        <f ca="1">IF(B1="",'数据-汇总表'!E6,IF(INDIRECT("'数据-取费表'!c"&amp;$K$1)="住宅",INDIRECT("'数据-取费表'!s"&amp;$K$1),INDIRECT("'数据-取费表'!k"&amp;$K$1)+INDIRECT("'数据-取费表'!s"&amp;$K$1)))</f>
        <v>415000</v>
      </c>
      <c r="E22" s="53">
        <f>'数据-取费表'!B28</f>
        <v>200</v>
      </c>
      <c r="F22" s="2685"/>
      <c r="G22" s="26"/>
      <c r="H22" s="51"/>
      <c r="I22" s="51"/>
      <c r="J22" s="51"/>
      <c r="K22" s="2657"/>
    </row>
    <row r="23" spans="1:14" s="2100" customFormat="1" ht="13.5" customHeight="1">
      <c r="A23" s="2688" t="s">
        <v>1858</v>
      </c>
      <c r="B23" s="2869" t="s">
        <v>2829</v>
      </c>
      <c r="C23" s="2690">
        <f ca="1">ROUND((C18+C19+C20)*F23,0)</f>
        <v>1884</v>
      </c>
      <c r="D23" s="467"/>
      <c r="E23" s="467"/>
      <c r="F23" s="2694">
        <f>'数据-取费表'!B37</f>
        <v>0.02</v>
      </c>
      <c r="G23" s="2650" t="s">
        <v>2428</v>
      </c>
      <c r="H23" s="2651"/>
      <c r="I23" s="2651"/>
      <c r="J23" s="2651"/>
      <c r="K23" s="2652"/>
      <c r="L23" s="2102"/>
      <c r="M23" s="2102"/>
      <c r="N23" s="2102"/>
    </row>
    <row r="24" spans="1:14" s="2100" customFormat="1" ht="13.5" customHeight="1">
      <c r="A24" s="2688" t="s">
        <v>1859</v>
      </c>
      <c r="B24" s="2869" t="s">
        <v>2832</v>
      </c>
      <c r="C24" s="2690">
        <f ca="1">ROUND(C6*F24,0)</f>
        <v>4774</v>
      </c>
      <c r="D24" s="474"/>
      <c r="E24" s="472"/>
      <c r="F24" s="2694">
        <f>'数据-取费表'!B38</f>
        <v>0.02</v>
      </c>
      <c r="G24" s="2659" t="s">
        <v>499</v>
      </c>
      <c r="H24" s="2653"/>
      <c r="I24" s="2653"/>
      <c r="J24" s="2653"/>
      <c r="K24" s="278"/>
      <c r="L24" s="2102"/>
      <c r="M24" s="2102"/>
      <c r="N24" s="2102"/>
    </row>
    <row r="25" spans="1:14" s="2103" customFormat="1" ht="13.5" customHeight="1">
      <c r="A25" s="2688" t="s">
        <v>1860</v>
      </c>
      <c r="B25" s="2869" t="s">
        <v>2830</v>
      </c>
      <c r="C25" s="3033">
        <f>F25</f>
        <v>3.0499999999999999E-2</v>
      </c>
      <c r="D25" s="461" t="s">
        <v>2824</v>
      </c>
      <c r="E25" s="468"/>
      <c r="F25" s="2694">
        <f>'数据-取费表'!B48+'数据-取费表'!B49</f>
        <v>3.0499999999999999E-2</v>
      </c>
      <c r="G25" s="2658" t="s">
        <v>2988</v>
      </c>
      <c r="H25" s="2651"/>
      <c r="I25" s="2651"/>
      <c r="J25" s="2651"/>
      <c r="K25" s="2652"/>
    </row>
    <row r="26" spans="1:14" s="2102" customFormat="1" ht="13.5" customHeight="1">
      <c r="A26" s="2688" t="s">
        <v>1861</v>
      </c>
      <c r="B26" s="2870" t="s">
        <v>2831</v>
      </c>
      <c r="C26" s="2695">
        <f ca="1">C28</f>
        <v>6024</v>
      </c>
      <c r="D26" s="466">
        <f ca="1">C27</f>
        <v>0.1268</v>
      </c>
      <c r="E26" s="468" t="s">
        <v>495</v>
      </c>
      <c r="F26" s="470">
        <f ca="1">'数据-取费表'!B40</f>
        <v>4.7500000000000001E-2</v>
      </c>
      <c r="G26" s="2535" t="str">
        <f>IF('数据-取费表'!B22&lt;=1,"单利计息。","复利计息。")&amp;"后续开发成本、管理费用及销售费用产生的利息。"</f>
        <v>复利计息。后续开发成本、管理费用及销售费用产生的利息。</v>
      </c>
      <c r="H26" s="2655"/>
      <c r="I26" s="2655"/>
      <c r="J26" s="2655"/>
      <c r="K26" s="2656"/>
    </row>
    <row r="27" spans="1:14" s="2104" customFormat="1" ht="13.5" customHeight="1">
      <c r="A27" s="802" t="s">
        <v>1856</v>
      </c>
      <c r="B27" s="2696" t="s">
        <v>496</v>
      </c>
      <c r="C27" s="2697">
        <f ca="1">ROUND(IF('数据-取费表'!B22&lt;=1,(1+C25)*F26*'数据-取费表'!B24,(1+C25)*(POWER((1+F26),'数据-取费表'!B24)-1)),4)</f>
        <v>0.1268</v>
      </c>
      <c r="D27" s="471"/>
      <c r="E27" s="472"/>
      <c r="F27" s="473"/>
      <c r="G27" s="2535" t="str">
        <f>IF('数据-取费表'!B22&lt;=1,"（1+取得税费率/(1+5%)）×年利率×建设期","（1+取得税费率）/(1+5%)×((1+年利率)^建设期-1)")</f>
        <v>（1+取得税费率）/(1+5%)×((1+年利率)^建设期-1)</v>
      </c>
      <c r="H27" s="2653"/>
      <c r="I27" s="2653"/>
      <c r="J27" s="2653"/>
      <c r="K27" s="278"/>
    </row>
    <row r="28" spans="1:14" s="2104" customFormat="1" ht="13.5" customHeight="1">
      <c r="A28" s="802" t="s">
        <v>1857</v>
      </c>
      <c r="B28" s="2696" t="s">
        <v>2833</v>
      </c>
      <c r="C28" s="2698">
        <f ca="1">ROUND(IF('数据-取费表'!B22&lt;=1,(C18+C19+C20+C23+C24)*F26*'数据-取费表'!B24/2,(C18+C19+C20+C23+C24)*(POWER((1+F26),'数据-取费表'!B24/2)-1)),0)</f>
        <v>6024</v>
      </c>
      <c r="D28" s="471"/>
      <c r="E28" s="472"/>
      <c r="F28" s="473"/>
      <c r="G28" s="2535" t="str">
        <f>IF('数据-取费表'!B22&lt;=1,"（1）-（4）项×年利率×建设期÷2","（1）-（4）项×((1+年利率)^(建设期÷2)-1)")</f>
        <v>（1）-（4）项×((1+年利率)^(建设期÷2)-1)</v>
      </c>
      <c r="H28" s="2653"/>
      <c r="I28" s="2653"/>
      <c r="J28" s="2653"/>
      <c r="K28" s="278"/>
    </row>
    <row r="29" spans="1:14" s="2104" customFormat="1" ht="13.5" customHeight="1">
      <c r="A29" s="2699" t="s">
        <v>1862</v>
      </c>
      <c r="B29" s="2689" t="s">
        <v>497</v>
      </c>
      <c r="C29" s="2690">
        <f ca="1">ROUND(C6*F29/(1+'数据-取费表'!C42),0)</f>
        <v>12845</v>
      </c>
      <c r="D29" s="467"/>
      <c r="E29" s="467"/>
      <c r="F29" s="2871">
        <v>5.6500000000000002E-2</v>
      </c>
      <c r="G29" s="2659" t="s">
        <v>498</v>
      </c>
      <c r="H29" s="2651"/>
      <c r="I29" s="2651"/>
      <c r="J29" s="2651"/>
      <c r="K29" s="2652"/>
    </row>
    <row r="30" spans="1:14" s="2105" customFormat="1" ht="13.5" customHeight="1">
      <c r="A30" s="1619" t="s">
        <v>1863</v>
      </c>
      <c r="B30" s="2700" t="s">
        <v>500</v>
      </c>
      <c r="C30" s="2695">
        <f ca="1">C31</f>
        <v>119738</v>
      </c>
      <c r="D30" s="476">
        <f ca="1">C32</f>
        <v>0.1573</v>
      </c>
      <c r="E30" s="468" t="s">
        <v>495</v>
      </c>
      <c r="F30" s="470"/>
      <c r="G30" s="2658" t="s">
        <v>2968</v>
      </c>
      <c r="H30" s="2651"/>
      <c r="I30" s="2651"/>
      <c r="J30" s="2651"/>
      <c r="K30" s="2652"/>
    </row>
    <row r="31" spans="1:14" s="2104" customFormat="1" ht="13.5" customHeight="1">
      <c r="A31" s="802" t="s">
        <v>1856</v>
      </c>
      <c r="B31" s="2696"/>
      <c r="C31" s="449">
        <f ca="1">C18+C19+C20+C23+C24+C26+C29</f>
        <v>119738</v>
      </c>
      <c r="D31" s="471"/>
      <c r="E31" s="472"/>
      <c r="F31" s="473"/>
      <c r="G31" s="260"/>
      <c r="H31" s="2653"/>
      <c r="I31" s="2653"/>
      <c r="J31" s="2653"/>
      <c r="K31" s="278"/>
    </row>
    <row r="32" spans="1:14" s="2104" customFormat="1" ht="13.5" customHeight="1">
      <c r="A32" s="802" t="s">
        <v>1857</v>
      </c>
      <c r="B32" s="2696"/>
      <c r="C32" s="53">
        <f ca="1">ROUND(C25+D26,4)</f>
        <v>0.1573</v>
      </c>
      <c r="D32" s="471"/>
      <c r="E32" s="472"/>
      <c r="F32" s="473"/>
      <c r="G32" s="260"/>
      <c r="H32" s="2653"/>
      <c r="I32" s="2653"/>
      <c r="J32" s="2653"/>
      <c r="K32" s="278"/>
    </row>
    <row r="33" spans="1:11" s="2106" customFormat="1" ht="13.5" customHeight="1">
      <c r="A33" s="2868" t="s">
        <v>2828</v>
      </c>
      <c r="B33" s="2866" t="s">
        <v>2826</v>
      </c>
      <c r="C33" s="477">
        <f ca="1">C35</f>
        <v>5043</v>
      </c>
      <c r="D33" s="466">
        <f ca="1">C34</f>
        <v>5.1499999999999997E-2</v>
      </c>
      <c r="E33" s="468" t="s">
        <v>495</v>
      </c>
      <c r="F33" s="478">
        <f ca="1">IF(B1="",'数据-取费表'!Q16,INDIRECT("'数据-取费表'!q"&amp;$K$1))</f>
        <v>0.05</v>
      </c>
      <c r="G33" s="2654"/>
      <c r="H33" s="2655"/>
      <c r="I33" s="2655"/>
      <c r="J33" s="2655"/>
      <c r="K33" s="2656"/>
    </row>
    <row r="34" spans="1:11" s="2107" customFormat="1" ht="13.5" customHeight="1">
      <c r="A34" s="374" t="s">
        <v>1856</v>
      </c>
      <c r="B34" s="2701" t="s">
        <v>501</v>
      </c>
      <c r="C34" s="471">
        <f ca="1">ROUND((1+C25)*F33,4)</f>
        <v>5.1499999999999997E-2</v>
      </c>
      <c r="D34" s="471"/>
      <c r="E34" s="472"/>
      <c r="F34" s="479"/>
      <c r="G34" s="260" t="s">
        <v>2287</v>
      </c>
      <c r="H34" s="2653"/>
      <c r="I34" s="2653"/>
      <c r="J34" s="2653"/>
      <c r="K34" s="278"/>
    </row>
    <row r="35" spans="1:11" s="2107" customFormat="1" ht="13.5" customHeight="1" thickBot="1">
      <c r="A35" s="1620" t="s">
        <v>1857</v>
      </c>
      <c r="B35" s="2867" t="s">
        <v>2834</v>
      </c>
      <c r="C35" s="1612">
        <f ca="1">ROUND((C18+C19+C20+C23+C24)*F33,0)</f>
        <v>5043</v>
      </c>
      <c r="D35" s="1613"/>
      <c r="E35" s="2702"/>
      <c r="F35" s="1614"/>
      <c r="G35" s="2660"/>
      <c r="H35" s="2661"/>
      <c r="I35" s="2661"/>
      <c r="J35" s="2661"/>
      <c r="K35" s="2662"/>
    </row>
    <row r="36" spans="1:11" s="2069" customFormat="1" ht="13.5" customHeight="1" thickBot="1">
      <c r="A36" s="283" t="s">
        <v>1844</v>
      </c>
      <c r="B36" s="2664"/>
      <c r="C36" s="2703">
        <f ca="1">ROUND((C6-C30-C33)/(1+D30+D33),0)</f>
        <v>94248</v>
      </c>
      <c r="D36" s="2664"/>
      <c r="E36" s="2664"/>
      <c r="F36" s="2664"/>
      <c r="G36" s="2663" t="s">
        <v>2835</v>
      </c>
      <c r="H36" s="2664"/>
      <c r="I36" s="2664"/>
      <c r="J36" s="2664"/>
      <c r="K36" s="2665"/>
    </row>
    <row r="37" spans="1:11">
      <c r="C37" s="2109">
        <f ca="1">ROUND(C36*10000/D16,0)</f>
        <v>2271</v>
      </c>
    </row>
    <row r="38" spans="1:11" ht="12.75" customHeight="1"/>
  </sheetData>
  <sheetProtection password="C66D" sheet="1" objects="1" scenarios="1" formatCells="0" formatColumns="0" formatRows="0"/>
  <phoneticPr fontId="228"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55" sqref="I55"/>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1725</v>
      </c>
      <c r="B1" s="737"/>
      <c r="C1" s="772" t="s">
        <v>3080</v>
      </c>
      <c r="D1" s="2946" t="s">
        <v>952</v>
      </c>
      <c r="E1" s="2350" t="s">
        <v>2371</v>
      </c>
      <c r="F1" s="2351">
        <f ca="1">J53</f>
        <v>50</v>
      </c>
      <c r="G1" s="773">
        <f>MATCH(C1,'数据-取费表'!A6:A16,0)+5</f>
        <v>9</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1726</v>
      </c>
      <c r="B2" s="774">
        <f ca="1">C40+J29+L46</f>
        <v>238689</v>
      </c>
      <c r="C2" s="2041"/>
      <c r="D2" s="2039"/>
      <c r="E2" s="2040"/>
      <c r="F2" s="2040"/>
      <c r="G2" s="1575"/>
      <c r="H2" s="2041"/>
      <c r="I2" s="2041"/>
      <c r="J2" s="2041"/>
      <c r="K2" s="2042"/>
      <c r="L2" s="2041"/>
      <c r="M2" s="2041"/>
    </row>
    <row r="3" spans="1:33" ht="18" customHeight="1" thickBot="1">
      <c r="A3" s="832" t="s">
        <v>1727</v>
      </c>
      <c r="B3" s="833">
        <f ca="1">IF(ISERROR(B2*10000/F43),0,ROUND(B2*10000/F43,0))</f>
        <v>5752</v>
      </c>
      <c r="C3" s="2041"/>
      <c r="D3" s="2039"/>
      <c r="E3" s="2040"/>
      <c r="F3" s="2040"/>
      <c r="G3" s="1575"/>
      <c r="H3" s="775" t="s">
        <v>695</v>
      </c>
      <c r="I3" s="1358"/>
      <c r="J3" s="1358"/>
      <c r="K3" s="1576"/>
      <c r="L3" s="1358"/>
      <c r="M3" s="1358"/>
    </row>
    <row r="4" spans="1:33" ht="18" customHeight="1">
      <c r="A4" s="776" t="s">
        <v>1728</v>
      </c>
      <c r="B4" s="777" t="s">
        <v>1729</v>
      </c>
      <c r="C4" s="777" t="s">
        <v>1730</v>
      </c>
      <c r="D4" s="777" t="s">
        <v>633</v>
      </c>
      <c r="E4" s="778" t="s">
        <v>1731</v>
      </c>
      <c r="F4" s="779"/>
      <c r="G4" s="1577"/>
      <c r="H4" s="776" t="s">
        <v>1732</v>
      </c>
      <c r="I4" s="777" t="s">
        <v>1733</v>
      </c>
      <c r="J4" s="777" t="s">
        <v>1734</v>
      </c>
      <c r="K4" s="777" t="s">
        <v>1735</v>
      </c>
      <c r="L4" s="778" t="s">
        <v>1736</v>
      </c>
      <c r="M4" s="779"/>
    </row>
    <row r="5" spans="1:33" ht="18" customHeight="1">
      <c r="A5" s="780">
        <v>1</v>
      </c>
      <c r="B5" s="781" t="s">
        <v>2455</v>
      </c>
      <c r="C5" s="55">
        <f ca="1">C6+C10+C12</f>
        <v>16359</v>
      </c>
      <c r="D5" s="2459" t="s">
        <v>2458</v>
      </c>
      <c r="E5" s="2453"/>
      <c r="F5" s="2454"/>
      <c r="G5" s="1577"/>
      <c r="H5" s="780">
        <v>1</v>
      </c>
      <c r="I5" s="781" t="s">
        <v>2455</v>
      </c>
      <c r="J5" s="55">
        <f ca="1">J6+J10+J12</f>
        <v>0</v>
      </c>
      <c r="K5" s="2459" t="s">
        <v>2458</v>
      </c>
      <c r="L5" s="2453"/>
      <c r="M5" s="2454"/>
    </row>
    <row r="6" spans="1:33" ht="18" customHeight="1">
      <c r="A6" s="1814" t="s">
        <v>1824</v>
      </c>
      <c r="B6" s="3542" t="s">
        <v>2460</v>
      </c>
      <c r="C6" s="782">
        <f ca="1">ROUND(F6*F8*F7*(1-F9)/10000,0)</f>
        <v>16359</v>
      </c>
      <c r="D6" s="2460" t="s">
        <v>2459</v>
      </c>
      <c r="E6" s="783" t="s">
        <v>1738</v>
      </c>
      <c r="F6" s="784">
        <f ca="1">INDIRECT("'数据-取费表'!u"&amp;$G$1)</f>
        <v>1.2</v>
      </c>
      <c r="G6" s="1577"/>
      <c r="H6" s="2467" t="s">
        <v>2465</v>
      </c>
      <c r="I6" s="3542" t="s">
        <v>2460</v>
      </c>
      <c r="J6" s="782">
        <f ca="1">ROUND(M6*M8*M7*(1-M9)/10000,0)</f>
        <v>0</v>
      </c>
      <c r="K6" s="340" t="s">
        <v>1737</v>
      </c>
      <c r="L6" s="783" t="s">
        <v>1738</v>
      </c>
      <c r="M6" s="784">
        <f ca="1">INDIRECT("'数据-取费表'!z"&amp;$G$1)</f>
        <v>0</v>
      </c>
    </row>
    <row r="7" spans="1:33" ht="18" customHeight="1">
      <c r="A7" s="2463"/>
      <c r="B7" s="3543"/>
      <c r="C7" s="787"/>
      <c r="D7" s="788"/>
      <c r="E7" s="783" t="s">
        <v>1739</v>
      </c>
      <c r="F7" s="784">
        <f ca="1">IF(INDIRECT("'数据-取费表'!ah"&amp;$G$1)="",INDIRECT("'数据-取费表'!k"&amp;$G$1),INDIRECT("'数据-取费表'!ah"&amp;$G$1))</f>
        <v>415000</v>
      </c>
      <c r="G7" s="1577"/>
      <c r="H7" s="2452"/>
      <c r="I7" s="3543"/>
      <c r="J7" s="787"/>
      <c r="K7" s="788"/>
      <c r="L7" s="783" t="s">
        <v>1739</v>
      </c>
      <c r="M7" s="784">
        <f ca="1">F7</f>
        <v>415000</v>
      </c>
    </row>
    <row r="8" spans="1:33" ht="18" customHeight="1">
      <c r="A8" s="2456"/>
      <c r="B8" s="3544"/>
      <c r="C8" s="787"/>
      <c r="D8" s="788"/>
      <c r="E8" s="783" t="s">
        <v>1740</v>
      </c>
      <c r="F8" s="784">
        <f ca="1">INDIRECT("'数据-取费表'!ai"&amp;$G$1)</f>
        <v>365</v>
      </c>
      <c r="G8" s="1577"/>
      <c r="H8" s="2452"/>
      <c r="I8" s="3544"/>
      <c r="J8" s="787"/>
      <c r="K8" s="788"/>
      <c r="L8" s="783" t="s">
        <v>1740</v>
      </c>
      <c r="M8" s="784">
        <f ca="1">INDIRECT("'数据-取费表'!ai"&amp;$G$1)</f>
        <v>365</v>
      </c>
    </row>
    <row r="9" spans="1:33" ht="18" customHeight="1">
      <c r="A9" s="785"/>
      <c r="B9" s="3545"/>
      <c r="C9" s="787"/>
      <c r="D9" s="788"/>
      <c r="E9" s="783" t="s">
        <v>1741</v>
      </c>
      <c r="F9" s="793">
        <f ca="1">INDIRECT("'数据-取费表'!w"&amp;$G$1)</f>
        <v>0.1</v>
      </c>
      <c r="G9" s="1577"/>
      <c r="H9" s="2468"/>
      <c r="I9" s="3544"/>
      <c r="J9" s="787"/>
      <c r="K9" s="788"/>
      <c r="L9" s="794" t="s">
        <v>1741</v>
      </c>
      <c r="M9" s="795">
        <f ca="1">INDIRECT("'数据-取费表'!ab"&amp;$G$1)</f>
        <v>0</v>
      </c>
    </row>
    <row r="10" spans="1:33" ht="18" customHeight="1">
      <c r="A10" s="1814" t="s">
        <v>2463</v>
      </c>
      <c r="B10" s="2457" t="s">
        <v>2456</v>
      </c>
      <c r="C10" s="798">
        <f ca="1">ROUND(IF(F10="押一",C6/12*F11,IF(F10="押二",C6/12*2*F11,IF(F10="押三",C6/12*3*F11,C11*F11))),0)</f>
        <v>0</v>
      </c>
      <c r="D10" s="2464" t="s">
        <v>2970</v>
      </c>
      <c r="E10" s="2461" t="s">
        <v>2461</v>
      </c>
      <c r="F10" s="2584"/>
      <c r="G10" s="1577"/>
      <c r="H10" s="2524" t="s">
        <v>2466</v>
      </c>
      <c r="I10" s="2529" t="s">
        <v>2456</v>
      </c>
      <c r="J10" s="782">
        <f ca="1">ROUND(IF(M10="押一",J6/12*M11,IF(M10="押二",J6/12*2*M11,IF(M10="押三",J6/12*3*M11,J11*M11))),0)</f>
        <v>0</v>
      </c>
      <c r="K10" s="2464" t="s">
        <v>2970</v>
      </c>
      <c r="L10" s="2461" t="s">
        <v>2461</v>
      </c>
      <c r="M10" s="2584"/>
    </row>
    <row r="11" spans="1:33" ht="18" customHeight="1">
      <c r="A11" s="789"/>
      <c r="B11" s="2458" t="s">
        <v>2570</v>
      </c>
      <c r="C11" s="2462"/>
      <c r="D11" s="788"/>
      <c r="E11" s="2461" t="s">
        <v>2462</v>
      </c>
      <c r="F11" s="795">
        <f ca="1">'数据-取费表'!B39</f>
        <v>1.4999999999999999E-2</v>
      </c>
      <c r="G11" s="1577"/>
      <c r="H11" s="2525"/>
      <c r="I11" s="2458" t="s">
        <v>2570</v>
      </c>
      <c r="J11" s="2462"/>
      <c r="K11" s="2526"/>
      <c r="L11" s="2461" t="s">
        <v>2462</v>
      </c>
      <c r="M11" s="2455">
        <f ca="1">'数据-取费表'!B39</f>
        <v>1.4999999999999999E-2</v>
      </c>
    </row>
    <row r="12" spans="1:33" ht="18" customHeight="1" thickBot="1">
      <c r="A12" s="2500" t="s">
        <v>2464</v>
      </c>
      <c r="B12" s="2501" t="s">
        <v>2457</v>
      </c>
      <c r="C12" s="2502"/>
      <c r="D12" s="2503"/>
      <c r="E12" s="2504"/>
      <c r="F12" s="2505"/>
      <c r="G12" s="1577"/>
      <c r="H12" s="2514" t="s">
        <v>2467</v>
      </c>
      <c r="I12" s="2527" t="s">
        <v>2457</v>
      </c>
      <c r="J12" s="2528"/>
      <c r="K12" s="2503"/>
      <c r="L12" s="2504"/>
      <c r="M12" s="2517"/>
    </row>
    <row r="13" spans="1:33" ht="18" customHeight="1" thickTop="1">
      <c r="A13" s="1813">
        <v>2</v>
      </c>
      <c r="B13" s="1811" t="s">
        <v>1742</v>
      </c>
      <c r="C13" s="791">
        <f ca="1">ROUND(C29*F13,0)</f>
        <v>216804</v>
      </c>
      <c r="D13" s="1818" t="s">
        <v>2294</v>
      </c>
      <c r="E13" s="1818" t="s">
        <v>1744</v>
      </c>
      <c r="F13" s="2499">
        <f ca="1">INDIRECT("'数据-取费表'!y"&amp;$G$1)</f>
        <v>1</v>
      </c>
      <c r="G13" s="1577"/>
      <c r="H13" s="1813">
        <v>2</v>
      </c>
      <c r="I13" s="1811" t="s">
        <v>1742</v>
      </c>
      <c r="J13" s="1803">
        <f ca="1">ROUND(J14*J15,0)</f>
        <v>216804</v>
      </c>
      <c r="K13" s="1805" t="s">
        <v>1743</v>
      </c>
      <c r="L13" s="2515"/>
      <c r="M13" s="2516"/>
    </row>
    <row r="14" spans="1:33" ht="18" customHeight="1">
      <c r="A14" s="1632" t="s">
        <v>1884</v>
      </c>
      <c r="B14" s="783" t="s">
        <v>645</v>
      </c>
      <c r="C14" s="803">
        <f ca="1">INDIRECT("'数据-取费表'!m"&amp;$G$1)+INDIRECT("'数据-取费表'!t"&amp;$G$1)</f>
        <v>157700</v>
      </c>
      <c r="D14" s="1963" t="s">
        <v>1745</v>
      </c>
      <c r="E14" s="1964"/>
      <c r="F14" s="804"/>
      <c r="G14" s="1577"/>
      <c r="H14" s="1633" t="s">
        <v>1830</v>
      </c>
      <c r="I14" s="2215" t="s">
        <v>2821</v>
      </c>
      <c r="J14" s="53">
        <f ca="1">C29</f>
        <v>216804</v>
      </c>
      <c r="K14" s="26"/>
      <c r="L14" s="800"/>
      <c r="M14" s="801"/>
    </row>
    <row r="15" spans="1:33" s="2048" customFormat="1" ht="18" customHeight="1" thickBot="1">
      <c r="A15" s="1632" t="s">
        <v>1885</v>
      </c>
      <c r="B15" s="783" t="s">
        <v>647</v>
      </c>
      <c r="C15" s="53">
        <f ca="1">ROUND(C14*F15,0)</f>
        <v>4731</v>
      </c>
      <c r="D15" s="805" t="s">
        <v>1746</v>
      </c>
      <c r="E15" s="805" t="s">
        <v>1747</v>
      </c>
      <c r="F15" s="806">
        <f>'数据-取费表'!B33</f>
        <v>0.03</v>
      </c>
      <c r="G15" s="1578"/>
      <c r="H15" s="2514" t="s">
        <v>1889</v>
      </c>
      <c r="I15" s="2509" t="s">
        <v>1744</v>
      </c>
      <c r="J15" s="2518">
        <f ca="1">INDIRECT("'数据-取费表'!ad"&amp;$G$1)</f>
        <v>1</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3" t="s">
        <v>650</v>
      </c>
      <c r="C16" s="53">
        <f ca="1">ROUND(INDIRECT("'数据-取费表'!m"&amp;$G$1)*F16,0)</f>
        <v>0</v>
      </c>
      <c r="D16" s="783" t="s">
        <v>1746</v>
      </c>
      <c r="E16" s="783" t="s">
        <v>1747</v>
      </c>
      <c r="F16" s="808">
        <f ca="1">IF(INDIRECT("'数据-取费表'!c"&amp;$G$1)="住宅",'数据-取费表'!B34,0)</f>
        <v>0</v>
      </c>
      <c r="G16" s="1577"/>
      <c r="H16" s="1813" t="s">
        <v>1748</v>
      </c>
      <c r="I16" s="1811" t="s">
        <v>1749</v>
      </c>
      <c r="J16" s="791">
        <f ca="1">ROUND(J17+J22+J23+J24,0)</f>
        <v>4227</v>
      </c>
      <c r="K16" s="1805" t="s">
        <v>1750</v>
      </c>
      <c r="L16" s="2449"/>
      <c r="M16" s="2454"/>
    </row>
    <row r="17" spans="1:33" s="2048" customFormat="1" ht="18" customHeight="1">
      <c r="A17" s="1632" t="s">
        <v>1887</v>
      </c>
      <c r="B17" s="783" t="s">
        <v>653</v>
      </c>
      <c r="C17" s="53">
        <f ca="1">ROUND(F17*(F43+INDIRECT("'数据-取费表'!S"&amp;$G$1))/10000,0)</f>
        <v>12450</v>
      </c>
      <c r="D17" s="783" t="s">
        <v>1751</v>
      </c>
      <c r="E17" s="783" t="s">
        <v>1752</v>
      </c>
      <c r="F17" s="56">
        <f>'数据-取费表'!B35</f>
        <v>300</v>
      </c>
      <c r="G17" s="1578"/>
      <c r="H17" s="1633" t="s">
        <v>1830</v>
      </c>
      <c r="I17" s="783" t="s">
        <v>656</v>
      </c>
      <c r="J17" s="3031">
        <f ca="1">ROUND(IF(项目基本情况!B11="自然人",J6*M17/(1+'数据-取费表'!C42),J18+J19+J20),0)</f>
        <v>1842</v>
      </c>
      <c r="K17" s="2448" t="s">
        <v>1753</v>
      </c>
      <c r="L17" s="2447" t="s">
        <v>1754</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2366</v>
      </c>
      <c r="D18" s="783" t="s">
        <v>1746</v>
      </c>
      <c r="E18" s="783" t="s">
        <v>1747</v>
      </c>
      <c r="F18" s="808">
        <f>'数据-取费表'!B36</f>
        <v>1.4999999999999999E-2</v>
      </c>
      <c r="G18" s="1578"/>
      <c r="H18" s="1632" t="s">
        <v>1884</v>
      </c>
      <c r="I18" s="783" t="s">
        <v>1755</v>
      </c>
      <c r="J18" s="3031">
        <f ca="1">ROUND(J6*M18/(1+'数据-取费表'!C42),1)</f>
        <v>0</v>
      </c>
      <c r="K18" s="2447" t="s">
        <v>1756</v>
      </c>
      <c r="L18" s="783" t="s">
        <v>1747</v>
      </c>
      <c r="M18" s="808">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3" t="s">
        <v>662</v>
      </c>
      <c r="C19" s="53">
        <f ca="1">SUM(C14:C18)</f>
        <v>177247</v>
      </c>
      <c r="D19" s="260" t="s">
        <v>1757</v>
      </c>
      <c r="E19" s="1966"/>
      <c r="F19" s="56"/>
      <c r="G19" s="1577"/>
      <c r="H19" s="1632" t="s">
        <v>1885</v>
      </c>
      <c r="I19" s="783" t="s">
        <v>1758</v>
      </c>
      <c r="J19" s="3031">
        <f ca="1">IF(K19="按租金收入计税",ROUND(J6*M19/(1+'数据-取费表'!C42),1),ROUND(C29*F33*0.7,1))</f>
        <v>1821.2</v>
      </c>
      <c r="K19" s="810" t="s">
        <v>665</v>
      </c>
      <c r="L19" s="783" t="s">
        <v>1747</v>
      </c>
      <c r="M19" s="808">
        <f>IF(K19="按租金收入计税",'数据-取费表'!B51,'数据-取费表'!B50)</f>
        <v>1.2E-2</v>
      </c>
    </row>
    <row r="20" spans="1:33" s="2048" customFormat="1" ht="18" customHeight="1">
      <c r="A20" s="1633" t="s">
        <v>1889</v>
      </c>
      <c r="B20" s="783" t="s">
        <v>666</v>
      </c>
      <c r="C20" s="53">
        <f ca="1">ROUND(C19*F20,0)</f>
        <v>3545</v>
      </c>
      <c r="D20" s="811" t="s">
        <v>1759</v>
      </c>
      <c r="E20" s="783" t="s">
        <v>1747</v>
      </c>
      <c r="F20" s="808">
        <f>'数据-取费表'!B37</f>
        <v>0.02</v>
      </c>
      <c r="G20" s="1578"/>
      <c r="H20" s="1635" t="s">
        <v>1880</v>
      </c>
      <c r="I20" s="340" t="s">
        <v>1760</v>
      </c>
      <c r="J20" s="54">
        <f ca="1">ROUND(M20*M21/10000,0)</f>
        <v>21</v>
      </c>
      <c r="K20" s="813" t="s">
        <v>1761</v>
      </c>
      <c r="L20" s="783" t="s">
        <v>1762</v>
      </c>
      <c r="M20" s="639">
        <f>'数据-取费表'!B52</f>
        <v>1.5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1763</v>
      </c>
      <c r="C21" s="53" t="s">
        <v>1764</v>
      </c>
      <c r="D21" s="811" t="s">
        <v>2295</v>
      </c>
      <c r="E21" s="783" t="s">
        <v>1765</v>
      </c>
      <c r="F21" s="808">
        <f>'数据-取费表'!B38</f>
        <v>0.02</v>
      </c>
      <c r="G21" s="1578"/>
      <c r="H21" s="2469"/>
      <c r="I21" s="792"/>
      <c r="J21" s="69"/>
      <c r="K21" s="815"/>
      <c r="L21" s="783" t="s">
        <v>1766</v>
      </c>
      <c r="M21" s="784">
        <f ca="1">INDIRECT("'数据-取费表'!r"&amp;$G$1)</f>
        <v>141207.44</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1767</v>
      </c>
      <c r="C22" s="53"/>
      <c r="D22" s="2535" t="str">
        <f>IF(F23&lt;=1,"单利计息。","复利计息。")&amp;"建造成本、管理费用、销售费用产生的利息。"</f>
        <v>复利计息。建造成本、管理费用、销售费用产生的利息。</v>
      </c>
      <c r="E22" s="1966"/>
      <c r="F22" s="56"/>
      <c r="G22" s="1577"/>
      <c r="H22" s="1633" t="s">
        <v>1889</v>
      </c>
      <c r="I22" s="783" t="s">
        <v>1768</v>
      </c>
      <c r="J22" s="53">
        <f ca="1">ROUND(J14*M22,0)</f>
        <v>2168</v>
      </c>
      <c r="K22" s="2447" t="s">
        <v>1769</v>
      </c>
      <c r="L22" s="783" t="s">
        <v>1747</v>
      </c>
      <c r="M22" s="816">
        <f ca="1">INDIRECT("'数据-取费表'!Ak"&amp;$G$1)</f>
        <v>0.01</v>
      </c>
    </row>
    <row r="23" spans="1:33" s="2048" customFormat="1" ht="18" customHeight="1">
      <c r="A23" s="1632" t="s">
        <v>1831</v>
      </c>
      <c r="B23" s="783" t="s">
        <v>2532</v>
      </c>
      <c r="C23" s="53">
        <f ca="1">ROUND(IF('数据-取费表'!B22&lt;=1,(C19+C20)*F24*F23/2,(C19+C20)*(POWER((1+F24),F23/2)-1)),0)</f>
        <v>10798</v>
      </c>
      <c r="D23" s="2534" t="str">
        <f>IF(F23&lt;=1,"(建造成本+管理费用)×利率×(建设周期÷2)","(建造成本+管理费用)×((1+利率)^(建设周期÷2)-1)")</f>
        <v>(建造成本+管理费用)×((1+利率)^(建设周期÷2)-1)</v>
      </c>
      <c r="E23" s="783" t="s">
        <v>1770</v>
      </c>
      <c r="F23" s="639">
        <f>'数据-取费表'!B20</f>
        <v>2.5</v>
      </c>
      <c r="G23" s="1578"/>
      <c r="H23" s="1633" t="s">
        <v>1890</v>
      </c>
      <c r="I23" s="783" t="s">
        <v>679</v>
      </c>
      <c r="J23" s="53">
        <f ca="1">ROUND(J13*M23,0)</f>
        <v>217</v>
      </c>
      <c r="K23" s="2447" t="s">
        <v>1771</v>
      </c>
      <c r="L23" s="783" t="s">
        <v>1747</v>
      </c>
      <c r="M23" s="817">
        <f ca="1">INDIRECT("'数据-取费表'!Al"&amp;$G$1)</f>
        <v>1E-3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1772</v>
      </c>
      <c r="C24" s="53">
        <f ca="1">ROUND(IF('数据-取费表'!B22&lt;=1,F21*F24*F23/2,F21*(POWER((1+F24),F23/2)-1)),4)</f>
        <v>1.1999999999999999E-3</v>
      </c>
      <c r="D24" s="2534" t="str">
        <f>IF(F23&lt;=1,"销售费用×利率×(建设周期÷2)","销售费用×((1+利率)^(建设周期÷2)-1)")</f>
        <v>销售费用×((1+利率)^(建设周期÷2)-1)</v>
      </c>
      <c r="E24" s="783" t="s">
        <v>1773</v>
      </c>
      <c r="F24" s="818">
        <f ca="1">'数据-取费表'!B40</f>
        <v>4.7500000000000001E-2</v>
      </c>
      <c r="G24" s="1578"/>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1775</v>
      </c>
      <c r="E25" s="1966"/>
      <c r="F25" s="56"/>
      <c r="G25" s="1577"/>
      <c r="H25" s="1813" t="s">
        <v>1776</v>
      </c>
      <c r="I25" s="2844" t="s">
        <v>2817</v>
      </c>
      <c r="J25" s="791">
        <f ca="1">J5-J16</f>
        <v>-4227</v>
      </c>
      <c r="K25" s="2511" t="s">
        <v>1777</v>
      </c>
      <c r="L25" s="2512"/>
      <c r="M25" s="2513"/>
    </row>
    <row r="26" spans="1:33" ht="18" customHeight="1">
      <c r="A26" s="1632" t="s">
        <v>1831</v>
      </c>
      <c r="B26" s="783" t="s">
        <v>2435</v>
      </c>
      <c r="C26" s="53">
        <f ca="1">ROUND((C19+C20)*F26,0)</f>
        <v>9040</v>
      </c>
      <c r="D26" s="811" t="s">
        <v>1778</v>
      </c>
      <c r="E26" s="794" t="s">
        <v>1779</v>
      </c>
      <c r="F26" s="793">
        <f ca="1">INDIRECT("'数据-取费表'!q"&amp;$G$1)</f>
        <v>0.05</v>
      </c>
      <c r="G26" s="1577"/>
      <c r="H26" s="2465" t="s">
        <v>1780</v>
      </c>
      <c r="I26" s="2216" t="s">
        <v>2822</v>
      </c>
      <c r="J26" s="782">
        <f ca="1">IF(J5&lt;&gt;0,ROUND(J25*(1-((1+M28)/(1+M26))^M27)/(M26-M28),0),0)</f>
        <v>0</v>
      </c>
      <c r="K26" s="813" t="s">
        <v>1781</v>
      </c>
      <c r="L26" s="783" t="s">
        <v>2416</v>
      </c>
      <c r="M26" s="793">
        <f ca="1">INDIRECT("'数据-取费表'!I"&amp;$G$1)</f>
        <v>0.04</v>
      </c>
    </row>
    <row r="27" spans="1:33" ht="18" customHeight="1">
      <c r="A27" s="1632" t="s">
        <v>1832</v>
      </c>
      <c r="B27" s="783" t="s">
        <v>686</v>
      </c>
      <c r="C27" s="53">
        <f ca="1">ROUND(F21*F26,4)</f>
        <v>1E-3</v>
      </c>
      <c r="D27" s="811" t="s">
        <v>1782</v>
      </c>
      <c r="E27" s="805"/>
      <c r="F27" s="806"/>
      <c r="G27" s="1577"/>
      <c r="H27" s="2466"/>
      <c r="I27" s="786"/>
      <c r="J27" s="787"/>
      <c r="K27" s="820" t="s">
        <v>1783</v>
      </c>
      <c r="L27" s="783" t="s">
        <v>1784</v>
      </c>
      <c r="M27" s="821">
        <f ca="1">INDIRECT("'数据-取费表'!ag"&amp;$G$1)</f>
        <v>0</v>
      </c>
    </row>
    <row r="28" spans="1:33" s="2048" customFormat="1" ht="18" customHeight="1">
      <c r="A28" s="1634" t="s">
        <v>1841</v>
      </c>
      <c r="B28" s="783" t="s">
        <v>687</v>
      </c>
      <c r="C28" s="53">
        <f>ROUND(F28/(1+'数据-取费表'!C42),4)</f>
        <v>5.2400000000000002E-2</v>
      </c>
      <c r="D28" s="811" t="s">
        <v>2296</v>
      </c>
      <c r="E28" s="783" t="s">
        <v>1785</v>
      </c>
      <c r="F28" s="808">
        <f>'数据-取费表'!B41</f>
        <v>5.5000000000000007E-2</v>
      </c>
      <c r="G28" s="1578"/>
      <c r="H28" s="1813"/>
      <c r="I28" s="790"/>
      <c r="J28" s="791"/>
      <c r="K28" s="815"/>
      <c r="L28" s="783" t="s">
        <v>1786</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2297</v>
      </c>
      <c r="C29" s="2507">
        <f ca="1">ROUND((C19+C20+C23+C26)/(1-F21-C24-C27-C28),0)</f>
        <v>216804</v>
      </c>
      <c r="D29" s="2508"/>
      <c r="E29" s="2509"/>
      <c r="F29" s="2510"/>
      <c r="G29" s="1578"/>
      <c r="H29" s="822" t="s">
        <v>1787</v>
      </c>
      <c r="I29" s="823" t="s">
        <v>1788</v>
      </c>
      <c r="J29" s="824">
        <f ca="1">ROUND(J26/(1+F40)^F41,0)</f>
        <v>0</v>
      </c>
      <c r="K29" s="825" t="s">
        <v>1789</v>
      </c>
      <c r="L29" s="826"/>
      <c r="M29" s="827">
        <f ca="1">INDIRECT("'数据-取费表'!k"&amp;$G$1)</f>
        <v>415000</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1">
        <f ca="1">ROUND(C31+C36+C37+C38,0)</f>
        <v>5248</v>
      </c>
      <c r="D30" s="1805" t="s">
        <v>1791</v>
      </c>
      <c r="E30" s="2449"/>
      <c r="F30" s="2454"/>
      <c r="G30" s="2046"/>
      <c r="H30" s="2049"/>
      <c r="I30" s="2050"/>
      <c r="J30" s="2051"/>
      <c r="K30" s="2052"/>
      <c r="L30" s="2053"/>
      <c r="M30" s="2054"/>
    </row>
    <row r="31" spans="1:33" ht="18" customHeight="1">
      <c r="A31" s="1633" t="s">
        <v>1830</v>
      </c>
      <c r="B31" s="783" t="s">
        <v>656</v>
      </c>
      <c r="C31" s="3031">
        <f ca="1">ROUND(IF(项目基本情况!B11="自然人",C6*F31/(1+'数据-取费表'!C42),C32+C33+C34),1)</f>
        <v>2699.3</v>
      </c>
      <c r="D31" s="1963" t="s">
        <v>1792</v>
      </c>
      <c r="E31" s="1961" t="s">
        <v>1793</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1794</v>
      </c>
      <c r="C32" s="3031">
        <f ca="1">ROUND(C6*F32/(1+'数据-取费表'!C42),1)</f>
        <v>856.9</v>
      </c>
      <c r="D32" s="1961" t="s">
        <v>1795</v>
      </c>
      <c r="E32" s="783" t="s">
        <v>1796</v>
      </c>
      <c r="F32" s="808">
        <f>'数据-取费表'!B41</f>
        <v>5.5000000000000007E-2</v>
      </c>
      <c r="G32" s="2046"/>
      <c r="H32" s="2055"/>
      <c r="I32" s="2056"/>
      <c r="J32" s="2057"/>
      <c r="K32" s="2058"/>
      <c r="L32" s="2059"/>
      <c r="M32" s="2060"/>
    </row>
    <row r="33" spans="1:18" ht="18" customHeight="1">
      <c r="A33" s="1632" t="s">
        <v>1832</v>
      </c>
      <c r="B33" s="783" t="s">
        <v>1797</v>
      </c>
      <c r="C33" s="3031">
        <f ca="1">IF(D33="按租金收入计税",ROUND(C6*F33/(1+'数据-取费表'!C42),1),IF(D33="按房产原值计税",ROUND(C29*F33*0.7,1),INDIRECT("'数据-取费表'!Aj"&amp;$G$1)))</f>
        <v>1821.2</v>
      </c>
      <c r="D33" s="810" t="s">
        <v>1680</v>
      </c>
      <c r="E33" s="783" t="s">
        <v>1796</v>
      </c>
      <c r="F33" s="808">
        <f>IF(D33="按租金收入计税",'数据-取费表'!B51,'数据-取费表'!B50)</f>
        <v>1.2E-2</v>
      </c>
      <c r="G33" s="2046"/>
      <c r="H33" s="2061"/>
      <c r="I33" s="2061"/>
      <c r="J33" s="2061"/>
      <c r="K33" s="2062"/>
      <c r="L33" s="2061"/>
      <c r="M33" s="2061"/>
    </row>
    <row r="34" spans="1:18" ht="18" customHeight="1">
      <c r="A34" s="1635" t="s">
        <v>1833</v>
      </c>
      <c r="B34" s="340" t="s">
        <v>1798</v>
      </c>
      <c r="C34" s="54">
        <f ca="1">ROUND(F34*F35/10000,1)</f>
        <v>21.2</v>
      </c>
      <c r="D34" s="813" t="s">
        <v>1799</v>
      </c>
      <c r="E34" s="783" t="s">
        <v>1800</v>
      </c>
      <c r="F34" s="639">
        <f>'数据-取费表'!B52</f>
        <v>1.5</v>
      </c>
      <c r="G34" s="2046"/>
      <c r="H34" s="2049"/>
      <c r="I34" s="834" t="s">
        <v>1813</v>
      </c>
      <c r="J34" s="835"/>
      <c r="K34" s="2064"/>
      <c r="L34" s="2063"/>
      <c r="M34" s="2063"/>
    </row>
    <row r="35" spans="1:18" ht="18" customHeight="1">
      <c r="A35" s="814"/>
      <c r="B35" s="792"/>
      <c r="C35" s="69"/>
      <c r="D35" s="815"/>
      <c r="E35" s="783" t="s">
        <v>1801</v>
      </c>
      <c r="F35" s="784">
        <f ca="1">INDIRECT("'数据-取费表'!r"&amp;$G$1)</f>
        <v>141207.44</v>
      </c>
      <c r="G35" s="2046"/>
      <c r="H35" s="2049"/>
      <c r="I35" s="836" t="s">
        <v>1814</v>
      </c>
      <c r="J35" s="837">
        <f ca="1">ROUND(C13*J36,0)</f>
        <v>11924</v>
      </c>
      <c r="K35" s="2062"/>
      <c r="L35" s="2061"/>
      <c r="M35" s="2061"/>
    </row>
    <row r="36" spans="1:18" ht="18" customHeight="1">
      <c r="A36" s="1633" t="s">
        <v>1889</v>
      </c>
      <c r="B36" s="783" t="s">
        <v>1802</v>
      </c>
      <c r="C36" s="53">
        <f ca="1">ROUND(C29*F36,1)</f>
        <v>2168</v>
      </c>
      <c r="D36" s="1961" t="s">
        <v>1803</v>
      </c>
      <c r="E36" s="783" t="s">
        <v>1796</v>
      </c>
      <c r="F36" s="816">
        <f ca="1">INDIRECT("'数据-取费表'!Ak"&amp;$G$1)</f>
        <v>0.01</v>
      </c>
      <c r="G36" s="2046"/>
      <c r="H36" s="2061"/>
      <c r="I36" s="838" t="s">
        <v>1815</v>
      </c>
      <c r="J36" s="839">
        <f ca="1">INDIRECT("'数据-取费表'!j"&amp;$G$1)</f>
        <v>5.5E-2</v>
      </c>
      <c r="K36" s="2066"/>
      <c r="L36" s="2061"/>
      <c r="M36" s="2061"/>
    </row>
    <row r="37" spans="1:18" ht="18" customHeight="1">
      <c r="A37" s="1633" t="s">
        <v>1890</v>
      </c>
      <c r="B37" s="783" t="s">
        <v>679</v>
      </c>
      <c r="C37" s="53">
        <f ca="1">ROUND(C13*F37,1)</f>
        <v>216.8</v>
      </c>
      <c r="D37" s="1961" t="s">
        <v>1804</v>
      </c>
      <c r="E37" s="783" t="s">
        <v>1796</v>
      </c>
      <c r="F37" s="817">
        <f ca="1">INDIRECT("'数据-取费表'!Al"&amp;$G$1)</f>
        <v>1E-3</v>
      </c>
      <c r="G37" s="2046"/>
      <c r="H37" s="2061"/>
      <c r="I37" s="840" t="s">
        <v>1816</v>
      </c>
      <c r="J37" s="841"/>
      <c r="K37" s="2066"/>
      <c r="L37" s="2061"/>
      <c r="M37" s="2061"/>
    </row>
    <row r="38" spans="1:18" ht="18" customHeight="1" thickBot="1">
      <c r="A38" s="2514" t="s">
        <v>1891</v>
      </c>
      <c r="B38" s="2509" t="s">
        <v>666</v>
      </c>
      <c r="C38" s="2507">
        <f ca="1">ROUND(C5*F38,1)</f>
        <v>163.6</v>
      </c>
      <c r="D38" s="2508" t="s">
        <v>1805</v>
      </c>
      <c r="E38" s="2509" t="s">
        <v>1796</v>
      </c>
      <c r="F38" s="2505">
        <f ca="1">INDIRECT("'数据-取费表'!Am"&amp;$G$1)</f>
        <v>0.01</v>
      </c>
      <c r="G38" s="2046"/>
      <c r="H38" s="2061"/>
      <c r="I38" s="842" t="s">
        <v>1817</v>
      </c>
      <c r="J38" s="843"/>
      <c r="K38" s="2067"/>
      <c r="L38" s="2061"/>
      <c r="M38" s="2061"/>
    </row>
    <row r="39" spans="1:18" ht="24.6" customHeight="1" thickTop="1">
      <c r="A39" s="1813" t="s">
        <v>1894</v>
      </c>
      <c r="B39" s="2844" t="s">
        <v>2817</v>
      </c>
      <c r="C39" s="791">
        <f ca="1">C5-C30</f>
        <v>11111</v>
      </c>
      <c r="D39" s="2511" t="s">
        <v>1806</v>
      </c>
      <c r="E39" s="2512"/>
      <c r="F39" s="2513"/>
      <c r="G39" s="2046"/>
      <c r="H39" s="2061"/>
      <c r="I39" s="836" t="s">
        <v>1818</v>
      </c>
      <c r="J39" s="844">
        <f ca="1">ROUND(J35/C39,3)</f>
        <v>1.073</v>
      </c>
      <c r="K39" s="2067"/>
      <c r="L39" s="2061"/>
      <c r="M39" s="2061"/>
    </row>
    <row r="40" spans="1:18" ht="18" customHeight="1">
      <c r="A40" s="780" t="s">
        <v>1895</v>
      </c>
      <c r="B40" s="2216" t="s">
        <v>2298</v>
      </c>
      <c r="C40" s="782">
        <f ca="1">ROUND(C39*(1-((1+F42)/(1+F40))^F41)/(F40-F42),0)</f>
        <v>238689</v>
      </c>
      <c r="D40" s="813" t="s">
        <v>1807</v>
      </c>
      <c r="E40" s="783" t="s">
        <v>2416</v>
      </c>
      <c r="F40" s="793">
        <f ca="1">INDIRECT("'数据-取费表'!I"&amp;$G$1)</f>
        <v>0.04</v>
      </c>
      <c r="G40" s="2046"/>
      <c r="H40" s="2046"/>
      <c r="I40" s="836" t="s">
        <v>1819</v>
      </c>
      <c r="J40" s="844">
        <f ca="1">1-J39</f>
        <v>-7.2999999999999954E-2</v>
      </c>
      <c r="K40" s="2067"/>
      <c r="L40" s="2046"/>
      <c r="M40" s="2046"/>
    </row>
    <row r="41" spans="1:18" ht="18" customHeight="1">
      <c r="A41" s="785"/>
      <c r="B41" s="786"/>
      <c r="C41" s="787"/>
      <c r="D41" s="820" t="s">
        <v>1808</v>
      </c>
      <c r="E41" s="783" t="s">
        <v>2960</v>
      </c>
      <c r="F41" s="821">
        <f ca="1">IF(INDIRECT("'数据-取费表'!af"&amp;$G$1)=0,INDIRECT("'数据-取费表'!ae"&amp;$G$1),INDIRECT("'数据-取费表'!af"&amp;$G$1))</f>
        <v>50</v>
      </c>
      <c r="G41" s="2046"/>
      <c r="H41" s="1972"/>
      <c r="I41" s="842" t="s">
        <v>1820</v>
      </c>
      <c r="J41" s="845"/>
      <c r="K41" s="2066"/>
      <c r="L41" s="1972"/>
      <c r="M41" s="1972"/>
    </row>
    <row r="42" spans="1:18" ht="18" customHeight="1">
      <c r="A42" s="789"/>
      <c r="B42" s="790"/>
      <c r="C42" s="791"/>
      <c r="D42" s="815"/>
      <c r="E42" s="783" t="s">
        <v>1809</v>
      </c>
      <c r="F42" s="793">
        <f ca="1">INDIRECT("'数据-取费表'!v"&amp;$G$1)</f>
        <v>0</v>
      </c>
      <c r="G42" s="2046"/>
      <c r="H42" s="1972"/>
      <c r="I42" s="846" t="s">
        <v>1821</v>
      </c>
      <c r="J42" s="844">
        <f ca="1">ROUND(C13/C40,3)</f>
        <v>0.90800000000000003</v>
      </c>
      <c r="K42" s="2066"/>
      <c r="L42" s="1972"/>
      <c r="M42" s="1972"/>
    </row>
    <row r="43" spans="1:18" ht="18" customHeight="1" thickBot="1">
      <c r="A43" s="822" t="s">
        <v>1787</v>
      </c>
      <c r="B43" s="823" t="s">
        <v>1810</v>
      </c>
      <c r="C43" s="824">
        <f ca="1">ROUND(C40*10000/F43,0)</f>
        <v>5752</v>
      </c>
      <c r="D43" s="825" t="s">
        <v>1811</v>
      </c>
      <c r="E43" s="826" t="s">
        <v>1812</v>
      </c>
      <c r="F43" s="827">
        <f ca="1">INDIRECT("'数据-取费表'!k"&amp;$G$1)</f>
        <v>415000</v>
      </c>
      <c r="G43" s="2046"/>
      <c r="H43" s="1972"/>
      <c r="I43" s="846" t="s">
        <v>1822</v>
      </c>
      <c r="J43" s="847">
        <f ca="1">1-J42</f>
        <v>9.1999999999999971E-2</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2292</v>
      </c>
      <c r="B46" s="2069"/>
      <c r="C46" s="2537">
        <f ca="1">C67-C40</f>
        <v>-329494</v>
      </c>
      <c r="D46" s="2069"/>
      <c r="E46" s="2069"/>
      <c r="F46" s="2069"/>
      <c r="I46" s="2341" t="s">
        <v>2340</v>
      </c>
      <c r="J46" s="2342"/>
      <c r="K46" s="2343"/>
      <c r="L46" s="2960" t="str">
        <f ca="1">IF(OR(M47="住宅",D1="土地（套用方法）"),0,IF(L48&gt;J51,L60,J60))</f>
        <v>0</v>
      </c>
      <c r="O46" s="2357" t="s">
        <v>2407</v>
      </c>
      <c r="P46" s="1577"/>
      <c r="Q46" s="1588"/>
      <c r="R46" s="1577"/>
    </row>
    <row r="47" spans="1:18" s="2043" customFormat="1" ht="18" customHeight="1" thickBot="1">
      <c r="A47" s="2335">
        <v>1</v>
      </c>
      <c r="B47" s="2336" t="s">
        <v>635</v>
      </c>
      <c r="C47" s="2537">
        <f ca="1">C48+C52+C54</f>
        <v>0</v>
      </c>
      <c r="D47" s="2069"/>
      <c r="E47" s="2069"/>
      <c r="F47" s="2069"/>
      <c r="I47" s="2951" t="s">
        <v>2341</v>
      </c>
      <c r="J47" s="2344" t="s">
        <v>3031</v>
      </c>
      <c r="K47" s="2957" t="s">
        <v>2346</v>
      </c>
      <c r="L47" s="2961">
        <f ca="1">INDIRECT("'数据-取费表'!d"&amp;$G$1)</f>
        <v>50</v>
      </c>
      <c r="M47" s="1588" t="str">
        <f>IF(ISNUMBER(FIND("住宅",C1)),"住宅","非住宅")</f>
        <v>非住宅</v>
      </c>
      <c r="O47" s="2358" t="s">
        <v>2372</v>
      </c>
      <c r="P47" s="2359" t="s">
        <v>2373</v>
      </c>
      <c r="Q47" s="2360" t="s">
        <v>2374</v>
      </c>
      <c r="R47" s="2359" t="s">
        <v>2375</v>
      </c>
    </row>
    <row r="48" spans="1:18" s="2043" customFormat="1" ht="18" customHeight="1" thickBot="1">
      <c r="A48" s="2605" t="s">
        <v>2534</v>
      </c>
      <c r="B48" s="2606" t="s">
        <v>2535</v>
      </c>
      <c r="C48" s="2337">
        <f ca="1">ROUND(F48*F50*F49*(1-F51)/10000,0)</f>
        <v>0</v>
      </c>
      <c r="D48" s="2338" t="s">
        <v>636</v>
      </c>
      <c r="E48" s="2339" t="s">
        <v>2293</v>
      </c>
      <c r="F48" s="2340"/>
      <c r="G48" s="2074"/>
      <c r="I48" s="2947" t="s">
        <v>2342</v>
      </c>
      <c r="J48" s="2345" t="s">
        <v>2347</v>
      </c>
      <c r="K48" s="2958" t="s">
        <v>2348</v>
      </c>
      <c r="L48" s="1892">
        <f ca="1">INDIRECT("'数据-取费表'!f"&amp;$G$1)</f>
        <v>50</v>
      </c>
      <c r="O48" s="2361" t="s">
        <v>2376</v>
      </c>
      <c r="P48" s="2362" t="s">
        <v>2402</v>
      </c>
      <c r="Q48" s="2363">
        <f ca="1">C40+J29</f>
        <v>238689</v>
      </c>
      <c r="R48" s="2362" t="s">
        <v>2377</v>
      </c>
    </row>
    <row r="49" spans="1:18" s="2043" customFormat="1" ht="18" customHeight="1" thickBot="1">
      <c r="A49" s="785"/>
      <c r="B49" s="786"/>
      <c r="C49" s="787"/>
      <c r="D49" s="788"/>
      <c r="E49" s="783" t="s">
        <v>1739</v>
      </c>
      <c r="F49" s="784">
        <f ca="1">F7</f>
        <v>415000</v>
      </c>
      <c r="G49" s="2074"/>
      <c r="H49" s="2077"/>
      <c r="I49" s="2947" t="s">
        <v>2343</v>
      </c>
      <c r="J49" s="2346">
        <v>2020</v>
      </c>
      <c r="K49" s="2959" t="s">
        <v>2349</v>
      </c>
      <c r="L49" s="2347"/>
      <c r="O49" s="2361" t="s">
        <v>2378</v>
      </c>
      <c r="P49" s="2362" t="s">
        <v>2403</v>
      </c>
      <c r="Q49" s="2363" t="str">
        <f ca="1">J60</f>
        <v>0</v>
      </c>
      <c r="R49" s="2362" t="s">
        <v>2379</v>
      </c>
    </row>
    <row r="50" spans="1:18" s="2043" customFormat="1" ht="18" customHeight="1" thickBot="1">
      <c r="A50" s="785"/>
      <c r="B50" s="786"/>
      <c r="C50" s="787"/>
      <c r="D50" s="788"/>
      <c r="E50" s="783" t="s">
        <v>1740</v>
      </c>
      <c r="F50" s="784">
        <f ca="1">F8</f>
        <v>365</v>
      </c>
      <c r="G50" s="2079"/>
      <c r="H50" s="2077"/>
      <c r="I50" s="2947" t="s">
        <v>2344</v>
      </c>
      <c r="J50" s="2955">
        <f>SUMPRODUCT((I63:I65=J47)*(J62:L62=J48)*(J63:L65))</f>
        <v>60</v>
      </c>
      <c r="K50" s="2959" t="s">
        <v>2350</v>
      </c>
      <c r="L50" s="2347"/>
      <c r="O50" s="2364" t="s">
        <v>2380</v>
      </c>
      <c r="P50" s="2362" t="s">
        <v>2404</v>
      </c>
      <c r="Q50" s="2363">
        <f ca="1">C29</f>
        <v>216804</v>
      </c>
      <c r="R50" s="2362" t="s">
        <v>2377</v>
      </c>
    </row>
    <row r="51" spans="1:18" s="2043" customFormat="1" ht="18" customHeight="1" thickBot="1">
      <c r="A51" s="785"/>
      <c r="B51" s="786"/>
      <c r="C51" s="787"/>
      <c r="D51" s="788"/>
      <c r="E51" s="783" t="s">
        <v>640</v>
      </c>
      <c r="F51" s="2334"/>
      <c r="H51" s="2077"/>
      <c r="I51" s="2952" t="s">
        <v>2345</v>
      </c>
      <c r="J51" s="2956">
        <f>IF(J49="",J50,J49+J50-YEAR('数据-取费表'!B2))</f>
        <v>60</v>
      </c>
      <c r="K51" s="2947" t="s">
        <v>2351</v>
      </c>
      <c r="L51" s="2962">
        <f ca="1">ROUND(-PV(INDIRECT("'数据-取费表'!h"&amp;$G$1),J51,(C39-C13*J36),0),0)</f>
        <v>-18398</v>
      </c>
      <c r="O51" s="2364" t="s">
        <v>2381</v>
      </c>
      <c r="P51" s="2362" t="s">
        <v>2382</v>
      </c>
      <c r="Q51" s="2365" t="e">
        <f ca="1">J58</f>
        <v>#VALUE!</v>
      </c>
      <c r="R51" s="2366"/>
    </row>
    <row r="52" spans="1:18" s="2043" customFormat="1" ht="18" customHeight="1" thickBot="1">
      <c r="A52" s="780" t="s">
        <v>2533</v>
      </c>
      <c r="B52" s="2457" t="s">
        <v>2456</v>
      </c>
      <c r="C52" s="798">
        <f ca="1">ROUND(IF(F52="押一",C48/12*F11,IF(F52="押二",C48/12*2*F11,IF(F52="押三",C48/12*3*F11,C53*F11))),0)</f>
        <v>0</v>
      </c>
      <c r="D52" s="2464" t="s">
        <v>2971</v>
      </c>
      <c r="E52" s="2461" t="s">
        <v>2461</v>
      </c>
      <c r="F52" s="2584"/>
      <c r="I52" s="2953" t="s">
        <v>2418</v>
      </c>
      <c r="J52" s="2348"/>
      <c r="K52" s="2953" t="s">
        <v>2417</v>
      </c>
      <c r="L52" s="2348"/>
      <c r="O52" s="2364" t="s">
        <v>2383</v>
      </c>
      <c r="P52" s="2362" t="s">
        <v>2384</v>
      </c>
      <c r="Q52" s="2365">
        <f>J52</f>
        <v>0</v>
      </c>
      <c r="R52" s="2366"/>
    </row>
    <row r="53" spans="1:18" s="2043" customFormat="1" ht="39.75" customHeight="1" thickBot="1">
      <c r="A53" s="785"/>
      <c r="B53" s="2458" t="s">
        <v>2570</v>
      </c>
      <c r="C53" s="2462"/>
      <c r="D53" s="2464"/>
      <c r="E53" s="2461"/>
      <c r="F53" s="799"/>
      <c r="I53" s="2954" t="s">
        <v>2974</v>
      </c>
      <c r="J53" s="3032">
        <f ca="1">IF(M47="住宅",MAX(J51,L48),MIN(J51,L48))</f>
        <v>50</v>
      </c>
      <c r="K53" s="3559" t="s">
        <v>2962</v>
      </c>
      <c r="L53" s="3560"/>
      <c r="O53" s="2364" t="s">
        <v>2385</v>
      </c>
      <c r="P53" s="2362" t="s">
        <v>2386</v>
      </c>
      <c r="Q53" s="2363">
        <f ca="1">J53</f>
        <v>50</v>
      </c>
      <c r="R53" s="2362" t="s">
        <v>2387</v>
      </c>
    </row>
    <row r="54" spans="1:18" s="2043" customFormat="1" ht="18" customHeight="1" thickBot="1">
      <c r="A54" s="2500" t="s">
        <v>2464</v>
      </c>
      <c r="B54" s="2501" t="s">
        <v>2457</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2388</v>
      </c>
      <c r="P54" s="2362" t="s">
        <v>2405</v>
      </c>
      <c r="Q54" s="2363">
        <f ca="1">Q48+Q49</f>
        <v>238689</v>
      </c>
      <c r="R54" s="2366" t="s">
        <v>2389</v>
      </c>
    </row>
    <row r="55" spans="1:18" s="2043" customFormat="1" ht="18" customHeight="1" thickTop="1" thickBot="1">
      <c r="A55" s="796">
        <v>2</v>
      </c>
      <c r="B55" s="797" t="s">
        <v>644</v>
      </c>
      <c r="C55" s="798">
        <f ca="1">C13</f>
        <v>216804</v>
      </c>
      <c r="D55" s="794"/>
      <c r="E55" s="794"/>
      <c r="F55" s="799"/>
      <c r="I55" s="2965" t="s">
        <v>2352</v>
      </c>
      <c r="J55" s="2929" t="e">
        <f ca="1">ROUND(IF(J47="钢混",J57/J50,1-(1-2%)*(J50-J57)/J50),3)</f>
        <v>#VALUE!</v>
      </c>
      <c r="K55" s="2966" t="s">
        <v>2353</v>
      </c>
      <c r="L55" s="2349"/>
      <c r="O55" s="2367" t="s">
        <v>2408</v>
      </c>
      <c r="P55" s="1577"/>
      <c r="Q55" s="1588"/>
      <c r="R55" s="1577"/>
    </row>
    <row r="56" spans="1:18" s="2043" customFormat="1" ht="42.75" customHeight="1" thickBot="1">
      <c r="A56" s="1634"/>
      <c r="B56" s="2215" t="s">
        <v>2299</v>
      </c>
      <c r="C56" s="53">
        <f ca="1">C29</f>
        <v>216804</v>
      </c>
      <c r="D56" s="2602"/>
      <c r="E56" s="783"/>
      <c r="F56" s="808"/>
      <c r="I56" s="2967" t="s">
        <v>2354</v>
      </c>
      <c r="J56" s="2977" t="s">
        <v>1678</v>
      </c>
      <c r="K56" s="2947" t="s">
        <v>2359</v>
      </c>
      <c r="L56" s="1892" t="str">
        <f ca="1">IF(L48&lt;J51,"——",L48-J51)</f>
        <v>——</v>
      </c>
      <c r="O56" s="2358" t="s">
        <v>2372</v>
      </c>
      <c r="P56" s="2359" t="s">
        <v>2373</v>
      </c>
      <c r="Q56" s="2360" t="s">
        <v>2374</v>
      </c>
      <c r="R56" s="2359" t="s">
        <v>2375</v>
      </c>
    </row>
    <row r="57" spans="1:18" s="2043" customFormat="1" ht="28.5" customHeight="1" thickBot="1">
      <c r="A57" s="796" t="s">
        <v>1748</v>
      </c>
      <c r="B57" s="797" t="s">
        <v>651</v>
      </c>
      <c r="C57" s="798">
        <f ca="1">ROUND(C58+C63+C64+C65,0)</f>
        <v>4227</v>
      </c>
      <c r="D57" s="26" t="s">
        <v>1750</v>
      </c>
      <c r="E57" s="2603"/>
      <c r="F57" s="56"/>
      <c r="I57" s="2968" t="s">
        <v>2355</v>
      </c>
      <c r="J57" s="2969" t="str">
        <f ca="1">IF(OR(M47="住宅",J51&lt;L48,J56="是"),"——",J51-L48)</f>
        <v>——</v>
      </c>
      <c r="K57" s="2947" t="s">
        <v>2360</v>
      </c>
      <c r="L57" s="1892" t="str">
        <f ca="1">IF(L48&lt;J51,"——",IF(L55="比较法",L49,IF(L55="基准地价",L50,L51)))</f>
        <v>——</v>
      </c>
      <c r="O57" s="2361" t="s">
        <v>2376</v>
      </c>
      <c r="P57" s="2362" t="s">
        <v>2406</v>
      </c>
      <c r="Q57" s="2363">
        <f ca="1">C40+J29</f>
        <v>238689</v>
      </c>
      <c r="R57" s="2362" t="s">
        <v>2377</v>
      </c>
    </row>
    <row r="58" spans="1:18" s="2043" customFormat="1" ht="28.5" customHeight="1" thickBot="1">
      <c r="A58" s="1633" t="s">
        <v>1824</v>
      </c>
      <c r="B58" s="783" t="s">
        <v>656</v>
      </c>
      <c r="C58" s="53">
        <f ca="1">ROUND(IF(项目基本情况!B11="自然人",C47*F58,C59+C60+C61),1)</f>
        <v>1842.4</v>
      </c>
      <c r="D58" s="2601" t="s">
        <v>657</v>
      </c>
      <c r="E58" s="2602" t="s">
        <v>690</v>
      </c>
      <c r="F58" s="809" t="str">
        <f ca="1">IF(项目基本情况!B11="企业","",IF(INDIRECT("'数据-取费表'!c"&amp;$G$1)="住宅",5%,IF(F48*F49*F50/12/(1+'数据-取费表'!C42)&gt;20000,12%,7%)))</f>
        <v/>
      </c>
      <c r="I58" s="2968" t="s">
        <v>2356</v>
      </c>
      <c r="J58" s="2930" t="e">
        <f ca="1">IF(J55&lt;0.4,0.4,J55)</f>
        <v>#VALUE!</v>
      </c>
      <c r="K58" s="2947" t="s">
        <v>2361</v>
      </c>
      <c r="L58" s="1892" t="e">
        <f ca="1">ROUND(POWER(1+L52,L47-L48)*(POWER(1+L52,L48)-1)/(POWER(1+L52,L47)-1),4)</f>
        <v>#DIV/0!</v>
      </c>
      <c r="O58" s="2361" t="s">
        <v>2378</v>
      </c>
      <c r="P58" s="2362" t="s">
        <v>2409</v>
      </c>
      <c r="Q58" s="2363">
        <f ca="1">L60</f>
        <v>0</v>
      </c>
      <c r="R58" s="2366" t="s">
        <v>2411</v>
      </c>
    </row>
    <row r="59" spans="1:18" s="2043" customFormat="1" ht="28.5" customHeight="1" thickBot="1">
      <c r="A59" s="1632" t="s">
        <v>1831</v>
      </c>
      <c r="B59" s="783" t="s">
        <v>660</v>
      </c>
      <c r="C59" s="53">
        <f ca="1">ROUND(C47*F59/1.05,1)</f>
        <v>0</v>
      </c>
      <c r="D59" s="2602" t="s">
        <v>1756</v>
      </c>
      <c r="E59" s="783" t="s">
        <v>1747</v>
      </c>
      <c r="F59" s="808">
        <f t="shared" ref="F59:F65" si="0">F32</f>
        <v>5.5000000000000007E-2</v>
      </c>
      <c r="I59" s="2968" t="s">
        <v>2357</v>
      </c>
      <c r="J59" s="2969" t="str">
        <f ca="1">IF(OR(M47="住宅",J51&lt;L48,J56="是"),"——",ROUND(C29*J58,0))</f>
        <v>——</v>
      </c>
      <c r="K59" s="2947"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2380</v>
      </c>
      <c r="P59" s="2362" t="s">
        <v>2410</v>
      </c>
      <c r="Q59" s="2363">
        <f>IF(L55="比较法",L49,IF(L55="基准地价",L50,0))</f>
        <v>0</v>
      </c>
      <c r="R59" s="2362" t="s">
        <v>2377</v>
      </c>
    </row>
    <row r="60" spans="1:18" s="2043" customFormat="1" ht="18" customHeight="1" thickBot="1">
      <c r="A60" s="1632" t="s">
        <v>1832</v>
      </c>
      <c r="B60" s="783" t="s">
        <v>1758</v>
      </c>
      <c r="C60" s="53">
        <f ca="1">IF(D60="按租金收入计税",ROUND(C47*F60,1),IF(D60="按房产原值计税",ROUND(C56*F60*0.7,1),INDIRECT("'数据-取费表'!Aj"&amp;$G$1)))</f>
        <v>1821.2</v>
      </c>
      <c r="D60" s="2602" t="str">
        <f>D33</f>
        <v>按房产原值计税</v>
      </c>
      <c r="E60" s="783" t="s">
        <v>1747</v>
      </c>
      <c r="F60" s="808">
        <f t="shared" si="0"/>
        <v>1.2E-2</v>
      </c>
      <c r="I60" s="2970" t="s">
        <v>2358</v>
      </c>
      <c r="J60" s="2971" t="str">
        <f ca="1">IF(OR(M47="住宅",J51&lt;L48,J56="是"),"0",ROUND(J59/(1+J52)^J53,0))</f>
        <v>0</v>
      </c>
      <c r="K60" s="2972" t="s">
        <v>2363</v>
      </c>
      <c r="L60" s="2971">
        <f ca="1">IF(OR(M47="住宅",L48&lt;J51),0,ROUND(L57*(L58/L59-1),0))</f>
        <v>0</v>
      </c>
      <c r="O60" s="2364" t="s">
        <v>2381</v>
      </c>
      <c r="P60" s="2362" t="s">
        <v>2390</v>
      </c>
      <c r="Q60" s="2365">
        <f>L52</f>
        <v>0</v>
      </c>
      <c r="R60" s="2366"/>
    </row>
    <row r="61" spans="1:18" s="2043" customFormat="1" ht="18" customHeight="1" thickBot="1">
      <c r="A61" s="1635" t="s">
        <v>1833</v>
      </c>
      <c r="B61" s="340" t="s">
        <v>668</v>
      </c>
      <c r="C61" s="54">
        <f ca="1">ROUND(F61*F62/10000,1)</f>
        <v>21.2</v>
      </c>
      <c r="D61" s="813" t="s">
        <v>669</v>
      </c>
      <c r="E61" s="783" t="s">
        <v>670</v>
      </c>
      <c r="F61" s="639">
        <f t="shared" si="0"/>
        <v>1.5</v>
      </c>
      <c r="K61" s="2070"/>
      <c r="O61" s="2364" t="s">
        <v>2383</v>
      </c>
      <c r="P61" s="2362" t="s">
        <v>2391</v>
      </c>
      <c r="Q61" s="2363" t="e">
        <f ca="1">L58</f>
        <v>#DIV/0!</v>
      </c>
      <c r="R61" s="2366" t="s">
        <v>2392</v>
      </c>
    </row>
    <row r="62" spans="1:18" s="2043" customFormat="1" ht="15.75" thickBot="1">
      <c r="A62" s="814"/>
      <c r="B62" s="792"/>
      <c r="C62" s="69"/>
      <c r="D62" s="815"/>
      <c r="E62" s="783" t="s">
        <v>674</v>
      </c>
      <c r="F62" s="784">
        <f t="shared" ca="1" si="0"/>
        <v>141207.44</v>
      </c>
      <c r="I62" s="2973" t="s">
        <v>2364</v>
      </c>
      <c r="J62" s="2974" t="s">
        <v>2365</v>
      </c>
      <c r="K62" s="2974" t="s">
        <v>2366</v>
      </c>
      <c r="L62" s="2974" t="s">
        <v>2347</v>
      </c>
      <c r="M62" s="2975" t="s">
        <v>2939</v>
      </c>
      <c r="O62" s="2364" t="s">
        <v>2385</v>
      </c>
      <c r="P62" s="2362" t="str">
        <f>K59</f>
        <v>建筑物剩余耐用年限下的土地年期修正系数Kn</v>
      </c>
      <c r="Q62" s="2363" t="e">
        <f ca="1">L59</f>
        <v>#DIV/0!</v>
      </c>
      <c r="R62" s="2366" t="s">
        <v>2394</v>
      </c>
    </row>
    <row r="63" spans="1:18" s="2043" customFormat="1" ht="15.75" thickBot="1">
      <c r="A63" s="1633" t="s">
        <v>1889</v>
      </c>
      <c r="B63" s="783" t="s">
        <v>676</v>
      </c>
      <c r="C63" s="53">
        <f ca="1">ROUND(C56*F63,1)</f>
        <v>2168</v>
      </c>
      <c r="D63" s="2602" t="s">
        <v>1803</v>
      </c>
      <c r="E63" s="783" t="s">
        <v>1747</v>
      </c>
      <c r="F63" s="816">
        <f t="shared" ca="1" si="0"/>
        <v>0.01</v>
      </c>
      <c r="I63" s="2973" t="s">
        <v>2367</v>
      </c>
      <c r="J63" s="2974">
        <v>70</v>
      </c>
      <c r="K63" s="2974">
        <v>50</v>
      </c>
      <c r="L63" s="2974">
        <v>80</v>
      </c>
      <c r="M63" s="2976">
        <v>0.02</v>
      </c>
      <c r="O63" s="2361" t="s">
        <v>2388</v>
      </c>
      <c r="P63" s="2362" t="s">
        <v>2405</v>
      </c>
      <c r="Q63" s="2363">
        <f ca="1">Q57+Q58</f>
        <v>238689</v>
      </c>
      <c r="R63" s="2366" t="s">
        <v>2389</v>
      </c>
    </row>
    <row r="64" spans="1:18" s="2043" customFormat="1" ht="16.5" thickBot="1">
      <c r="A64" s="1633" t="s">
        <v>1890</v>
      </c>
      <c r="B64" s="783" t="s">
        <v>679</v>
      </c>
      <c r="C64" s="53">
        <f ca="1">ROUND(C55*F64,1)</f>
        <v>216.8</v>
      </c>
      <c r="D64" s="2602" t="s">
        <v>680</v>
      </c>
      <c r="E64" s="783" t="s">
        <v>1747</v>
      </c>
      <c r="F64" s="817">
        <f t="shared" ca="1" si="0"/>
        <v>1E-3</v>
      </c>
      <c r="I64" s="2973" t="s">
        <v>2368</v>
      </c>
      <c r="J64" s="2974">
        <v>50</v>
      </c>
      <c r="K64" s="2974">
        <v>35</v>
      </c>
      <c r="L64" s="2974">
        <v>60</v>
      </c>
      <c r="M64" s="845">
        <v>0</v>
      </c>
      <c r="O64" s="2367" t="s">
        <v>2412</v>
      </c>
      <c r="P64" s="1577"/>
      <c r="Q64" s="1588"/>
      <c r="R64" s="1577"/>
    </row>
    <row r="65" spans="1:18" s="2043" customFormat="1" ht="15.75" thickBot="1">
      <c r="A65" s="1633" t="s">
        <v>1891</v>
      </c>
      <c r="B65" s="783" t="s">
        <v>666</v>
      </c>
      <c r="C65" s="53">
        <f ca="1">ROUND(C47*F65,1)</f>
        <v>0</v>
      </c>
      <c r="D65" s="2602" t="s">
        <v>683</v>
      </c>
      <c r="E65" s="783" t="s">
        <v>1747</v>
      </c>
      <c r="F65" s="793">
        <f t="shared" ca="1" si="0"/>
        <v>0.01</v>
      </c>
      <c r="I65" s="2973" t="s">
        <v>2369</v>
      </c>
      <c r="J65" s="2974">
        <v>40</v>
      </c>
      <c r="K65" s="2974">
        <v>30</v>
      </c>
      <c r="L65" s="2974">
        <v>50</v>
      </c>
      <c r="M65" s="2976">
        <v>0.02</v>
      </c>
      <c r="O65" s="2358" t="s">
        <v>2372</v>
      </c>
      <c r="P65" s="2359" t="s">
        <v>2373</v>
      </c>
      <c r="Q65" s="2360" t="s">
        <v>2374</v>
      </c>
      <c r="R65" s="2359" t="s">
        <v>2375</v>
      </c>
    </row>
    <row r="66" spans="1:18" s="2043" customFormat="1" ht="24.75" thickBot="1">
      <c r="A66" s="796" t="s">
        <v>1776</v>
      </c>
      <c r="B66" s="2845" t="s">
        <v>2817</v>
      </c>
      <c r="C66" s="798">
        <f ca="1">C47-C57</f>
        <v>-4227</v>
      </c>
      <c r="D66" s="2601" t="s">
        <v>700</v>
      </c>
      <c r="E66" s="2600"/>
      <c r="F66" s="819"/>
      <c r="K66" s="2070"/>
      <c r="O66" s="2361" t="s">
        <v>2376</v>
      </c>
      <c r="P66" s="2362" t="s">
        <v>2406</v>
      </c>
      <c r="Q66" s="2363">
        <f ca="1">C40+J29</f>
        <v>238689</v>
      </c>
      <c r="R66" s="2362" t="s">
        <v>2377</v>
      </c>
    </row>
    <row r="67" spans="1:18" s="2043" customFormat="1" ht="20.25" thickBot="1">
      <c r="A67" s="780" t="s">
        <v>1780</v>
      </c>
      <c r="B67" s="2216" t="s">
        <v>2298</v>
      </c>
      <c r="C67" s="782">
        <f ca="1">ROUND(C66*(1-((1+F69)/(1+F67))^F68)/(F67-F69),0)</f>
        <v>-90805</v>
      </c>
      <c r="D67" s="813" t="s">
        <v>704</v>
      </c>
      <c r="E67" s="783" t="s">
        <v>705</v>
      </c>
      <c r="F67" s="793">
        <f ca="1">F40</f>
        <v>0.04</v>
      </c>
      <c r="K67" s="2070"/>
      <c r="O67" s="2361" t="s">
        <v>2378</v>
      </c>
      <c r="P67" s="2362" t="s">
        <v>2409</v>
      </c>
      <c r="Q67" s="2363">
        <f ca="1">L60</f>
        <v>0</v>
      </c>
      <c r="R67" s="2366" t="s">
        <v>2411</v>
      </c>
    </row>
    <row r="68" spans="1:18" ht="21.75" thickBot="1">
      <c r="A68" s="785"/>
      <c r="B68" s="786"/>
      <c r="C68" s="787"/>
      <c r="D68" s="820" t="s">
        <v>1808</v>
      </c>
      <c r="E68" s="783" t="s">
        <v>1784</v>
      </c>
      <c r="F68" s="821">
        <f ca="1">F41</f>
        <v>50</v>
      </c>
      <c r="O68" s="2364" t="s">
        <v>2380</v>
      </c>
      <c r="P68" s="2362" t="s">
        <v>2410</v>
      </c>
      <c r="Q68" s="2368">
        <f ca="1">L51</f>
        <v>-18398</v>
      </c>
      <c r="R68" s="2369" t="s">
        <v>2413</v>
      </c>
    </row>
    <row r="69" spans="1:18" ht="20.25" thickBot="1">
      <c r="A69" s="789"/>
      <c r="B69" s="790"/>
      <c r="C69" s="791"/>
      <c r="D69" s="815"/>
      <c r="E69" s="783" t="s">
        <v>710</v>
      </c>
      <c r="F69" s="2334"/>
      <c r="O69" s="2364" t="s">
        <v>2381</v>
      </c>
      <c r="P69" s="2370" t="s">
        <v>2395</v>
      </c>
      <c r="Q69" s="2363">
        <f ca="1">ROUND(Q70-Q71*Q72,0)</f>
        <v>-813</v>
      </c>
      <c r="R69" s="2366"/>
    </row>
    <row r="70" spans="1:18" ht="15.75" thickBot="1">
      <c r="A70" s="822" t="s">
        <v>1787</v>
      </c>
      <c r="B70" s="823" t="s">
        <v>1810</v>
      </c>
      <c r="C70" s="824">
        <f ca="1">ROUND(C67*10000/F70,0)</f>
        <v>-2188</v>
      </c>
      <c r="D70" s="825" t="s">
        <v>1811</v>
      </c>
      <c r="E70" s="826" t="s">
        <v>1812</v>
      </c>
      <c r="F70" s="827">
        <f ca="1">F43</f>
        <v>415000</v>
      </c>
      <c r="O70" s="2364" t="s">
        <v>2396</v>
      </c>
      <c r="P70" s="2370" t="s">
        <v>2397</v>
      </c>
      <c r="Q70" s="2363">
        <f ca="1">C39</f>
        <v>11111</v>
      </c>
      <c r="R70" s="2362" t="s">
        <v>2377</v>
      </c>
    </row>
    <row r="71" spans="1:18" ht="15.75" thickBot="1">
      <c r="O71" s="2364" t="s">
        <v>2398</v>
      </c>
      <c r="P71" s="2370" t="s">
        <v>2399</v>
      </c>
      <c r="Q71" s="2363">
        <f ca="1">C13</f>
        <v>216804</v>
      </c>
      <c r="R71" s="2362" t="s">
        <v>2377</v>
      </c>
    </row>
    <row r="72" spans="1:18" ht="15.75" thickBot="1">
      <c r="O72" s="2364" t="s">
        <v>2400</v>
      </c>
      <c r="P72" s="2370" t="s">
        <v>2401</v>
      </c>
      <c r="Q72" s="2365">
        <f ca="1">J36</f>
        <v>5.5E-2</v>
      </c>
      <c r="R72" s="2366"/>
    </row>
    <row r="73" spans="1:18" ht="15.75" thickBot="1">
      <c r="O73" s="2364" t="s">
        <v>2383</v>
      </c>
      <c r="P73" s="2362" t="s">
        <v>2390</v>
      </c>
      <c r="Q73" s="2365">
        <f>L52</f>
        <v>0</v>
      </c>
      <c r="R73" s="2366"/>
    </row>
    <row r="74" spans="1:18" ht="20.25" thickBot="1">
      <c r="O74" s="2364" t="s">
        <v>2385</v>
      </c>
      <c r="P74" s="2362" t="s">
        <v>2391</v>
      </c>
      <c r="Q74" s="2363" t="e">
        <f ca="1">L58</f>
        <v>#DIV/0!</v>
      </c>
      <c r="R74" s="2366" t="s">
        <v>2392</v>
      </c>
    </row>
    <row r="75" spans="1:18" ht="15.75" thickBot="1">
      <c r="O75" s="2364" t="s">
        <v>2414</v>
      </c>
      <c r="P75" s="2362" t="str">
        <f>K59</f>
        <v>建筑物剩余耐用年限下的土地年期修正系数Kn</v>
      </c>
      <c r="Q75" s="2363" t="e">
        <f ca="1">L59</f>
        <v>#DIV/0!</v>
      </c>
      <c r="R75" s="2366" t="s">
        <v>2394</v>
      </c>
    </row>
    <row r="76" spans="1:18" ht="15.75" thickBot="1">
      <c r="O76" s="2361" t="s">
        <v>2388</v>
      </c>
      <c r="P76" s="2362" t="s">
        <v>2405</v>
      </c>
      <c r="Q76" s="2363">
        <f ca="1">Q66+Q67</f>
        <v>238689</v>
      </c>
      <c r="R76" s="2366"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20" priority="7">
      <formula>$L$48&gt;$J$51</formula>
    </cfRule>
  </conditionalFormatting>
  <conditionalFormatting sqref="I55">
    <cfRule type="expression" dxfId="19" priority="8">
      <formula>$J$51&gt;$L$48</formula>
    </cfRule>
  </conditionalFormatting>
  <conditionalFormatting sqref="I60">
    <cfRule type="expression" dxfId="18" priority="6">
      <formula>$J$51&gt;$L$48</formula>
    </cfRule>
  </conditionalFormatting>
  <conditionalFormatting sqref="K60">
    <cfRule type="expression" dxfId="17" priority="5">
      <formula>$L$48&gt;$J$51</formula>
    </cfRule>
  </conditionalFormatting>
  <conditionalFormatting sqref="C11">
    <cfRule type="expression" dxfId="16" priority="4">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4" sqref="A24"/>
    </sheetView>
  </sheetViews>
  <sheetFormatPr defaultRowHeight="13.5"/>
  <sheetData/>
  <phoneticPr fontId="228"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7" workbookViewId="0">
      <selection activeCell="C18" sqref="C18:C20"/>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647" t="s">
        <v>1677</v>
      </c>
      <c r="C1" s="2088"/>
      <c r="D1" s="2088"/>
      <c r="E1" s="2088"/>
      <c r="F1" s="2088"/>
      <c r="G1" s="2088"/>
      <c r="H1" s="2088"/>
      <c r="I1" s="2088"/>
      <c r="J1" s="2088"/>
      <c r="K1" s="421">
        <f>MATCH(B1,'数据-取费表'!A6:A16,0)+5</f>
        <v>8</v>
      </c>
    </row>
    <row r="2" spans="1:31" s="2025" customFormat="1" ht="18" customHeight="1">
      <c r="A2" s="2085" t="s">
        <v>467</v>
      </c>
      <c r="B2" s="2089">
        <f ca="1">C36</f>
        <v>162353</v>
      </c>
      <c r="C2" s="2088"/>
      <c r="D2" s="2088"/>
      <c r="E2" s="2088"/>
      <c r="F2" s="2088"/>
      <c r="G2" s="2088"/>
      <c r="H2" s="2088"/>
      <c r="I2" s="2088"/>
      <c r="J2" s="2088"/>
      <c r="K2" s="2088"/>
    </row>
    <row r="3" spans="1:31" s="2025" customFormat="1" ht="18" customHeight="1">
      <c r="A3" s="2090" t="s">
        <v>1684</v>
      </c>
      <c r="B3" s="2091">
        <f ca="1">ROUND(B2*10000/IF(B1="",'数据-汇总表'!E3,INDIRECT("'数据-取费表'!K"&amp;$K$1)),0)</f>
        <v>9894</v>
      </c>
      <c r="C3" s="2088"/>
      <c r="D3" s="2088"/>
      <c r="E3" s="2088"/>
      <c r="F3" s="2088"/>
      <c r="G3" s="2088"/>
      <c r="H3" s="2088"/>
      <c r="I3" s="2088"/>
      <c r="J3" s="2088"/>
      <c r="K3" s="2088"/>
    </row>
    <row r="4" spans="1:31" s="2025" customFormat="1" ht="18" customHeight="1">
      <c r="A4" s="425" t="s">
        <v>468</v>
      </c>
      <c r="B4" s="426">
        <f ca="1">ROUND(B2*10000/IF(B1="",'数据-汇总表'!D3,INDIRECT("'数据-取费表'!R"&amp;$K$1)),0)</f>
        <v>29078</v>
      </c>
      <c r="C4" s="427"/>
      <c r="D4" s="421"/>
      <c r="E4" s="421"/>
      <c r="F4" s="421"/>
      <c r="G4" s="421"/>
      <c r="H4" s="421"/>
      <c r="I4" s="421"/>
      <c r="J4" s="421"/>
      <c r="K4" s="421"/>
    </row>
    <row r="5" spans="1:31" s="2025" customFormat="1" ht="18" customHeight="1" thickBot="1">
      <c r="A5" s="428"/>
      <c r="B5" s="429">
        <f ca="1">ROUND(B2/(IF(B1="",'数据-汇总表'!D3,INDIRECT("'数据-取费表'!R"&amp;$K$1))/666.67),0)</f>
        <v>1939</v>
      </c>
      <c r="C5" s="430" t="s">
        <v>469</v>
      </c>
      <c r="D5" s="421"/>
      <c r="E5" s="421"/>
      <c r="F5" s="421"/>
      <c r="G5" s="421"/>
      <c r="H5" s="421"/>
      <c r="I5" s="421"/>
      <c r="J5" s="421"/>
      <c r="K5" s="421"/>
    </row>
    <row r="6" spans="1:31" s="2095" customFormat="1" ht="16.5" customHeight="1">
      <c r="A6" s="2666" t="s">
        <v>1842</v>
      </c>
      <c r="B6" s="2667"/>
      <c r="C6" s="2668">
        <f>SUM(C10:K10)</f>
        <v>361005</v>
      </c>
      <c r="D6" s="2667"/>
      <c r="E6" s="2667"/>
      <c r="F6" s="2667"/>
      <c r="G6" s="2667"/>
      <c r="H6" s="2667"/>
      <c r="I6" s="2667"/>
      <c r="J6" s="2667"/>
      <c r="K6" s="2669"/>
    </row>
    <row r="7" spans="1:31" s="2097" customFormat="1" ht="15">
      <c r="A7" s="2670" t="s">
        <v>470</v>
      </c>
      <c r="B7" s="2671" t="s">
        <v>471</v>
      </c>
      <c r="C7" s="435" t="s">
        <v>1677</v>
      </c>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1845</v>
      </c>
      <c r="B8" s="260" t="s">
        <v>472</v>
      </c>
      <c r="C8" s="2672">
        <v>22000</v>
      </c>
      <c r="D8" s="2672"/>
      <c r="E8" s="2672"/>
      <c r="F8" s="2672"/>
      <c r="G8" s="2672"/>
      <c r="H8" s="2672"/>
      <c r="I8" s="2672"/>
      <c r="J8" s="2672"/>
      <c r="K8" s="2673"/>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1846</v>
      </c>
      <c r="B9" s="260" t="s">
        <v>473</v>
      </c>
      <c r="C9" s="440">
        <f>SUMIF('数据-汇总表'!$C19:$C33,'剩余法-办公'!C7,'数据-汇总表'!$E19:$E33)</f>
        <v>164092.99</v>
      </c>
      <c r="D9" s="440">
        <f>SUMIF('数据-汇总表'!$C19:$C33,'剩余法-办公'!D7,'数据-汇总表'!$E19:$E33)</f>
        <v>0</v>
      </c>
      <c r="E9" s="440">
        <f>SUMIF('数据-汇总表'!$C19:$C33,'剩余法-办公'!E7,'数据-汇总表'!$E19:$E33)</f>
        <v>0</v>
      </c>
      <c r="F9" s="440">
        <f>SUMIF('数据-汇总表'!$C19:$C33,'剩余法-办公'!F7,'数据-汇总表'!$E19:$E33)</f>
        <v>0</v>
      </c>
      <c r="G9" s="440">
        <f>SUMIF('数据-汇总表'!$C19:$C33,'剩余法-办公'!G7,'数据-汇总表'!$E19:$E33)</f>
        <v>0</v>
      </c>
      <c r="H9" s="440">
        <f>SUMIF('数据-汇总表'!$C19:$C33,'剩余法-办公'!H7,'数据-汇总表'!$E19:$E33)</f>
        <v>0</v>
      </c>
      <c r="I9" s="440">
        <f>SUMIF('数据-汇总表'!$C19:$C33,'剩余法-办公'!I7,'数据-汇总表'!$E19:$E33)</f>
        <v>0</v>
      </c>
      <c r="J9" s="440">
        <f>SUMIF('数据-汇总表'!$C19:$C33,'剩余法-办公'!J7,'数据-汇总表'!$E19:$E33)</f>
        <v>0</v>
      </c>
      <c r="K9" s="441">
        <f>SUMIF('数据-汇总表'!$C19:$C33,'剩余法-办公'!K7,'数据-汇总表'!$E19:$E33)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674" t="s">
        <v>1847</v>
      </c>
      <c r="B10" s="2660" t="s">
        <v>474</v>
      </c>
      <c r="C10" s="2863">
        <f>ROUND(C8*C9/10000,0)</f>
        <v>361005</v>
      </c>
      <c r="D10" s="2863"/>
      <c r="E10" s="2863"/>
      <c r="F10" s="2675"/>
      <c r="G10" s="2675"/>
      <c r="H10" s="2675"/>
      <c r="I10" s="2675"/>
      <c r="J10" s="2675"/>
      <c r="K10" s="2676"/>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677" t="s">
        <v>1843</v>
      </c>
      <c r="B11" s="2667"/>
      <c r="C11" s="2667"/>
      <c r="D11" s="2667"/>
      <c r="E11" s="2667"/>
      <c r="F11" s="2667"/>
      <c r="G11" s="2667"/>
      <c r="H11" s="2667"/>
      <c r="I11" s="2667"/>
      <c r="J11" s="2667"/>
      <c r="K11" s="2669"/>
    </row>
    <row r="12" spans="1:31" s="2069" customFormat="1" ht="13.5" customHeight="1">
      <c r="A12" s="2678" t="s">
        <v>470</v>
      </c>
      <c r="B12" s="2650" t="s">
        <v>471</v>
      </c>
      <c r="C12" s="2679" t="s">
        <v>475</v>
      </c>
      <c r="D12" s="3253" t="s">
        <v>476</v>
      </c>
      <c r="E12" s="3253" t="s">
        <v>477</v>
      </c>
      <c r="F12" s="3253" t="s">
        <v>478</v>
      </c>
      <c r="G12" s="2650"/>
      <c r="H12" s="2651"/>
      <c r="I12" s="2651"/>
      <c r="J12" s="2651"/>
      <c r="K12" s="2652"/>
    </row>
    <row r="13" spans="1:31" s="2100" customFormat="1" ht="13.5" customHeight="1">
      <c r="A13" s="2680" t="s">
        <v>1848</v>
      </c>
      <c r="B13" s="2681" t="s">
        <v>479</v>
      </c>
      <c r="C13" s="449">
        <f>'数据-取费表'!M7</f>
        <v>97732</v>
      </c>
      <c r="D13" s="2682"/>
      <c r="E13" s="2683"/>
      <c r="F13" s="2684"/>
      <c r="G13" s="2650"/>
      <c r="H13" s="2651"/>
      <c r="I13" s="2651"/>
      <c r="J13" s="2651"/>
      <c r="K13" s="2652"/>
    </row>
    <row r="14" spans="1:31" s="2100" customFormat="1" ht="13.5" customHeight="1">
      <c r="A14" s="2680" t="s">
        <v>1849</v>
      </c>
      <c r="B14" s="2681" t="s">
        <v>480</v>
      </c>
      <c r="C14" s="53">
        <f>ROUND(C13*F14,0)</f>
        <v>2932</v>
      </c>
      <c r="D14" s="2682"/>
      <c r="E14" s="2683"/>
      <c r="F14" s="2685">
        <f>'数据-取费表'!B33</f>
        <v>0.03</v>
      </c>
      <c r="G14" s="2650" t="s">
        <v>481</v>
      </c>
      <c r="H14" s="2651"/>
      <c r="I14" s="2651"/>
      <c r="J14" s="2651"/>
      <c r="K14" s="2652"/>
    </row>
    <row r="15" spans="1:31" s="2100" customFormat="1" ht="13.5" customHeight="1">
      <c r="A15" s="2680" t="s">
        <v>1850</v>
      </c>
      <c r="B15" s="2681" t="s">
        <v>482</v>
      </c>
      <c r="C15" s="53">
        <f ca="1">ROUND(IF(B1="",SUMIF('数据-取费表'!C:C,"住宅",'数据-取费表'!P:P)*F15,IF(INDIRECT("'数据-取费表'!c"&amp;$K$1)="住宅",INDIRECT("'数据-取费表'!P"&amp;$K$1)*F15,0)),0)</f>
        <v>0</v>
      </c>
      <c r="D15" s="2682"/>
      <c r="E15" s="2683"/>
      <c r="F15" s="2685">
        <f>'数据-取费表'!B34</f>
        <v>0.15</v>
      </c>
      <c r="G15" s="2650" t="s">
        <v>483</v>
      </c>
      <c r="H15" s="2651"/>
      <c r="I15" s="2651"/>
      <c r="J15" s="2651"/>
      <c r="K15" s="2652"/>
    </row>
    <row r="16" spans="1:31" s="2101" customFormat="1" ht="13.5" customHeight="1">
      <c r="A16" s="2680" t="s">
        <v>1851</v>
      </c>
      <c r="B16" s="2681" t="s">
        <v>484</v>
      </c>
      <c r="C16" s="53">
        <f ca="1">ROUND(D16*E16/10000,0)</f>
        <v>4923</v>
      </c>
      <c r="D16" s="2682">
        <f ca="1">IF(B1="",'数据-汇总表'!E3,INDIRECT("'数据-取费表'!K"&amp;$K$1)+INDIRECT("'数据-取费表'!S"&amp;$K$1))</f>
        <v>164092.99</v>
      </c>
      <c r="E16" s="53">
        <f>'数据-取费表'!B35</f>
        <v>300</v>
      </c>
      <c r="F16" s="2685"/>
      <c r="G16" s="2650"/>
      <c r="H16" s="2651"/>
      <c r="I16" s="2651"/>
      <c r="J16" s="2651"/>
      <c r="K16" s="2652"/>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680" t="s">
        <v>1852</v>
      </c>
      <c r="B17" s="2681" t="s">
        <v>485</v>
      </c>
      <c r="C17" s="2686">
        <f>ROUND(C13*F17,0)</f>
        <v>1466</v>
      </c>
      <c r="D17" s="474"/>
      <c r="E17" s="2686"/>
      <c r="F17" s="2687">
        <f>'数据-取费表'!B36</f>
        <v>1.4999999999999999E-2</v>
      </c>
      <c r="G17" s="260" t="s">
        <v>486</v>
      </c>
      <c r="H17" s="2653"/>
      <c r="I17" s="2653"/>
      <c r="J17" s="2653"/>
      <c r="K17" s="278"/>
    </row>
    <row r="18" spans="1:14" s="2100" customFormat="1" ht="13.5" customHeight="1">
      <c r="A18" s="2688" t="s">
        <v>1853</v>
      </c>
      <c r="B18" s="2689" t="s">
        <v>487</v>
      </c>
      <c r="C18" s="2690">
        <f ca="1">SUM(C13:C17)</f>
        <v>107053</v>
      </c>
      <c r="D18" s="2691"/>
      <c r="E18" s="467"/>
      <c r="F18" s="467"/>
      <c r="G18" s="2654" t="s">
        <v>2427</v>
      </c>
      <c r="H18" s="2655"/>
      <c r="I18" s="2655"/>
      <c r="J18" s="2655"/>
      <c r="K18" s="2656"/>
    </row>
    <row r="19" spans="1:14" s="2100" customFormat="1" ht="13.5" customHeight="1">
      <c r="A19" s="2688" t="s">
        <v>1854</v>
      </c>
      <c r="B19" s="2689" t="s">
        <v>488</v>
      </c>
      <c r="C19" s="3253">
        <f ca="1">ROUND(D19*E19/10000,0)</f>
        <v>3282</v>
      </c>
      <c r="D19" s="2692">
        <f ca="1">D16</f>
        <v>164092.99</v>
      </c>
      <c r="E19" s="3253">
        <f>'数据-取费表'!B32</f>
        <v>200</v>
      </c>
      <c r="F19" s="467"/>
      <c r="G19" s="2650" t="s">
        <v>489</v>
      </c>
      <c r="H19" s="2651"/>
      <c r="I19" s="2655"/>
      <c r="J19" s="2655"/>
      <c r="K19" s="2656"/>
    </row>
    <row r="20" spans="1:14" s="2100" customFormat="1" ht="13.5" customHeight="1">
      <c r="A20" s="2688" t="s">
        <v>1855</v>
      </c>
      <c r="B20" s="2689" t="s">
        <v>490</v>
      </c>
      <c r="C20" s="3253">
        <f ca="1">C21+C22-IF(B1="",'数据-取费表'!B29,IF(G20="已全部缴纳",C21+C22,H20))</f>
        <v>3282</v>
      </c>
      <c r="D20" s="2692"/>
      <c r="E20" s="3253"/>
      <c r="F20" s="2693"/>
      <c r="G20" s="2916" t="s">
        <v>3040</v>
      </c>
      <c r="H20" s="2648"/>
      <c r="I20" s="2649" t="s">
        <v>2647</v>
      </c>
      <c r="J20" s="2655"/>
      <c r="K20" s="2656"/>
    </row>
    <row r="21" spans="1:14" s="2100" customFormat="1" ht="13.5" customHeight="1">
      <c r="A21" s="2680" t="s">
        <v>1856</v>
      </c>
      <c r="B21" s="2681" t="s">
        <v>491</v>
      </c>
      <c r="C21" s="53">
        <f ca="1">ROUND(D21*E21/10000,0)</f>
        <v>0</v>
      </c>
      <c r="D21" s="2682">
        <f ca="1">IF(B1="",'数据-汇总表'!E5,IF(INDIRECT("'数据-取费表'!c"&amp;$K$1)="住宅",INDIRECT("'数据-取费表'!k"&amp;$K$1),0))</f>
        <v>0</v>
      </c>
      <c r="E21" s="53">
        <f>'数据-取费表'!B27</f>
        <v>170</v>
      </c>
      <c r="F21" s="2685"/>
      <c r="G21" s="26"/>
      <c r="H21" s="51"/>
      <c r="I21" s="51"/>
      <c r="J21" s="51"/>
      <c r="K21" s="2657"/>
    </row>
    <row r="22" spans="1:14" s="2100" customFormat="1" ht="13.5" customHeight="1">
      <c r="A22" s="2680" t="s">
        <v>1857</v>
      </c>
      <c r="B22" s="2681" t="s">
        <v>492</v>
      </c>
      <c r="C22" s="53">
        <f ca="1">ROUND(D22*E22/10000,0)</f>
        <v>3282</v>
      </c>
      <c r="D22" s="2682">
        <f ca="1">IF(B1="",'数据-汇总表'!E6,IF(INDIRECT("'数据-取费表'!c"&amp;$K$1)="住宅",INDIRECT("'数据-取费表'!s"&amp;$K$1),INDIRECT("'数据-取费表'!k"&amp;$K$1)+INDIRECT("'数据-取费表'!s"&amp;$K$1)))</f>
        <v>164092.99</v>
      </c>
      <c r="E22" s="53">
        <f>'数据-取费表'!B28</f>
        <v>200</v>
      </c>
      <c r="F22" s="2685"/>
      <c r="G22" s="26"/>
      <c r="H22" s="51"/>
      <c r="I22" s="51"/>
      <c r="J22" s="51"/>
      <c r="K22" s="2657"/>
    </row>
    <row r="23" spans="1:14" s="2100" customFormat="1" ht="13.5" customHeight="1">
      <c r="A23" s="2688" t="s">
        <v>1858</v>
      </c>
      <c r="B23" s="2869" t="s">
        <v>2829</v>
      </c>
      <c r="C23" s="2690">
        <f ca="1">ROUND((C18+C19+C20)*F23,0)</f>
        <v>2272</v>
      </c>
      <c r="D23" s="467"/>
      <c r="E23" s="467"/>
      <c r="F23" s="2694">
        <f>'数据-取费表'!B37</f>
        <v>0.02</v>
      </c>
      <c r="G23" s="2650" t="s">
        <v>2428</v>
      </c>
      <c r="H23" s="2651"/>
      <c r="I23" s="2651"/>
      <c r="J23" s="2651"/>
      <c r="K23" s="2652"/>
      <c r="L23" s="2102"/>
      <c r="M23" s="2102"/>
      <c r="N23" s="2102"/>
    </row>
    <row r="24" spans="1:14" s="2100" customFormat="1" ht="13.5" customHeight="1">
      <c r="A24" s="2688" t="s">
        <v>1859</v>
      </c>
      <c r="B24" s="2869" t="s">
        <v>2832</v>
      </c>
      <c r="C24" s="2690">
        <f>ROUND(C6*F24,0)</f>
        <v>7220</v>
      </c>
      <c r="D24" s="474"/>
      <c r="E24" s="472"/>
      <c r="F24" s="2694">
        <f>'数据-取费表'!B38</f>
        <v>0.02</v>
      </c>
      <c r="G24" s="2659" t="s">
        <v>499</v>
      </c>
      <c r="H24" s="2653"/>
      <c r="I24" s="2653"/>
      <c r="J24" s="2653"/>
      <c r="K24" s="278"/>
      <c r="L24" s="2102"/>
      <c r="M24" s="2102"/>
      <c r="N24" s="2102"/>
    </row>
    <row r="25" spans="1:14" s="2103" customFormat="1" ht="13.5" customHeight="1">
      <c r="A25" s="2688" t="s">
        <v>1860</v>
      </c>
      <c r="B25" s="2869" t="s">
        <v>2830</v>
      </c>
      <c r="C25" s="3033">
        <f>F25</f>
        <v>3.0499999999999999E-2</v>
      </c>
      <c r="D25" s="461" t="s">
        <v>2824</v>
      </c>
      <c r="E25" s="468"/>
      <c r="F25" s="2694">
        <f>'数据-取费表'!B48+'数据-取费表'!B49</f>
        <v>3.0499999999999999E-2</v>
      </c>
      <c r="G25" s="2658" t="s">
        <v>2988</v>
      </c>
      <c r="H25" s="2651"/>
      <c r="I25" s="2651"/>
      <c r="J25" s="2651"/>
      <c r="K25" s="2652"/>
    </row>
    <row r="26" spans="1:14" s="2102" customFormat="1" ht="13.5" customHeight="1">
      <c r="A26" s="2688" t="s">
        <v>1861</v>
      </c>
      <c r="B26" s="2870" t="s">
        <v>2831</v>
      </c>
      <c r="C26" s="2695">
        <f ca="1">C28</f>
        <v>7352</v>
      </c>
      <c r="D26" s="466">
        <f ca="1">C27</f>
        <v>0.1268</v>
      </c>
      <c r="E26" s="468" t="s">
        <v>495</v>
      </c>
      <c r="F26" s="470">
        <f ca="1">'数据-取费表'!B40</f>
        <v>4.7500000000000001E-2</v>
      </c>
      <c r="G26" s="2535" t="str">
        <f>IF('数据-取费表'!B22&lt;=1,"单利计息。","复利计息。")&amp;"后续开发成本、管理费用及销售费用产生的利息。"</f>
        <v>复利计息。后续开发成本、管理费用及销售费用产生的利息。</v>
      </c>
      <c r="H26" s="2655"/>
      <c r="I26" s="2655"/>
      <c r="J26" s="2655"/>
      <c r="K26" s="2656"/>
    </row>
    <row r="27" spans="1:14" s="2104" customFormat="1" ht="13.5" customHeight="1">
      <c r="A27" s="802" t="s">
        <v>1856</v>
      </c>
      <c r="B27" s="2696" t="s">
        <v>496</v>
      </c>
      <c r="C27" s="2697">
        <f ca="1">ROUND(IF('数据-取费表'!B22&lt;=1,(1+C25)*F26*'数据-取费表'!B24,(1+C25)*(POWER((1+F26),'数据-取费表'!B24)-1)),4)</f>
        <v>0.1268</v>
      </c>
      <c r="D27" s="471"/>
      <c r="E27" s="472"/>
      <c r="F27" s="473"/>
      <c r="G27" s="2535" t="str">
        <f>IF('数据-取费表'!B22&lt;=1,"（1+取得税费率/(1+5%)）×年利率×建设期","（1+取得税费率）/(1+5%)×((1+年利率)^建设期-1)")</f>
        <v>（1+取得税费率）/(1+5%)×((1+年利率)^建设期-1)</v>
      </c>
      <c r="H27" s="2653"/>
      <c r="I27" s="2653"/>
      <c r="J27" s="2653"/>
      <c r="K27" s="278"/>
    </row>
    <row r="28" spans="1:14" s="2104" customFormat="1" ht="13.5" customHeight="1">
      <c r="A28" s="802" t="s">
        <v>1857</v>
      </c>
      <c r="B28" s="2696" t="s">
        <v>2833</v>
      </c>
      <c r="C28" s="2698">
        <f ca="1">ROUND(IF('数据-取费表'!B22&lt;=1,(C18+C19+C20+C23+C24)*F26*'数据-取费表'!B24/2,(C18+C19+C20+C23+C24)*(POWER((1+F26),'数据-取费表'!B24/2)-1)),0)</f>
        <v>7352</v>
      </c>
      <c r="D28" s="471"/>
      <c r="E28" s="472"/>
      <c r="F28" s="473"/>
      <c r="G28" s="2535" t="str">
        <f>IF('数据-取费表'!B22&lt;=1,"（1）-（4）项×年利率×建设期÷2","（1）-（4）项×((1+年利率)^(建设期÷2)-1)")</f>
        <v>（1）-（4）项×((1+年利率)^(建设期÷2)-1)</v>
      </c>
      <c r="H28" s="2653"/>
      <c r="I28" s="2653"/>
      <c r="J28" s="2653"/>
      <c r="K28" s="278"/>
    </row>
    <row r="29" spans="1:14" s="2104" customFormat="1" ht="13.5" customHeight="1">
      <c r="A29" s="2699" t="s">
        <v>1862</v>
      </c>
      <c r="B29" s="2689" t="s">
        <v>497</v>
      </c>
      <c r="C29" s="2690">
        <f>ROUND(C6*F29/(1+'数据-取费表'!C42),0)</f>
        <v>19426</v>
      </c>
      <c r="D29" s="467"/>
      <c r="E29" s="467"/>
      <c r="F29" s="3265">
        <v>5.6500000000000002E-2</v>
      </c>
      <c r="G29" s="2659" t="s">
        <v>498</v>
      </c>
      <c r="H29" s="2651"/>
      <c r="I29" s="2651"/>
      <c r="J29" s="2651"/>
      <c r="K29" s="2652"/>
    </row>
    <row r="30" spans="1:14" s="2105" customFormat="1" ht="13.5" customHeight="1">
      <c r="A30" s="1619" t="s">
        <v>1863</v>
      </c>
      <c r="B30" s="2700" t="s">
        <v>500</v>
      </c>
      <c r="C30" s="2695">
        <f ca="1">C31</f>
        <v>149887</v>
      </c>
      <c r="D30" s="476">
        <f ca="1">C32</f>
        <v>0.1573</v>
      </c>
      <c r="E30" s="468" t="s">
        <v>495</v>
      </c>
      <c r="F30" s="470"/>
      <c r="G30" s="2658" t="s">
        <v>2968</v>
      </c>
      <c r="H30" s="2651"/>
      <c r="I30" s="2651"/>
      <c r="J30" s="2651"/>
      <c r="K30" s="2652"/>
    </row>
    <row r="31" spans="1:14" s="2104" customFormat="1" ht="13.5" customHeight="1">
      <c r="A31" s="802" t="s">
        <v>1856</v>
      </c>
      <c r="B31" s="2696"/>
      <c r="C31" s="449">
        <f ca="1">C18+C19+C20+C23+C24+C26+C29</f>
        <v>149887</v>
      </c>
      <c r="D31" s="471"/>
      <c r="E31" s="472"/>
      <c r="F31" s="473"/>
      <c r="G31" s="260"/>
      <c r="H31" s="2653"/>
      <c r="I31" s="2653"/>
      <c r="J31" s="2653"/>
      <c r="K31" s="278"/>
    </row>
    <row r="32" spans="1:14" s="2104" customFormat="1" ht="13.5" customHeight="1">
      <c r="A32" s="802" t="s">
        <v>1857</v>
      </c>
      <c r="B32" s="2696"/>
      <c r="C32" s="53">
        <f ca="1">ROUND(C25+D26,4)</f>
        <v>0.1573</v>
      </c>
      <c r="D32" s="471"/>
      <c r="E32" s="472"/>
      <c r="F32" s="473"/>
      <c r="G32" s="260"/>
      <c r="H32" s="2653"/>
      <c r="I32" s="2653"/>
      <c r="J32" s="2653"/>
      <c r="K32" s="278"/>
    </row>
    <row r="33" spans="1:11" s="2106" customFormat="1" ht="13.5" customHeight="1">
      <c r="A33" s="2868" t="s">
        <v>2828</v>
      </c>
      <c r="B33" s="2866" t="s">
        <v>2826</v>
      </c>
      <c r="C33" s="477">
        <f ca="1">C35</f>
        <v>9849</v>
      </c>
      <c r="D33" s="466">
        <f ca="1">C34</f>
        <v>8.2400000000000001E-2</v>
      </c>
      <c r="E33" s="468" t="s">
        <v>495</v>
      </c>
      <c r="F33" s="478">
        <f ca="1">IF(B1="",'数据-取费表'!Q16,INDIRECT("'数据-取费表'!q"&amp;$K$1))</f>
        <v>0.08</v>
      </c>
      <c r="G33" s="2654"/>
      <c r="H33" s="2655"/>
      <c r="I33" s="2655"/>
      <c r="J33" s="2655"/>
      <c r="K33" s="2656"/>
    </row>
    <row r="34" spans="1:11" s="2107" customFormat="1" ht="13.5" customHeight="1">
      <c r="A34" s="374" t="s">
        <v>1856</v>
      </c>
      <c r="B34" s="2701" t="s">
        <v>501</v>
      </c>
      <c r="C34" s="471">
        <f ca="1">ROUND((1+C25)*F33,4)</f>
        <v>8.2400000000000001E-2</v>
      </c>
      <c r="D34" s="471"/>
      <c r="E34" s="472"/>
      <c r="F34" s="479"/>
      <c r="G34" s="260" t="s">
        <v>2287</v>
      </c>
      <c r="H34" s="2653"/>
      <c r="I34" s="2653"/>
      <c r="J34" s="2653"/>
      <c r="K34" s="278"/>
    </row>
    <row r="35" spans="1:11" s="2107" customFormat="1" ht="13.5" customHeight="1" thickBot="1">
      <c r="A35" s="1620" t="s">
        <v>1857</v>
      </c>
      <c r="B35" s="2867" t="s">
        <v>2834</v>
      </c>
      <c r="C35" s="1612">
        <f ca="1">ROUND((C18+C19+C20+C23+C24)*F33,0)</f>
        <v>9849</v>
      </c>
      <c r="D35" s="1613"/>
      <c r="E35" s="2702"/>
      <c r="F35" s="1614"/>
      <c r="G35" s="2660"/>
      <c r="H35" s="2661"/>
      <c r="I35" s="2661"/>
      <c r="J35" s="2661"/>
      <c r="K35" s="2662"/>
    </row>
    <row r="36" spans="1:11" s="2069" customFormat="1" ht="13.5" customHeight="1" thickBot="1">
      <c r="A36" s="283" t="s">
        <v>1844</v>
      </c>
      <c r="B36" s="2664"/>
      <c r="C36" s="2703">
        <f ca="1">ROUND((C6-C30-C33)/(1+D30+D33),0)</f>
        <v>162353</v>
      </c>
      <c r="D36" s="2664"/>
      <c r="E36" s="2664"/>
      <c r="F36" s="2664"/>
      <c r="G36" s="2663" t="s">
        <v>2835</v>
      </c>
      <c r="H36" s="2664"/>
      <c r="I36" s="2664"/>
      <c r="J36" s="2664"/>
      <c r="K36" s="2665"/>
    </row>
    <row r="37" spans="1:11">
      <c r="C37" s="2109">
        <f ca="1">ROUND(C36*10000/D16,0)</f>
        <v>9894</v>
      </c>
    </row>
    <row r="38" spans="1:11" ht="12.75" customHeight="1"/>
  </sheetData>
  <sheetProtection password="C66D" sheet="1" objects="1" scenarios="1" formatCells="0" formatColumns="0" formatRows="0"/>
  <phoneticPr fontId="228"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A80" sqref="A80"/>
    </sheetView>
  </sheetViews>
  <sheetFormatPr defaultRowHeight="13.5"/>
  <sheetData/>
  <phoneticPr fontId="228" type="noConversion"/>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16" sqref="C16"/>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0" t="s">
        <v>603</v>
      </c>
      <c r="B1" s="741"/>
      <c r="C1" s="2166"/>
      <c r="D1" s="2166"/>
      <c r="E1" s="2166"/>
      <c r="F1" s="2166"/>
      <c r="G1" s="2092"/>
    </row>
    <row r="2" spans="1:25" s="2043" customFormat="1" ht="18" customHeight="1">
      <c r="A2" s="422" t="s">
        <v>467</v>
      </c>
      <c r="B2" s="424">
        <f ca="1">C23</f>
        <v>3369698</v>
      </c>
      <c r="C2" s="2092"/>
      <c r="D2" s="2092"/>
      <c r="E2" s="2092"/>
      <c r="F2" s="2092"/>
      <c r="G2" s="2092"/>
    </row>
    <row r="3" spans="1:25" s="2043" customFormat="1" ht="18" customHeight="1">
      <c r="A3" s="1374" t="s">
        <v>1685</v>
      </c>
      <c r="B3" s="424">
        <f ca="1">ROUND(B2*10000/'数据-汇总表'!E3,0)</f>
        <v>14352</v>
      </c>
      <c r="C3" s="2092"/>
      <c r="D3" s="2092"/>
      <c r="E3" s="2092"/>
      <c r="F3" s="2092"/>
      <c r="G3" s="2092"/>
    </row>
    <row r="4" spans="1:25" s="2043" customFormat="1" ht="18" customHeight="1">
      <c r="A4" s="425" t="s">
        <v>468</v>
      </c>
      <c r="B4" s="426">
        <f ca="1">ROUND(B2*10000/'数据-汇总表'!D3,0)</f>
        <v>42179</v>
      </c>
      <c r="C4" s="2045"/>
      <c r="D4" s="2092"/>
      <c r="E4" s="2092"/>
      <c r="F4" s="2092"/>
      <c r="G4" s="2092"/>
    </row>
    <row r="5" spans="1:25" s="2043" customFormat="1" ht="18" customHeight="1" thickBot="1">
      <c r="A5" s="428"/>
      <c r="B5" s="429">
        <f ca="1">ROUND(B2/('数据-汇总表'!D3/666.67),0)</f>
        <v>2812</v>
      </c>
      <c r="C5" s="430" t="s">
        <v>469</v>
      </c>
      <c r="D5" s="2092"/>
      <c r="E5" s="2092"/>
      <c r="F5" s="2092"/>
      <c r="G5" s="2092"/>
    </row>
    <row r="6" spans="1:25" s="2167" customFormat="1" ht="13.5" customHeight="1">
      <c r="A6" s="742"/>
      <c r="B6" s="743" t="s">
        <v>604</v>
      </c>
      <c r="C6" s="744" t="s">
        <v>605</v>
      </c>
      <c r="D6" s="744" t="s">
        <v>606</v>
      </c>
      <c r="E6" s="745" t="s">
        <v>607</v>
      </c>
      <c r="F6" s="745" t="s">
        <v>608</v>
      </c>
      <c r="G6" s="746"/>
    </row>
    <row r="7" spans="1:25" s="2167" customFormat="1" ht="13.5" customHeight="1">
      <c r="A7" s="2432">
        <v>1</v>
      </c>
      <c r="B7" s="747" t="s">
        <v>609</v>
      </c>
      <c r="C7" s="748">
        <f>C8+C9</f>
        <v>3250164</v>
      </c>
      <c r="D7" s="748"/>
      <c r="E7" s="749"/>
      <c r="F7" s="749"/>
      <c r="G7" s="2442" t="s">
        <v>3219</v>
      </c>
    </row>
    <row r="8" spans="1:25" s="2167" customFormat="1" ht="13.5" customHeight="1">
      <c r="A8" s="2432" t="s">
        <v>2437</v>
      </c>
      <c r="B8" s="2435" t="s">
        <v>2439</v>
      </c>
      <c r="C8" s="2436">
        <f>ROUND(土地一级开发成本!F15*'数据-基础表'!B3/10000,0)</f>
        <v>3250164</v>
      </c>
      <c r="D8" s="748"/>
      <c r="E8" s="749"/>
      <c r="F8" s="749"/>
      <c r="G8" s="750"/>
    </row>
    <row r="9" spans="1:25" s="2167" customFormat="1" ht="13.5" customHeight="1">
      <c r="A9" s="2432" t="s">
        <v>2438</v>
      </c>
      <c r="B9" s="2435" t="s">
        <v>2440</v>
      </c>
      <c r="C9" s="2436"/>
      <c r="D9" s="748"/>
      <c r="E9" s="749"/>
      <c r="F9" s="749"/>
      <c r="G9" s="750"/>
    </row>
    <row r="10" spans="1:25" s="2167" customFormat="1" ht="36">
      <c r="A10" s="2432">
        <v>2</v>
      </c>
      <c r="B10" s="747" t="s">
        <v>613</v>
      </c>
      <c r="C10" s="748">
        <f>C11+C14+C15</f>
        <v>46958</v>
      </c>
      <c r="D10" s="759">
        <f>'数据-汇总表'!E3</f>
        <v>2347917.9900000002</v>
      </c>
      <c r="E10" s="748">
        <f>'数据-取费表'!B31</f>
        <v>0</v>
      </c>
      <c r="F10" s="760"/>
      <c r="G10" s="758" t="s">
        <v>614</v>
      </c>
    </row>
    <row r="11" spans="1:25" s="2167" customFormat="1" ht="13.5" customHeight="1">
      <c r="A11" s="2432" t="s">
        <v>2437</v>
      </c>
      <c r="B11" s="751" t="s">
        <v>610</v>
      </c>
      <c r="C11" s="752">
        <f>'数据-取费表'!B29</f>
        <v>0</v>
      </c>
      <c r="D11" s="753"/>
      <c r="E11" s="752"/>
      <c r="F11" s="754"/>
      <c r="G11" s="2441" t="s">
        <v>2448</v>
      </c>
    </row>
    <row r="12" spans="1:25" s="2167" customFormat="1" ht="13.5" customHeight="1">
      <c r="A12" s="2439" t="s">
        <v>2445</v>
      </c>
      <c r="B12" s="755" t="s">
        <v>611</v>
      </c>
      <c r="C12" s="756">
        <f>ROUND(D12*E12/10000,0)</f>
        <v>16766</v>
      </c>
      <c r="D12" s="757">
        <f>'数据-汇总表'!E5</f>
        <v>986259</v>
      </c>
      <c r="E12" s="756">
        <f>'数据-取费表'!B27</f>
        <v>170</v>
      </c>
      <c r="F12" s="754"/>
      <c r="G12" s="758"/>
    </row>
    <row r="13" spans="1:25" s="2167" customFormat="1" ht="13.5" customHeight="1">
      <c r="A13" s="2439" t="s">
        <v>2444</v>
      </c>
      <c r="B13" s="755" t="s">
        <v>612</v>
      </c>
      <c r="C13" s="756">
        <f>ROUND(D13*E13/10000,0)</f>
        <v>27233</v>
      </c>
      <c r="D13" s="757">
        <f>'数据-汇总表'!E6</f>
        <v>1361658.9900000002</v>
      </c>
      <c r="E13" s="756">
        <f>'数据-取费表'!B28</f>
        <v>200</v>
      </c>
      <c r="F13" s="754"/>
      <c r="G13" s="758"/>
    </row>
    <row r="14" spans="1:25" s="2167" customFormat="1" ht="13.5" customHeight="1">
      <c r="A14" s="2432" t="s">
        <v>2438</v>
      </c>
      <c r="B14" s="2438" t="s">
        <v>2441</v>
      </c>
      <c r="C14" s="2436"/>
      <c r="D14" s="757"/>
      <c r="E14" s="756"/>
      <c r="F14" s="2437"/>
      <c r="G14" s="2440" t="s">
        <v>2446</v>
      </c>
    </row>
    <row r="15" spans="1:25" s="2167" customFormat="1" ht="13.5" customHeight="1">
      <c r="A15" s="2432" t="s">
        <v>2443</v>
      </c>
      <c r="B15" s="2438" t="s">
        <v>2442</v>
      </c>
      <c r="C15" s="2436">
        <f>ROUND(D10*200/10000,0)</f>
        <v>46958</v>
      </c>
      <c r="D15" s="757"/>
      <c r="E15" s="756"/>
      <c r="F15" s="2437"/>
      <c r="G15" s="2440" t="s">
        <v>2447</v>
      </c>
    </row>
    <row r="16" spans="1:25" s="2168" customFormat="1" ht="48">
      <c r="A16" s="2432">
        <v>3</v>
      </c>
      <c r="B16" s="747" t="s">
        <v>615</v>
      </c>
      <c r="C16" s="2436"/>
      <c r="D16" s="759"/>
      <c r="E16" s="748"/>
      <c r="F16" s="760"/>
      <c r="G16" s="758" t="s">
        <v>2449</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7" t="s">
        <v>616</v>
      </c>
      <c r="C17" s="2536">
        <f ca="1">ROUND(IF('数据-取费表'!B19&lt;=1,((C7+C16)*'数据-取费表'!B19+C10*'数据-取费表'!B19/2)*F17,((C7+C16)*(POWER((1+F17),'数据-取费表'!B19)-1)+C10*(POWER((1+F17),'数据-取费表'!B19/2)-1))),0)</f>
        <v>142403</v>
      </c>
      <c r="D17" s="761"/>
      <c r="E17" s="762"/>
      <c r="F17" s="763">
        <f ca="1">存贷款利率!E3</f>
        <v>4.3499999999999997E-2</v>
      </c>
      <c r="G17" s="764"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7" t="s">
        <v>617</v>
      </c>
      <c r="C18" s="748">
        <f>ROUND((C7+C10+C16)*F18,0)</f>
        <v>329712</v>
      </c>
      <c r="D18" s="761"/>
      <c r="E18" s="762"/>
      <c r="F18" s="760">
        <f>'数据-取费表'!Q16</f>
        <v>0.1</v>
      </c>
      <c r="G18" s="764"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7" t="s">
        <v>619</v>
      </c>
      <c r="C19" s="748">
        <f ca="1">C7+C10+C16+C17+C18</f>
        <v>3769237</v>
      </c>
      <c r="D19" s="759"/>
      <c r="E19" s="748"/>
      <c r="F19" s="760"/>
      <c r="G19" s="764"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7" t="s">
        <v>621</v>
      </c>
      <c r="C20" s="748">
        <f ca="1">ROUND(C19*F20,0)</f>
        <v>0</v>
      </c>
      <c r="D20" s="759"/>
      <c r="E20" s="748"/>
      <c r="F20" s="1344"/>
      <c r="G20" s="764"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7" t="s">
        <v>623</v>
      </c>
      <c r="C21" s="748">
        <f ca="1">C19+C20</f>
        <v>3769237</v>
      </c>
      <c r="D21" s="759"/>
      <c r="E21" s="748"/>
      <c r="F21" s="760"/>
      <c r="G21" s="764"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7" t="s">
        <v>625</v>
      </c>
      <c r="C22" s="748">
        <f ca="1">ROUND(C21*F22,0)</f>
        <v>3369698</v>
      </c>
      <c r="D22" s="759"/>
      <c r="E22" s="748"/>
      <c r="F22" s="765">
        <f>'数据-取费表'!AP16</f>
        <v>0.89400000000000002</v>
      </c>
      <c r="G22" s="764"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627</v>
      </c>
      <c r="C23" s="767">
        <f ca="1">C22</f>
        <v>3369698</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V16"/>
  <sheetViews>
    <sheetView topLeftCell="A6" zoomScale="90" zoomScaleNormal="90" workbookViewId="0">
      <selection activeCell="F2" sqref="F2:F13"/>
    </sheetView>
  </sheetViews>
  <sheetFormatPr defaultRowHeight="12.75"/>
  <cols>
    <col min="1" max="1" width="9" style="3252" customWidth="1"/>
    <col min="2" max="2" width="43.5" style="3252" customWidth="1"/>
    <col min="3" max="3" width="10.75" style="3252" customWidth="1"/>
    <col min="4" max="4" width="10.5" style="3252" customWidth="1"/>
    <col min="5" max="5" width="16.125" style="3252" customWidth="1"/>
    <col min="6" max="6" width="15.625" style="3252" customWidth="1"/>
    <col min="7" max="7" width="13.875" style="3252" customWidth="1"/>
    <col min="8" max="8" width="27.625" style="3252" customWidth="1"/>
    <col min="9" max="9" width="12.25" style="3252" customWidth="1"/>
    <col min="10" max="11" width="10.625" style="3252" customWidth="1"/>
    <col min="12" max="12" width="13.625" style="3252" customWidth="1"/>
    <col min="13" max="13" width="11.5" style="3252" customWidth="1"/>
    <col min="14" max="14" width="6.25" style="3252" customWidth="1"/>
    <col min="15" max="15" width="7.875" style="3252" customWidth="1"/>
    <col min="16" max="16" width="10" style="3252" customWidth="1"/>
    <col min="17" max="17" width="15.5" style="3252" customWidth="1"/>
    <col min="18" max="18" width="14.25" style="3252" customWidth="1"/>
    <col min="19" max="19" width="19.875" style="3252" customWidth="1"/>
    <col min="20" max="20" width="28.5" style="3252" customWidth="1"/>
    <col min="21" max="22" width="7.875" style="3252" customWidth="1"/>
    <col min="23" max="256" width="9" style="3252"/>
    <col min="257" max="257" width="9" style="3252" customWidth="1"/>
    <col min="258" max="258" width="43.5" style="3252" customWidth="1"/>
    <col min="259" max="259" width="10.75" style="3252" customWidth="1"/>
    <col min="260" max="260" width="10.5" style="3252" customWidth="1"/>
    <col min="261" max="261" width="16.125" style="3252" customWidth="1"/>
    <col min="262" max="262" width="16.875" style="3252" customWidth="1"/>
    <col min="263" max="263" width="13.875" style="3252" customWidth="1"/>
    <col min="264" max="264" width="27.625" style="3252" customWidth="1"/>
    <col min="265" max="265" width="12.25" style="3252" customWidth="1"/>
    <col min="266" max="267" width="10.625" style="3252" customWidth="1"/>
    <col min="268" max="268" width="13.625" style="3252" customWidth="1"/>
    <col min="269" max="269" width="11.5" style="3252" customWidth="1"/>
    <col min="270" max="270" width="6.25" style="3252" customWidth="1"/>
    <col min="271" max="271" width="7.875" style="3252" customWidth="1"/>
    <col min="272" max="272" width="10" style="3252" customWidth="1"/>
    <col min="273" max="273" width="15.5" style="3252" customWidth="1"/>
    <col min="274" max="274" width="14.25" style="3252" customWidth="1"/>
    <col min="275" max="275" width="19.875" style="3252" customWidth="1"/>
    <col min="276" max="276" width="28.5" style="3252" customWidth="1"/>
    <col min="277" max="278" width="7.875" style="3252" customWidth="1"/>
    <col min="279" max="512" width="9" style="3252"/>
    <col min="513" max="513" width="9" style="3252" customWidth="1"/>
    <col min="514" max="514" width="43.5" style="3252" customWidth="1"/>
    <col min="515" max="515" width="10.75" style="3252" customWidth="1"/>
    <col min="516" max="516" width="10.5" style="3252" customWidth="1"/>
    <col min="517" max="517" width="16.125" style="3252" customWidth="1"/>
    <col min="518" max="518" width="16.875" style="3252" customWidth="1"/>
    <col min="519" max="519" width="13.875" style="3252" customWidth="1"/>
    <col min="520" max="520" width="27.625" style="3252" customWidth="1"/>
    <col min="521" max="521" width="12.25" style="3252" customWidth="1"/>
    <col min="522" max="523" width="10.625" style="3252" customWidth="1"/>
    <col min="524" max="524" width="13.625" style="3252" customWidth="1"/>
    <col min="525" max="525" width="11.5" style="3252" customWidth="1"/>
    <col min="526" max="526" width="6.25" style="3252" customWidth="1"/>
    <col min="527" max="527" width="7.875" style="3252" customWidth="1"/>
    <col min="528" max="528" width="10" style="3252" customWidth="1"/>
    <col min="529" max="529" width="15.5" style="3252" customWidth="1"/>
    <col min="530" max="530" width="14.25" style="3252" customWidth="1"/>
    <col min="531" max="531" width="19.875" style="3252" customWidth="1"/>
    <col min="532" max="532" width="28.5" style="3252" customWidth="1"/>
    <col min="533" max="534" width="7.875" style="3252" customWidth="1"/>
    <col min="535" max="768" width="9" style="3252"/>
    <col min="769" max="769" width="9" style="3252" customWidth="1"/>
    <col min="770" max="770" width="43.5" style="3252" customWidth="1"/>
    <col min="771" max="771" width="10.75" style="3252" customWidth="1"/>
    <col min="772" max="772" width="10.5" style="3252" customWidth="1"/>
    <col min="773" max="773" width="16.125" style="3252" customWidth="1"/>
    <col min="774" max="774" width="16.875" style="3252" customWidth="1"/>
    <col min="775" max="775" width="13.875" style="3252" customWidth="1"/>
    <col min="776" max="776" width="27.625" style="3252" customWidth="1"/>
    <col min="777" max="777" width="12.25" style="3252" customWidth="1"/>
    <col min="778" max="779" width="10.625" style="3252" customWidth="1"/>
    <col min="780" max="780" width="13.625" style="3252" customWidth="1"/>
    <col min="781" max="781" width="11.5" style="3252" customWidth="1"/>
    <col min="782" max="782" width="6.25" style="3252" customWidth="1"/>
    <col min="783" max="783" width="7.875" style="3252" customWidth="1"/>
    <col min="784" max="784" width="10" style="3252" customWidth="1"/>
    <col min="785" max="785" width="15.5" style="3252" customWidth="1"/>
    <col min="786" max="786" width="14.25" style="3252" customWidth="1"/>
    <col min="787" max="787" width="19.875" style="3252" customWidth="1"/>
    <col min="788" max="788" width="28.5" style="3252" customWidth="1"/>
    <col min="789" max="790" width="7.875" style="3252" customWidth="1"/>
    <col min="791" max="1024" width="9" style="3252"/>
    <col min="1025" max="1025" width="9" style="3252" customWidth="1"/>
    <col min="1026" max="1026" width="43.5" style="3252" customWidth="1"/>
    <col min="1027" max="1027" width="10.75" style="3252" customWidth="1"/>
    <col min="1028" max="1028" width="10.5" style="3252" customWidth="1"/>
    <col min="1029" max="1029" width="16.125" style="3252" customWidth="1"/>
    <col min="1030" max="1030" width="16.875" style="3252" customWidth="1"/>
    <col min="1031" max="1031" width="13.875" style="3252" customWidth="1"/>
    <col min="1032" max="1032" width="27.625" style="3252" customWidth="1"/>
    <col min="1033" max="1033" width="12.25" style="3252" customWidth="1"/>
    <col min="1034" max="1035" width="10.625" style="3252" customWidth="1"/>
    <col min="1036" max="1036" width="13.625" style="3252" customWidth="1"/>
    <col min="1037" max="1037" width="11.5" style="3252" customWidth="1"/>
    <col min="1038" max="1038" width="6.25" style="3252" customWidth="1"/>
    <col min="1039" max="1039" width="7.875" style="3252" customWidth="1"/>
    <col min="1040" max="1040" width="10" style="3252" customWidth="1"/>
    <col min="1041" max="1041" width="15.5" style="3252" customWidth="1"/>
    <col min="1042" max="1042" width="14.25" style="3252" customWidth="1"/>
    <col min="1043" max="1043" width="19.875" style="3252" customWidth="1"/>
    <col min="1044" max="1044" width="28.5" style="3252" customWidth="1"/>
    <col min="1045" max="1046" width="7.875" style="3252" customWidth="1"/>
    <col min="1047" max="1280" width="9" style="3252"/>
    <col min="1281" max="1281" width="9" style="3252" customWidth="1"/>
    <col min="1282" max="1282" width="43.5" style="3252" customWidth="1"/>
    <col min="1283" max="1283" width="10.75" style="3252" customWidth="1"/>
    <col min="1284" max="1284" width="10.5" style="3252" customWidth="1"/>
    <col min="1285" max="1285" width="16.125" style="3252" customWidth="1"/>
    <col min="1286" max="1286" width="16.875" style="3252" customWidth="1"/>
    <col min="1287" max="1287" width="13.875" style="3252" customWidth="1"/>
    <col min="1288" max="1288" width="27.625" style="3252" customWidth="1"/>
    <col min="1289" max="1289" width="12.25" style="3252" customWidth="1"/>
    <col min="1290" max="1291" width="10.625" style="3252" customWidth="1"/>
    <col min="1292" max="1292" width="13.625" style="3252" customWidth="1"/>
    <col min="1293" max="1293" width="11.5" style="3252" customWidth="1"/>
    <col min="1294" max="1294" width="6.25" style="3252" customWidth="1"/>
    <col min="1295" max="1295" width="7.875" style="3252" customWidth="1"/>
    <col min="1296" max="1296" width="10" style="3252" customWidth="1"/>
    <col min="1297" max="1297" width="15.5" style="3252" customWidth="1"/>
    <col min="1298" max="1298" width="14.25" style="3252" customWidth="1"/>
    <col min="1299" max="1299" width="19.875" style="3252" customWidth="1"/>
    <col min="1300" max="1300" width="28.5" style="3252" customWidth="1"/>
    <col min="1301" max="1302" width="7.875" style="3252" customWidth="1"/>
    <col min="1303" max="1536" width="9" style="3252"/>
    <col min="1537" max="1537" width="9" style="3252" customWidth="1"/>
    <col min="1538" max="1538" width="43.5" style="3252" customWidth="1"/>
    <col min="1539" max="1539" width="10.75" style="3252" customWidth="1"/>
    <col min="1540" max="1540" width="10.5" style="3252" customWidth="1"/>
    <col min="1541" max="1541" width="16.125" style="3252" customWidth="1"/>
    <col min="1542" max="1542" width="16.875" style="3252" customWidth="1"/>
    <col min="1543" max="1543" width="13.875" style="3252" customWidth="1"/>
    <col min="1544" max="1544" width="27.625" style="3252" customWidth="1"/>
    <col min="1545" max="1545" width="12.25" style="3252" customWidth="1"/>
    <col min="1546" max="1547" width="10.625" style="3252" customWidth="1"/>
    <col min="1548" max="1548" width="13.625" style="3252" customWidth="1"/>
    <col min="1549" max="1549" width="11.5" style="3252" customWidth="1"/>
    <col min="1550" max="1550" width="6.25" style="3252" customWidth="1"/>
    <col min="1551" max="1551" width="7.875" style="3252" customWidth="1"/>
    <col min="1552" max="1552" width="10" style="3252" customWidth="1"/>
    <col min="1553" max="1553" width="15.5" style="3252" customWidth="1"/>
    <col min="1554" max="1554" width="14.25" style="3252" customWidth="1"/>
    <col min="1555" max="1555" width="19.875" style="3252" customWidth="1"/>
    <col min="1556" max="1556" width="28.5" style="3252" customWidth="1"/>
    <col min="1557" max="1558" width="7.875" style="3252" customWidth="1"/>
    <col min="1559" max="1792" width="9" style="3252"/>
    <col min="1793" max="1793" width="9" style="3252" customWidth="1"/>
    <col min="1794" max="1794" width="43.5" style="3252" customWidth="1"/>
    <col min="1795" max="1795" width="10.75" style="3252" customWidth="1"/>
    <col min="1796" max="1796" width="10.5" style="3252" customWidth="1"/>
    <col min="1797" max="1797" width="16.125" style="3252" customWidth="1"/>
    <col min="1798" max="1798" width="16.875" style="3252" customWidth="1"/>
    <col min="1799" max="1799" width="13.875" style="3252" customWidth="1"/>
    <col min="1800" max="1800" width="27.625" style="3252" customWidth="1"/>
    <col min="1801" max="1801" width="12.25" style="3252" customWidth="1"/>
    <col min="1802" max="1803" width="10.625" style="3252" customWidth="1"/>
    <col min="1804" max="1804" width="13.625" style="3252" customWidth="1"/>
    <col min="1805" max="1805" width="11.5" style="3252" customWidth="1"/>
    <col min="1806" max="1806" width="6.25" style="3252" customWidth="1"/>
    <col min="1807" max="1807" width="7.875" style="3252" customWidth="1"/>
    <col min="1808" max="1808" width="10" style="3252" customWidth="1"/>
    <col min="1809" max="1809" width="15.5" style="3252" customWidth="1"/>
    <col min="1810" max="1810" width="14.25" style="3252" customWidth="1"/>
    <col min="1811" max="1811" width="19.875" style="3252" customWidth="1"/>
    <col min="1812" max="1812" width="28.5" style="3252" customWidth="1"/>
    <col min="1813" max="1814" width="7.875" style="3252" customWidth="1"/>
    <col min="1815" max="2048" width="9" style="3252"/>
    <col min="2049" max="2049" width="9" style="3252" customWidth="1"/>
    <col min="2050" max="2050" width="43.5" style="3252" customWidth="1"/>
    <col min="2051" max="2051" width="10.75" style="3252" customWidth="1"/>
    <col min="2052" max="2052" width="10.5" style="3252" customWidth="1"/>
    <col min="2053" max="2053" width="16.125" style="3252" customWidth="1"/>
    <col min="2054" max="2054" width="16.875" style="3252" customWidth="1"/>
    <col min="2055" max="2055" width="13.875" style="3252" customWidth="1"/>
    <col min="2056" max="2056" width="27.625" style="3252" customWidth="1"/>
    <col min="2057" max="2057" width="12.25" style="3252" customWidth="1"/>
    <col min="2058" max="2059" width="10.625" style="3252" customWidth="1"/>
    <col min="2060" max="2060" width="13.625" style="3252" customWidth="1"/>
    <col min="2061" max="2061" width="11.5" style="3252" customWidth="1"/>
    <col min="2062" max="2062" width="6.25" style="3252" customWidth="1"/>
    <col min="2063" max="2063" width="7.875" style="3252" customWidth="1"/>
    <col min="2064" max="2064" width="10" style="3252" customWidth="1"/>
    <col min="2065" max="2065" width="15.5" style="3252" customWidth="1"/>
    <col min="2066" max="2066" width="14.25" style="3252" customWidth="1"/>
    <col min="2067" max="2067" width="19.875" style="3252" customWidth="1"/>
    <col min="2068" max="2068" width="28.5" style="3252" customWidth="1"/>
    <col min="2069" max="2070" width="7.875" style="3252" customWidth="1"/>
    <col min="2071" max="2304" width="9" style="3252"/>
    <col min="2305" max="2305" width="9" style="3252" customWidth="1"/>
    <col min="2306" max="2306" width="43.5" style="3252" customWidth="1"/>
    <col min="2307" max="2307" width="10.75" style="3252" customWidth="1"/>
    <col min="2308" max="2308" width="10.5" style="3252" customWidth="1"/>
    <col min="2309" max="2309" width="16.125" style="3252" customWidth="1"/>
    <col min="2310" max="2310" width="16.875" style="3252" customWidth="1"/>
    <col min="2311" max="2311" width="13.875" style="3252" customWidth="1"/>
    <col min="2312" max="2312" width="27.625" style="3252" customWidth="1"/>
    <col min="2313" max="2313" width="12.25" style="3252" customWidth="1"/>
    <col min="2314" max="2315" width="10.625" style="3252" customWidth="1"/>
    <col min="2316" max="2316" width="13.625" style="3252" customWidth="1"/>
    <col min="2317" max="2317" width="11.5" style="3252" customWidth="1"/>
    <col min="2318" max="2318" width="6.25" style="3252" customWidth="1"/>
    <col min="2319" max="2319" width="7.875" style="3252" customWidth="1"/>
    <col min="2320" max="2320" width="10" style="3252" customWidth="1"/>
    <col min="2321" max="2321" width="15.5" style="3252" customWidth="1"/>
    <col min="2322" max="2322" width="14.25" style="3252" customWidth="1"/>
    <col min="2323" max="2323" width="19.875" style="3252" customWidth="1"/>
    <col min="2324" max="2324" width="28.5" style="3252" customWidth="1"/>
    <col min="2325" max="2326" width="7.875" style="3252" customWidth="1"/>
    <col min="2327" max="2560" width="9" style="3252"/>
    <col min="2561" max="2561" width="9" style="3252" customWidth="1"/>
    <col min="2562" max="2562" width="43.5" style="3252" customWidth="1"/>
    <col min="2563" max="2563" width="10.75" style="3252" customWidth="1"/>
    <col min="2564" max="2564" width="10.5" style="3252" customWidth="1"/>
    <col min="2565" max="2565" width="16.125" style="3252" customWidth="1"/>
    <col min="2566" max="2566" width="16.875" style="3252" customWidth="1"/>
    <col min="2567" max="2567" width="13.875" style="3252" customWidth="1"/>
    <col min="2568" max="2568" width="27.625" style="3252" customWidth="1"/>
    <col min="2569" max="2569" width="12.25" style="3252" customWidth="1"/>
    <col min="2570" max="2571" width="10.625" style="3252" customWidth="1"/>
    <col min="2572" max="2572" width="13.625" style="3252" customWidth="1"/>
    <col min="2573" max="2573" width="11.5" style="3252" customWidth="1"/>
    <col min="2574" max="2574" width="6.25" style="3252" customWidth="1"/>
    <col min="2575" max="2575" width="7.875" style="3252" customWidth="1"/>
    <col min="2576" max="2576" width="10" style="3252" customWidth="1"/>
    <col min="2577" max="2577" width="15.5" style="3252" customWidth="1"/>
    <col min="2578" max="2578" width="14.25" style="3252" customWidth="1"/>
    <col min="2579" max="2579" width="19.875" style="3252" customWidth="1"/>
    <col min="2580" max="2580" width="28.5" style="3252" customWidth="1"/>
    <col min="2581" max="2582" width="7.875" style="3252" customWidth="1"/>
    <col min="2583" max="2816" width="9" style="3252"/>
    <col min="2817" max="2817" width="9" style="3252" customWidth="1"/>
    <col min="2818" max="2818" width="43.5" style="3252" customWidth="1"/>
    <col min="2819" max="2819" width="10.75" style="3252" customWidth="1"/>
    <col min="2820" max="2820" width="10.5" style="3252" customWidth="1"/>
    <col min="2821" max="2821" width="16.125" style="3252" customWidth="1"/>
    <col min="2822" max="2822" width="16.875" style="3252" customWidth="1"/>
    <col min="2823" max="2823" width="13.875" style="3252" customWidth="1"/>
    <col min="2824" max="2824" width="27.625" style="3252" customWidth="1"/>
    <col min="2825" max="2825" width="12.25" style="3252" customWidth="1"/>
    <col min="2826" max="2827" width="10.625" style="3252" customWidth="1"/>
    <col min="2828" max="2828" width="13.625" style="3252" customWidth="1"/>
    <col min="2829" max="2829" width="11.5" style="3252" customWidth="1"/>
    <col min="2830" max="2830" width="6.25" style="3252" customWidth="1"/>
    <col min="2831" max="2831" width="7.875" style="3252" customWidth="1"/>
    <col min="2832" max="2832" width="10" style="3252" customWidth="1"/>
    <col min="2833" max="2833" width="15.5" style="3252" customWidth="1"/>
    <col min="2834" max="2834" width="14.25" style="3252" customWidth="1"/>
    <col min="2835" max="2835" width="19.875" style="3252" customWidth="1"/>
    <col min="2836" max="2836" width="28.5" style="3252" customWidth="1"/>
    <col min="2837" max="2838" width="7.875" style="3252" customWidth="1"/>
    <col min="2839" max="3072" width="9" style="3252"/>
    <col min="3073" max="3073" width="9" style="3252" customWidth="1"/>
    <col min="3074" max="3074" width="43.5" style="3252" customWidth="1"/>
    <col min="3075" max="3075" width="10.75" style="3252" customWidth="1"/>
    <col min="3076" max="3076" width="10.5" style="3252" customWidth="1"/>
    <col min="3077" max="3077" width="16.125" style="3252" customWidth="1"/>
    <col min="3078" max="3078" width="16.875" style="3252" customWidth="1"/>
    <col min="3079" max="3079" width="13.875" style="3252" customWidth="1"/>
    <col min="3080" max="3080" width="27.625" style="3252" customWidth="1"/>
    <col min="3081" max="3081" width="12.25" style="3252" customWidth="1"/>
    <col min="3082" max="3083" width="10.625" style="3252" customWidth="1"/>
    <col min="3084" max="3084" width="13.625" style="3252" customWidth="1"/>
    <col min="3085" max="3085" width="11.5" style="3252" customWidth="1"/>
    <col min="3086" max="3086" width="6.25" style="3252" customWidth="1"/>
    <col min="3087" max="3087" width="7.875" style="3252" customWidth="1"/>
    <col min="3088" max="3088" width="10" style="3252" customWidth="1"/>
    <col min="3089" max="3089" width="15.5" style="3252" customWidth="1"/>
    <col min="3090" max="3090" width="14.25" style="3252" customWidth="1"/>
    <col min="3091" max="3091" width="19.875" style="3252" customWidth="1"/>
    <col min="3092" max="3092" width="28.5" style="3252" customWidth="1"/>
    <col min="3093" max="3094" width="7.875" style="3252" customWidth="1"/>
    <col min="3095" max="3328" width="9" style="3252"/>
    <col min="3329" max="3329" width="9" style="3252" customWidth="1"/>
    <col min="3330" max="3330" width="43.5" style="3252" customWidth="1"/>
    <col min="3331" max="3331" width="10.75" style="3252" customWidth="1"/>
    <col min="3332" max="3332" width="10.5" style="3252" customWidth="1"/>
    <col min="3333" max="3333" width="16.125" style="3252" customWidth="1"/>
    <col min="3334" max="3334" width="16.875" style="3252" customWidth="1"/>
    <col min="3335" max="3335" width="13.875" style="3252" customWidth="1"/>
    <col min="3336" max="3336" width="27.625" style="3252" customWidth="1"/>
    <col min="3337" max="3337" width="12.25" style="3252" customWidth="1"/>
    <col min="3338" max="3339" width="10.625" style="3252" customWidth="1"/>
    <col min="3340" max="3340" width="13.625" style="3252" customWidth="1"/>
    <col min="3341" max="3341" width="11.5" style="3252" customWidth="1"/>
    <col min="3342" max="3342" width="6.25" style="3252" customWidth="1"/>
    <col min="3343" max="3343" width="7.875" style="3252" customWidth="1"/>
    <col min="3344" max="3344" width="10" style="3252" customWidth="1"/>
    <col min="3345" max="3345" width="15.5" style="3252" customWidth="1"/>
    <col min="3346" max="3346" width="14.25" style="3252" customWidth="1"/>
    <col min="3347" max="3347" width="19.875" style="3252" customWidth="1"/>
    <col min="3348" max="3348" width="28.5" style="3252" customWidth="1"/>
    <col min="3349" max="3350" width="7.875" style="3252" customWidth="1"/>
    <col min="3351" max="3584" width="9" style="3252"/>
    <col min="3585" max="3585" width="9" style="3252" customWidth="1"/>
    <col min="3586" max="3586" width="43.5" style="3252" customWidth="1"/>
    <col min="3587" max="3587" width="10.75" style="3252" customWidth="1"/>
    <col min="3588" max="3588" width="10.5" style="3252" customWidth="1"/>
    <col min="3589" max="3589" width="16.125" style="3252" customWidth="1"/>
    <col min="3590" max="3590" width="16.875" style="3252" customWidth="1"/>
    <col min="3591" max="3591" width="13.875" style="3252" customWidth="1"/>
    <col min="3592" max="3592" width="27.625" style="3252" customWidth="1"/>
    <col min="3593" max="3593" width="12.25" style="3252" customWidth="1"/>
    <col min="3594" max="3595" width="10.625" style="3252" customWidth="1"/>
    <col min="3596" max="3596" width="13.625" style="3252" customWidth="1"/>
    <col min="3597" max="3597" width="11.5" style="3252" customWidth="1"/>
    <col min="3598" max="3598" width="6.25" style="3252" customWidth="1"/>
    <col min="3599" max="3599" width="7.875" style="3252" customWidth="1"/>
    <col min="3600" max="3600" width="10" style="3252" customWidth="1"/>
    <col min="3601" max="3601" width="15.5" style="3252" customWidth="1"/>
    <col min="3602" max="3602" width="14.25" style="3252" customWidth="1"/>
    <col min="3603" max="3603" width="19.875" style="3252" customWidth="1"/>
    <col min="3604" max="3604" width="28.5" style="3252" customWidth="1"/>
    <col min="3605" max="3606" width="7.875" style="3252" customWidth="1"/>
    <col min="3607" max="3840" width="9" style="3252"/>
    <col min="3841" max="3841" width="9" style="3252" customWidth="1"/>
    <col min="3842" max="3842" width="43.5" style="3252" customWidth="1"/>
    <col min="3843" max="3843" width="10.75" style="3252" customWidth="1"/>
    <col min="3844" max="3844" width="10.5" style="3252" customWidth="1"/>
    <col min="3845" max="3845" width="16.125" style="3252" customWidth="1"/>
    <col min="3846" max="3846" width="16.875" style="3252" customWidth="1"/>
    <col min="3847" max="3847" width="13.875" style="3252" customWidth="1"/>
    <col min="3848" max="3848" width="27.625" style="3252" customWidth="1"/>
    <col min="3849" max="3849" width="12.25" style="3252" customWidth="1"/>
    <col min="3850" max="3851" width="10.625" style="3252" customWidth="1"/>
    <col min="3852" max="3852" width="13.625" style="3252" customWidth="1"/>
    <col min="3853" max="3853" width="11.5" style="3252" customWidth="1"/>
    <col min="3854" max="3854" width="6.25" style="3252" customWidth="1"/>
    <col min="3855" max="3855" width="7.875" style="3252" customWidth="1"/>
    <col min="3856" max="3856" width="10" style="3252" customWidth="1"/>
    <col min="3857" max="3857" width="15.5" style="3252" customWidth="1"/>
    <col min="3858" max="3858" width="14.25" style="3252" customWidth="1"/>
    <col min="3859" max="3859" width="19.875" style="3252" customWidth="1"/>
    <col min="3860" max="3860" width="28.5" style="3252" customWidth="1"/>
    <col min="3861" max="3862" width="7.875" style="3252" customWidth="1"/>
    <col min="3863" max="4096" width="9" style="3252"/>
    <col min="4097" max="4097" width="9" style="3252" customWidth="1"/>
    <col min="4098" max="4098" width="43.5" style="3252" customWidth="1"/>
    <col min="4099" max="4099" width="10.75" style="3252" customWidth="1"/>
    <col min="4100" max="4100" width="10.5" style="3252" customWidth="1"/>
    <col min="4101" max="4101" width="16.125" style="3252" customWidth="1"/>
    <col min="4102" max="4102" width="16.875" style="3252" customWidth="1"/>
    <col min="4103" max="4103" width="13.875" style="3252" customWidth="1"/>
    <col min="4104" max="4104" width="27.625" style="3252" customWidth="1"/>
    <col min="4105" max="4105" width="12.25" style="3252" customWidth="1"/>
    <col min="4106" max="4107" width="10.625" style="3252" customWidth="1"/>
    <col min="4108" max="4108" width="13.625" style="3252" customWidth="1"/>
    <col min="4109" max="4109" width="11.5" style="3252" customWidth="1"/>
    <col min="4110" max="4110" width="6.25" style="3252" customWidth="1"/>
    <col min="4111" max="4111" width="7.875" style="3252" customWidth="1"/>
    <col min="4112" max="4112" width="10" style="3252" customWidth="1"/>
    <col min="4113" max="4113" width="15.5" style="3252" customWidth="1"/>
    <col min="4114" max="4114" width="14.25" style="3252" customWidth="1"/>
    <col min="4115" max="4115" width="19.875" style="3252" customWidth="1"/>
    <col min="4116" max="4116" width="28.5" style="3252" customWidth="1"/>
    <col min="4117" max="4118" width="7.875" style="3252" customWidth="1"/>
    <col min="4119" max="4352" width="9" style="3252"/>
    <col min="4353" max="4353" width="9" style="3252" customWidth="1"/>
    <col min="4354" max="4354" width="43.5" style="3252" customWidth="1"/>
    <col min="4355" max="4355" width="10.75" style="3252" customWidth="1"/>
    <col min="4356" max="4356" width="10.5" style="3252" customWidth="1"/>
    <col min="4357" max="4357" width="16.125" style="3252" customWidth="1"/>
    <col min="4358" max="4358" width="16.875" style="3252" customWidth="1"/>
    <col min="4359" max="4359" width="13.875" style="3252" customWidth="1"/>
    <col min="4360" max="4360" width="27.625" style="3252" customWidth="1"/>
    <col min="4361" max="4361" width="12.25" style="3252" customWidth="1"/>
    <col min="4362" max="4363" width="10.625" style="3252" customWidth="1"/>
    <col min="4364" max="4364" width="13.625" style="3252" customWidth="1"/>
    <col min="4365" max="4365" width="11.5" style="3252" customWidth="1"/>
    <col min="4366" max="4366" width="6.25" style="3252" customWidth="1"/>
    <col min="4367" max="4367" width="7.875" style="3252" customWidth="1"/>
    <col min="4368" max="4368" width="10" style="3252" customWidth="1"/>
    <col min="4369" max="4369" width="15.5" style="3252" customWidth="1"/>
    <col min="4370" max="4370" width="14.25" style="3252" customWidth="1"/>
    <col min="4371" max="4371" width="19.875" style="3252" customWidth="1"/>
    <col min="4372" max="4372" width="28.5" style="3252" customWidth="1"/>
    <col min="4373" max="4374" width="7.875" style="3252" customWidth="1"/>
    <col min="4375" max="4608" width="9" style="3252"/>
    <col min="4609" max="4609" width="9" style="3252" customWidth="1"/>
    <col min="4610" max="4610" width="43.5" style="3252" customWidth="1"/>
    <col min="4611" max="4611" width="10.75" style="3252" customWidth="1"/>
    <col min="4612" max="4612" width="10.5" style="3252" customWidth="1"/>
    <col min="4613" max="4613" width="16.125" style="3252" customWidth="1"/>
    <col min="4614" max="4614" width="16.875" style="3252" customWidth="1"/>
    <col min="4615" max="4615" width="13.875" style="3252" customWidth="1"/>
    <col min="4616" max="4616" width="27.625" style="3252" customWidth="1"/>
    <col min="4617" max="4617" width="12.25" style="3252" customWidth="1"/>
    <col min="4618" max="4619" width="10.625" style="3252" customWidth="1"/>
    <col min="4620" max="4620" width="13.625" style="3252" customWidth="1"/>
    <col min="4621" max="4621" width="11.5" style="3252" customWidth="1"/>
    <col min="4622" max="4622" width="6.25" style="3252" customWidth="1"/>
    <col min="4623" max="4623" width="7.875" style="3252" customWidth="1"/>
    <col min="4624" max="4624" width="10" style="3252" customWidth="1"/>
    <col min="4625" max="4625" width="15.5" style="3252" customWidth="1"/>
    <col min="4626" max="4626" width="14.25" style="3252" customWidth="1"/>
    <col min="4627" max="4627" width="19.875" style="3252" customWidth="1"/>
    <col min="4628" max="4628" width="28.5" style="3252" customWidth="1"/>
    <col min="4629" max="4630" width="7.875" style="3252" customWidth="1"/>
    <col min="4631" max="4864" width="9" style="3252"/>
    <col min="4865" max="4865" width="9" style="3252" customWidth="1"/>
    <col min="4866" max="4866" width="43.5" style="3252" customWidth="1"/>
    <col min="4867" max="4867" width="10.75" style="3252" customWidth="1"/>
    <col min="4868" max="4868" width="10.5" style="3252" customWidth="1"/>
    <col min="4869" max="4869" width="16.125" style="3252" customWidth="1"/>
    <col min="4870" max="4870" width="16.875" style="3252" customWidth="1"/>
    <col min="4871" max="4871" width="13.875" style="3252" customWidth="1"/>
    <col min="4872" max="4872" width="27.625" style="3252" customWidth="1"/>
    <col min="4873" max="4873" width="12.25" style="3252" customWidth="1"/>
    <col min="4874" max="4875" width="10.625" style="3252" customWidth="1"/>
    <col min="4876" max="4876" width="13.625" style="3252" customWidth="1"/>
    <col min="4877" max="4877" width="11.5" style="3252" customWidth="1"/>
    <col min="4878" max="4878" width="6.25" style="3252" customWidth="1"/>
    <col min="4879" max="4879" width="7.875" style="3252" customWidth="1"/>
    <col min="4880" max="4880" width="10" style="3252" customWidth="1"/>
    <col min="4881" max="4881" width="15.5" style="3252" customWidth="1"/>
    <col min="4882" max="4882" width="14.25" style="3252" customWidth="1"/>
    <col min="4883" max="4883" width="19.875" style="3252" customWidth="1"/>
    <col min="4884" max="4884" width="28.5" style="3252" customWidth="1"/>
    <col min="4885" max="4886" width="7.875" style="3252" customWidth="1"/>
    <col min="4887" max="5120" width="9" style="3252"/>
    <col min="5121" max="5121" width="9" style="3252" customWidth="1"/>
    <col min="5122" max="5122" width="43.5" style="3252" customWidth="1"/>
    <col min="5123" max="5123" width="10.75" style="3252" customWidth="1"/>
    <col min="5124" max="5124" width="10.5" style="3252" customWidth="1"/>
    <col min="5125" max="5125" width="16.125" style="3252" customWidth="1"/>
    <col min="5126" max="5126" width="16.875" style="3252" customWidth="1"/>
    <col min="5127" max="5127" width="13.875" style="3252" customWidth="1"/>
    <col min="5128" max="5128" width="27.625" style="3252" customWidth="1"/>
    <col min="5129" max="5129" width="12.25" style="3252" customWidth="1"/>
    <col min="5130" max="5131" width="10.625" style="3252" customWidth="1"/>
    <col min="5132" max="5132" width="13.625" style="3252" customWidth="1"/>
    <col min="5133" max="5133" width="11.5" style="3252" customWidth="1"/>
    <col min="5134" max="5134" width="6.25" style="3252" customWidth="1"/>
    <col min="5135" max="5135" width="7.875" style="3252" customWidth="1"/>
    <col min="5136" max="5136" width="10" style="3252" customWidth="1"/>
    <col min="5137" max="5137" width="15.5" style="3252" customWidth="1"/>
    <col min="5138" max="5138" width="14.25" style="3252" customWidth="1"/>
    <col min="5139" max="5139" width="19.875" style="3252" customWidth="1"/>
    <col min="5140" max="5140" width="28.5" style="3252" customWidth="1"/>
    <col min="5141" max="5142" width="7.875" style="3252" customWidth="1"/>
    <col min="5143" max="5376" width="9" style="3252"/>
    <col min="5377" max="5377" width="9" style="3252" customWidth="1"/>
    <col min="5378" max="5378" width="43.5" style="3252" customWidth="1"/>
    <col min="5379" max="5379" width="10.75" style="3252" customWidth="1"/>
    <col min="5380" max="5380" width="10.5" style="3252" customWidth="1"/>
    <col min="5381" max="5381" width="16.125" style="3252" customWidth="1"/>
    <col min="5382" max="5382" width="16.875" style="3252" customWidth="1"/>
    <col min="5383" max="5383" width="13.875" style="3252" customWidth="1"/>
    <col min="5384" max="5384" width="27.625" style="3252" customWidth="1"/>
    <col min="5385" max="5385" width="12.25" style="3252" customWidth="1"/>
    <col min="5386" max="5387" width="10.625" style="3252" customWidth="1"/>
    <col min="5388" max="5388" width="13.625" style="3252" customWidth="1"/>
    <col min="5389" max="5389" width="11.5" style="3252" customWidth="1"/>
    <col min="5390" max="5390" width="6.25" style="3252" customWidth="1"/>
    <col min="5391" max="5391" width="7.875" style="3252" customWidth="1"/>
    <col min="5392" max="5392" width="10" style="3252" customWidth="1"/>
    <col min="5393" max="5393" width="15.5" style="3252" customWidth="1"/>
    <col min="5394" max="5394" width="14.25" style="3252" customWidth="1"/>
    <col min="5395" max="5395" width="19.875" style="3252" customWidth="1"/>
    <col min="5396" max="5396" width="28.5" style="3252" customWidth="1"/>
    <col min="5397" max="5398" width="7.875" style="3252" customWidth="1"/>
    <col min="5399" max="5632" width="9" style="3252"/>
    <col min="5633" max="5633" width="9" style="3252" customWidth="1"/>
    <col min="5634" max="5634" width="43.5" style="3252" customWidth="1"/>
    <col min="5635" max="5635" width="10.75" style="3252" customWidth="1"/>
    <col min="5636" max="5636" width="10.5" style="3252" customWidth="1"/>
    <col min="5637" max="5637" width="16.125" style="3252" customWidth="1"/>
    <col min="5638" max="5638" width="16.875" style="3252" customWidth="1"/>
    <col min="5639" max="5639" width="13.875" style="3252" customWidth="1"/>
    <col min="5640" max="5640" width="27.625" style="3252" customWidth="1"/>
    <col min="5641" max="5641" width="12.25" style="3252" customWidth="1"/>
    <col min="5642" max="5643" width="10.625" style="3252" customWidth="1"/>
    <col min="5644" max="5644" width="13.625" style="3252" customWidth="1"/>
    <col min="5645" max="5645" width="11.5" style="3252" customWidth="1"/>
    <col min="5646" max="5646" width="6.25" style="3252" customWidth="1"/>
    <col min="5647" max="5647" width="7.875" style="3252" customWidth="1"/>
    <col min="5648" max="5648" width="10" style="3252" customWidth="1"/>
    <col min="5649" max="5649" width="15.5" style="3252" customWidth="1"/>
    <col min="5650" max="5650" width="14.25" style="3252" customWidth="1"/>
    <col min="5651" max="5651" width="19.875" style="3252" customWidth="1"/>
    <col min="5652" max="5652" width="28.5" style="3252" customWidth="1"/>
    <col min="5653" max="5654" width="7.875" style="3252" customWidth="1"/>
    <col min="5655" max="5888" width="9" style="3252"/>
    <col min="5889" max="5889" width="9" style="3252" customWidth="1"/>
    <col min="5890" max="5890" width="43.5" style="3252" customWidth="1"/>
    <col min="5891" max="5891" width="10.75" style="3252" customWidth="1"/>
    <col min="5892" max="5892" width="10.5" style="3252" customWidth="1"/>
    <col min="5893" max="5893" width="16.125" style="3252" customWidth="1"/>
    <col min="5894" max="5894" width="16.875" style="3252" customWidth="1"/>
    <col min="5895" max="5895" width="13.875" style="3252" customWidth="1"/>
    <col min="5896" max="5896" width="27.625" style="3252" customWidth="1"/>
    <col min="5897" max="5897" width="12.25" style="3252" customWidth="1"/>
    <col min="5898" max="5899" width="10.625" style="3252" customWidth="1"/>
    <col min="5900" max="5900" width="13.625" style="3252" customWidth="1"/>
    <col min="5901" max="5901" width="11.5" style="3252" customWidth="1"/>
    <col min="5902" max="5902" width="6.25" style="3252" customWidth="1"/>
    <col min="5903" max="5903" width="7.875" style="3252" customWidth="1"/>
    <col min="5904" max="5904" width="10" style="3252" customWidth="1"/>
    <col min="5905" max="5905" width="15.5" style="3252" customWidth="1"/>
    <col min="5906" max="5906" width="14.25" style="3252" customWidth="1"/>
    <col min="5907" max="5907" width="19.875" style="3252" customWidth="1"/>
    <col min="5908" max="5908" width="28.5" style="3252" customWidth="1"/>
    <col min="5909" max="5910" width="7.875" style="3252" customWidth="1"/>
    <col min="5911" max="6144" width="9" style="3252"/>
    <col min="6145" max="6145" width="9" style="3252" customWidth="1"/>
    <col min="6146" max="6146" width="43.5" style="3252" customWidth="1"/>
    <col min="6147" max="6147" width="10.75" style="3252" customWidth="1"/>
    <col min="6148" max="6148" width="10.5" style="3252" customWidth="1"/>
    <col min="6149" max="6149" width="16.125" style="3252" customWidth="1"/>
    <col min="6150" max="6150" width="16.875" style="3252" customWidth="1"/>
    <col min="6151" max="6151" width="13.875" style="3252" customWidth="1"/>
    <col min="6152" max="6152" width="27.625" style="3252" customWidth="1"/>
    <col min="6153" max="6153" width="12.25" style="3252" customWidth="1"/>
    <col min="6154" max="6155" width="10.625" style="3252" customWidth="1"/>
    <col min="6156" max="6156" width="13.625" style="3252" customWidth="1"/>
    <col min="6157" max="6157" width="11.5" style="3252" customWidth="1"/>
    <col min="6158" max="6158" width="6.25" style="3252" customWidth="1"/>
    <col min="6159" max="6159" width="7.875" style="3252" customWidth="1"/>
    <col min="6160" max="6160" width="10" style="3252" customWidth="1"/>
    <col min="6161" max="6161" width="15.5" style="3252" customWidth="1"/>
    <col min="6162" max="6162" width="14.25" style="3252" customWidth="1"/>
    <col min="6163" max="6163" width="19.875" style="3252" customWidth="1"/>
    <col min="6164" max="6164" width="28.5" style="3252" customWidth="1"/>
    <col min="6165" max="6166" width="7.875" style="3252" customWidth="1"/>
    <col min="6167" max="6400" width="9" style="3252"/>
    <col min="6401" max="6401" width="9" style="3252" customWidth="1"/>
    <col min="6402" max="6402" width="43.5" style="3252" customWidth="1"/>
    <col min="6403" max="6403" width="10.75" style="3252" customWidth="1"/>
    <col min="6404" max="6404" width="10.5" style="3252" customWidth="1"/>
    <col min="6405" max="6405" width="16.125" style="3252" customWidth="1"/>
    <col min="6406" max="6406" width="16.875" style="3252" customWidth="1"/>
    <col min="6407" max="6407" width="13.875" style="3252" customWidth="1"/>
    <col min="6408" max="6408" width="27.625" style="3252" customWidth="1"/>
    <col min="6409" max="6409" width="12.25" style="3252" customWidth="1"/>
    <col min="6410" max="6411" width="10.625" style="3252" customWidth="1"/>
    <col min="6412" max="6412" width="13.625" style="3252" customWidth="1"/>
    <col min="6413" max="6413" width="11.5" style="3252" customWidth="1"/>
    <col min="6414" max="6414" width="6.25" style="3252" customWidth="1"/>
    <col min="6415" max="6415" width="7.875" style="3252" customWidth="1"/>
    <col min="6416" max="6416" width="10" style="3252" customWidth="1"/>
    <col min="6417" max="6417" width="15.5" style="3252" customWidth="1"/>
    <col min="6418" max="6418" width="14.25" style="3252" customWidth="1"/>
    <col min="6419" max="6419" width="19.875" style="3252" customWidth="1"/>
    <col min="6420" max="6420" width="28.5" style="3252" customWidth="1"/>
    <col min="6421" max="6422" width="7.875" style="3252" customWidth="1"/>
    <col min="6423" max="6656" width="9" style="3252"/>
    <col min="6657" max="6657" width="9" style="3252" customWidth="1"/>
    <col min="6658" max="6658" width="43.5" style="3252" customWidth="1"/>
    <col min="6659" max="6659" width="10.75" style="3252" customWidth="1"/>
    <col min="6660" max="6660" width="10.5" style="3252" customWidth="1"/>
    <col min="6661" max="6661" width="16.125" style="3252" customWidth="1"/>
    <col min="6662" max="6662" width="16.875" style="3252" customWidth="1"/>
    <col min="6663" max="6663" width="13.875" style="3252" customWidth="1"/>
    <col min="6664" max="6664" width="27.625" style="3252" customWidth="1"/>
    <col min="6665" max="6665" width="12.25" style="3252" customWidth="1"/>
    <col min="6666" max="6667" width="10.625" style="3252" customWidth="1"/>
    <col min="6668" max="6668" width="13.625" style="3252" customWidth="1"/>
    <col min="6669" max="6669" width="11.5" style="3252" customWidth="1"/>
    <col min="6670" max="6670" width="6.25" style="3252" customWidth="1"/>
    <col min="6671" max="6671" width="7.875" style="3252" customWidth="1"/>
    <col min="6672" max="6672" width="10" style="3252" customWidth="1"/>
    <col min="6673" max="6673" width="15.5" style="3252" customWidth="1"/>
    <col min="6674" max="6674" width="14.25" style="3252" customWidth="1"/>
    <col min="6675" max="6675" width="19.875" style="3252" customWidth="1"/>
    <col min="6676" max="6676" width="28.5" style="3252" customWidth="1"/>
    <col min="6677" max="6678" width="7.875" style="3252" customWidth="1"/>
    <col min="6679" max="6912" width="9" style="3252"/>
    <col min="6913" max="6913" width="9" style="3252" customWidth="1"/>
    <col min="6914" max="6914" width="43.5" style="3252" customWidth="1"/>
    <col min="6915" max="6915" width="10.75" style="3252" customWidth="1"/>
    <col min="6916" max="6916" width="10.5" style="3252" customWidth="1"/>
    <col min="6917" max="6917" width="16.125" style="3252" customWidth="1"/>
    <col min="6918" max="6918" width="16.875" style="3252" customWidth="1"/>
    <col min="6919" max="6919" width="13.875" style="3252" customWidth="1"/>
    <col min="6920" max="6920" width="27.625" style="3252" customWidth="1"/>
    <col min="6921" max="6921" width="12.25" style="3252" customWidth="1"/>
    <col min="6922" max="6923" width="10.625" style="3252" customWidth="1"/>
    <col min="6924" max="6924" width="13.625" style="3252" customWidth="1"/>
    <col min="6925" max="6925" width="11.5" style="3252" customWidth="1"/>
    <col min="6926" max="6926" width="6.25" style="3252" customWidth="1"/>
    <col min="6927" max="6927" width="7.875" style="3252" customWidth="1"/>
    <col min="6928" max="6928" width="10" style="3252" customWidth="1"/>
    <col min="6929" max="6929" width="15.5" style="3252" customWidth="1"/>
    <col min="6930" max="6930" width="14.25" style="3252" customWidth="1"/>
    <col min="6931" max="6931" width="19.875" style="3252" customWidth="1"/>
    <col min="6932" max="6932" width="28.5" style="3252" customWidth="1"/>
    <col min="6933" max="6934" width="7.875" style="3252" customWidth="1"/>
    <col min="6935" max="7168" width="9" style="3252"/>
    <col min="7169" max="7169" width="9" style="3252" customWidth="1"/>
    <col min="7170" max="7170" width="43.5" style="3252" customWidth="1"/>
    <col min="7171" max="7171" width="10.75" style="3252" customWidth="1"/>
    <col min="7172" max="7172" width="10.5" style="3252" customWidth="1"/>
    <col min="7173" max="7173" width="16.125" style="3252" customWidth="1"/>
    <col min="7174" max="7174" width="16.875" style="3252" customWidth="1"/>
    <col min="7175" max="7175" width="13.875" style="3252" customWidth="1"/>
    <col min="7176" max="7176" width="27.625" style="3252" customWidth="1"/>
    <col min="7177" max="7177" width="12.25" style="3252" customWidth="1"/>
    <col min="7178" max="7179" width="10.625" style="3252" customWidth="1"/>
    <col min="7180" max="7180" width="13.625" style="3252" customWidth="1"/>
    <col min="7181" max="7181" width="11.5" style="3252" customWidth="1"/>
    <col min="7182" max="7182" width="6.25" style="3252" customWidth="1"/>
    <col min="7183" max="7183" width="7.875" style="3252" customWidth="1"/>
    <col min="7184" max="7184" width="10" style="3252" customWidth="1"/>
    <col min="7185" max="7185" width="15.5" style="3252" customWidth="1"/>
    <col min="7186" max="7186" width="14.25" style="3252" customWidth="1"/>
    <col min="7187" max="7187" width="19.875" style="3252" customWidth="1"/>
    <col min="7188" max="7188" width="28.5" style="3252" customWidth="1"/>
    <col min="7189" max="7190" width="7.875" style="3252" customWidth="1"/>
    <col min="7191" max="7424" width="9" style="3252"/>
    <col min="7425" max="7425" width="9" style="3252" customWidth="1"/>
    <col min="7426" max="7426" width="43.5" style="3252" customWidth="1"/>
    <col min="7427" max="7427" width="10.75" style="3252" customWidth="1"/>
    <col min="7428" max="7428" width="10.5" style="3252" customWidth="1"/>
    <col min="7429" max="7429" width="16.125" style="3252" customWidth="1"/>
    <col min="7430" max="7430" width="16.875" style="3252" customWidth="1"/>
    <col min="7431" max="7431" width="13.875" style="3252" customWidth="1"/>
    <col min="7432" max="7432" width="27.625" style="3252" customWidth="1"/>
    <col min="7433" max="7433" width="12.25" style="3252" customWidth="1"/>
    <col min="7434" max="7435" width="10.625" style="3252" customWidth="1"/>
    <col min="7436" max="7436" width="13.625" style="3252" customWidth="1"/>
    <col min="7437" max="7437" width="11.5" style="3252" customWidth="1"/>
    <col min="7438" max="7438" width="6.25" style="3252" customWidth="1"/>
    <col min="7439" max="7439" width="7.875" style="3252" customWidth="1"/>
    <col min="7440" max="7440" width="10" style="3252" customWidth="1"/>
    <col min="7441" max="7441" width="15.5" style="3252" customWidth="1"/>
    <col min="7442" max="7442" width="14.25" style="3252" customWidth="1"/>
    <col min="7443" max="7443" width="19.875" style="3252" customWidth="1"/>
    <col min="7444" max="7444" width="28.5" style="3252" customWidth="1"/>
    <col min="7445" max="7446" width="7.875" style="3252" customWidth="1"/>
    <col min="7447" max="7680" width="9" style="3252"/>
    <col min="7681" max="7681" width="9" style="3252" customWidth="1"/>
    <col min="7682" max="7682" width="43.5" style="3252" customWidth="1"/>
    <col min="7683" max="7683" width="10.75" style="3252" customWidth="1"/>
    <col min="7684" max="7684" width="10.5" style="3252" customWidth="1"/>
    <col min="7685" max="7685" width="16.125" style="3252" customWidth="1"/>
    <col min="7686" max="7686" width="16.875" style="3252" customWidth="1"/>
    <col min="7687" max="7687" width="13.875" style="3252" customWidth="1"/>
    <col min="7688" max="7688" width="27.625" style="3252" customWidth="1"/>
    <col min="7689" max="7689" width="12.25" style="3252" customWidth="1"/>
    <col min="7690" max="7691" width="10.625" style="3252" customWidth="1"/>
    <col min="7692" max="7692" width="13.625" style="3252" customWidth="1"/>
    <col min="7693" max="7693" width="11.5" style="3252" customWidth="1"/>
    <col min="7694" max="7694" width="6.25" style="3252" customWidth="1"/>
    <col min="7695" max="7695" width="7.875" style="3252" customWidth="1"/>
    <col min="7696" max="7696" width="10" style="3252" customWidth="1"/>
    <col min="7697" max="7697" width="15.5" style="3252" customWidth="1"/>
    <col min="7698" max="7698" width="14.25" style="3252" customWidth="1"/>
    <col min="7699" max="7699" width="19.875" style="3252" customWidth="1"/>
    <col min="7700" max="7700" width="28.5" style="3252" customWidth="1"/>
    <col min="7701" max="7702" width="7.875" style="3252" customWidth="1"/>
    <col min="7703" max="7936" width="9" style="3252"/>
    <col min="7937" max="7937" width="9" style="3252" customWidth="1"/>
    <col min="7938" max="7938" width="43.5" style="3252" customWidth="1"/>
    <col min="7939" max="7939" width="10.75" style="3252" customWidth="1"/>
    <col min="7940" max="7940" width="10.5" style="3252" customWidth="1"/>
    <col min="7941" max="7941" width="16.125" style="3252" customWidth="1"/>
    <col min="7942" max="7942" width="16.875" style="3252" customWidth="1"/>
    <col min="7943" max="7943" width="13.875" style="3252" customWidth="1"/>
    <col min="7944" max="7944" width="27.625" style="3252" customWidth="1"/>
    <col min="7945" max="7945" width="12.25" style="3252" customWidth="1"/>
    <col min="7946" max="7947" width="10.625" style="3252" customWidth="1"/>
    <col min="7948" max="7948" width="13.625" style="3252" customWidth="1"/>
    <col min="7949" max="7949" width="11.5" style="3252" customWidth="1"/>
    <col min="7950" max="7950" width="6.25" style="3252" customWidth="1"/>
    <col min="7951" max="7951" width="7.875" style="3252" customWidth="1"/>
    <col min="7952" max="7952" width="10" style="3252" customWidth="1"/>
    <col min="7953" max="7953" width="15.5" style="3252" customWidth="1"/>
    <col min="7954" max="7954" width="14.25" style="3252" customWidth="1"/>
    <col min="7955" max="7955" width="19.875" style="3252" customWidth="1"/>
    <col min="7956" max="7956" width="28.5" style="3252" customWidth="1"/>
    <col min="7957" max="7958" width="7.875" style="3252" customWidth="1"/>
    <col min="7959" max="8192" width="9" style="3252"/>
    <col min="8193" max="8193" width="9" style="3252" customWidth="1"/>
    <col min="8194" max="8194" width="43.5" style="3252" customWidth="1"/>
    <col min="8195" max="8195" width="10.75" style="3252" customWidth="1"/>
    <col min="8196" max="8196" width="10.5" style="3252" customWidth="1"/>
    <col min="8197" max="8197" width="16.125" style="3252" customWidth="1"/>
    <col min="8198" max="8198" width="16.875" style="3252" customWidth="1"/>
    <col min="8199" max="8199" width="13.875" style="3252" customWidth="1"/>
    <col min="8200" max="8200" width="27.625" style="3252" customWidth="1"/>
    <col min="8201" max="8201" width="12.25" style="3252" customWidth="1"/>
    <col min="8202" max="8203" width="10.625" style="3252" customWidth="1"/>
    <col min="8204" max="8204" width="13.625" style="3252" customWidth="1"/>
    <col min="8205" max="8205" width="11.5" style="3252" customWidth="1"/>
    <col min="8206" max="8206" width="6.25" style="3252" customWidth="1"/>
    <col min="8207" max="8207" width="7.875" style="3252" customWidth="1"/>
    <col min="8208" max="8208" width="10" style="3252" customWidth="1"/>
    <col min="8209" max="8209" width="15.5" style="3252" customWidth="1"/>
    <col min="8210" max="8210" width="14.25" style="3252" customWidth="1"/>
    <col min="8211" max="8211" width="19.875" style="3252" customWidth="1"/>
    <col min="8212" max="8212" width="28.5" style="3252" customWidth="1"/>
    <col min="8213" max="8214" width="7.875" style="3252" customWidth="1"/>
    <col min="8215" max="8448" width="9" style="3252"/>
    <col min="8449" max="8449" width="9" style="3252" customWidth="1"/>
    <col min="8450" max="8450" width="43.5" style="3252" customWidth="1"/>
    <col min="8451" max="8451" width="10.75" style="3252" customWidth="1"/>
    <col min="8452" max="8452" width="10.5" style="3252" customWidth="1"/>
    <col min="8453" max="8453" width="16.125" style="3252" customWidth="1"/>
    <col min="8454" max="8454" width="16.875" style="3252" customWidth="1"/>
    <col min="8455" max="8455" width="13.875" style="3252" customWidth="1"/>
    <col min="8456" max="8456" width="27.625" style="3252" customWidth="1"/>
    <col min="8457" max="8457" width="12.25" style="3252" customWidth="1"/>
    <col min="8458" max="8459" width="10.625" style="3252" customWidth="1"/>
    <col min="8460" max="8460" width="13.625" style="3252" customWidth="1"/>
    <col min="8461" max="8461" width="11.5" style="3252" customWidth="1"/>
    <col min="8462" max="8462" width="6.25" style="3252" customWidth="1"/>
    <col min="8463" max="8463" width="7.875" style="3252" customWidth="1"/>
    <col min="8464" max="8464" width="10" style="3252" customWidth="1"/>
    <col min="8465" max="8465" width="15.5" style="3252" customWidth="1"/>
    <col min="8466" max="8466" width="14.25" style="3252" customWidth="1"/>
    <col min="8467" max="8467" width="19.875" style="3252" customWidth="1"/>
    <col min="8468" max="8468" width="28.5" style="3252" customWidth="1"/>
    <col min="8469" max="8470" width="7.875" style="3252" customWidth="1"/>
    <col min="8471" max="8704" width="9" style="3252"/>
    <col min="8705" max="8705" width="9" style="3252" customWidth="1"/>
    <col min="8706" max="8706" width="43.5" style="3252" customWidth="1"/>
    <col min="8707" max="8707" width="10.75" style="3252" customWidth="1"/>
    <col min="8708" max="8708" width="10.5" style="3252" customWidth="1"/>
    <col min="8709" max="8709" width="16.125" style="3252" customWidth="1"/>
    <col min="8710" max="8710" width="16.875" style="3252" customWidth="1"/>
    <col min="8711" max="8711" width="13.875" style="3252" customWidth="1"/>
    <col min="8712" max="8712" width="27.625" style="3252" customWidth="1"/>
    <col min="8713" max="8713" width="12.25" style="3252" customWidth="1"/>
    <col min="8714" max="8715" width="10.625" style="3252" customWidth="1"/>
    <col min="8716" max="8716" width="13.625" style="3252" customWidth="1"/>
    <col min="8717" max="8717" width="11.5" style="3252" customWidth="1"/>
    <col min="8718" max="8718" width="6.25" style="3252" customWidth="1"/>
    <col min="8719" max="8719" width="7.875" style="3252" customWidth="1"/>
    <col min="8720" max="8720" width="10" style="3252" customWidth="1"/>
    <col min="8721" max="8721" width="15.5" style="3252" customWidth="1"/>
    <col min="8722" max="8722" width="14.25" style="3252" customWidth="1"/>
    <col min="8723" max="8723" width="19.875" style="3252" customWidth="1"/>
    <col min="8724" max="8724" width="28.5" style="3252" customWidth="1"/>
    <col min="8725" max="8726" width="7.875" style="3252" customWidth="1"/>
    <col min="8727" max="8960" width="9" style="3252"/>
    <col min="8961" max="8961" width="9" style="3252" customWidth="1"/>
    <col min="8962" max="8962" width="43.5" style="3252" customWidth="1"/>
    <col min="8963" max="8963" width="10.75" style="3252" customWidth="1"/>
    <col min="8964" max="8964" width="10.5" style="3252" customWidth="1"/>
    <col min="8965" max="8965" width="16.125" style="3252" customWidth="1"/>
    <col min="8966" max="8966" width="16.875" style="3252" customWidth="1"/>
    <col min="8967" max="8967" width="13.875" style="3252" customWidth="1"/>
    <col min="8968" max="8968" width="27.625" style="3252" customWidth="1"/>
    <col min="8969" max="8969" width="12.25" style="3252" customWidth="1"/>
    <col min="8970" max="8971" width="10.625" style="3252" customWidth="1"/>
    <col min="8972" max="8972" width="13.625" style="3252" customWidth="1"/>
    <col min="8973" max="8973" width="11.5" style="3252" customWidth="1"/>
    <col min="8974" max="8974" width="6.25" style="3252" customWidth="1"/>
    <col min="8975" max="8975" width="7.875" style="3252" customWidth="1"/>
    <col min="8976" max="8976" width="10" style="3252" customWidth="1"/>
    <col min="8977" max="8977" width="15.5" style="3252" customWidth="1"/>
    <col min="8978" max="8978" width="14.25" style="3252" customWidth="1"/>
    <col min="8979" max="8979" width="19.875" style="3252" customWidth="1"/>
    <col min="8980" max="8980" width="28.5" style="3252" customWidth="1"/>
    <col min="8981" max="8982" width="7.875" style="3252" customWidth="1"/>
    <col min="8983" max="9216" width="9" style="3252"/>
    <col min="9217" max="9217" width="9" style="3252" customWidth="1"/>
    <col min="9218" max="9218" width="43.5" style="3252" customWidth="1"/>
    <col min="9219" max="9219" width="10.75" style="3252" customWidth="1"/>
    <col min="9220" max="9220" width="10.5" style="3252" customWidth="1"/>
    <col min="9221" max="9221" width="16.125" style="3252" customWidth="1"/>
    <col min="9222" max="9222" width="16.875" style="3252" customWidth="1"/>
    <col min="9223" max="9223" width="13.875" style="3252" customWidth="1"/>
    <col min="9224" max="9224" width="27.625" style="3252" customWidth="1"/>
    <col min="9225" max="9225" width="12.25" style="3252" customWidth="1"/>
    <col min="9226" max="9227" width="10.625" style="3252" customWidth="1"/>
    <col min="9228" max="9228" width="13.625" style="3252" customWidth="1"/>
    <col min="9229" max="9229" width="11.5" style="3252" customWidth="1"/>
    <col min="9230" max="9230" width="6.25" style="3252" customWidth="1"/>
    <col min="9231" max="9231" width="7.875" style="3252" customWidth="1"/>
    <col min="9232" max="9232" width="10" style="3252" customWidth="1"/>
    <col min="9233" max="9233" width="15.5" style="3252" customWidth="1"/>
    <col min="9234" max="9234" width="14.25" style="3252" customWidth="1"/>
    <col min="9235" max="9235" width="19.875" style="3252" customWidth="1"/>
    <col min="9236" max="9236" width="28.5" style="3252" customWidth="1"/>
    <col min="9237" max="9238" width="7.875" style="3252" customWidth="1"/>
    <col min="9239" max="9472" width="9" style="3252"/>
    <col min="9473" max="9473" width="9" style="3252" customWidth="1"/>
    <col min="9474" max="9474" width="43.5" style="3252" customWidth="1"/>
    <col min="9475" max="9475" width="10.75" style="3252" customWidth="1"/>
    <col min="9476" max="9476" width="10.5" style="3252" customWidth="1"/>
    <col min="9477" max="9477" width="16.125" style="3252" customWidth="1"/>
    <col min="9478" max="9478" width="16.875" style="3252" customWidth="1"/>
    <col min="9479" max="9479" width="13.875" style="3252" customWidth="1"/>
    <col min="9480" max="9480" width="27.625" style="3252" customWidth="1"/>
    <col min="9481" max="9481" width="12.25" style="3252" customWidth="1"/>
    <col min="9482" max="9483" width="10.625" style="3252" customWidth="1"/>
    <col min="9484" max="9484" width="13.625" style="3252" customWidth="1"/>
    <col min="9485" max="9485" width="11.5" style="3252" customWidth="1"/>
    <col min="9486" max="9486" width="6.25" style="3252" customWidth="1"/>
    <col min="9487" max="9487" width="7.875" style="3252" customWidth="1"/>
    <col min="9488" max="9488" width="10" style="3252" customWidth="1"/>
    <col min="9489" max="9489" width="15.5" style="3252" customWidth="1"/>
    <col min="9490" max="9490" width="14.25" style="3252" customWidth="1"/>
    <col min="9491" max="9491" width="19.875" style="3252" customWidth="1"/>
    <col min="9492" max="9492" width="28.5" style="3252" customWidth="1"/>
    <col min="9493" max="9494" width="7.875" style="3252" customWidth="1"/>
    <col min="9495" max="9728" width="9" style="3252"/>
    <col min="9729" max="9729" width="9" style="3252" customWidth="1"/>
    <col min="9730" max="9730" width="43.5" style="3252" customWidth="1"/>
    <col min="9731" max="9731" width="10.75" style="3252" customWidth="1"/>
    <col min="9732" max="9732" width="10.5" style="3252" customWidth="1"/>
    <col min="9733" max="9733" width="16.125" style="3252" customWidth="1"/>
    <col min="9734" max="9734" width="16.875" style="3252" customWidth="1"/>
    <col min="9735" max="9735" width="13.875" style="3252" customWidth="1"/>
    <col min="9736" max="9736" width="27.625" style="3252" customWidth="1"/>
    <col min="9737" max="9737" width="12.25" style="3252" customWidth="1"/>
    <col min="9738" max="9739" width="10.625" style="3252" customWidth="1"/>
    <col min="9740" max="9740" width="13.625" style="3252" customWidth="1"/>
    <col min="9741" max="9741" width="11.5" style="3252" customWidth="1"/>
    <col min="9742" max="9742" width="6.25" style="3252" customWidth="1"/>
    <col min="9743" max="9743" width="7.875" style="3252" customWidth="1"/>
    <col min="9744" max="9744" width="10" style="3252" customWidth="1"/>
    <col min="9745" max="9745" width="15.5" style="3252" customWidth="1"/>
    <col min="9746" max="9746" width="14.25" style="3252" customWidth="1"/>
    <col min="9747" max="9747" width="19.875" style="3252" customWidth="1"/>
    <col min="9748" max="9748" width="28.5" style="3252" customWidth="1"/>
    <col min="9749" max="9750" width="7.875" style="3252" customWidth="1"/>
    <col min="9751" max="9984" width="9" style="3252"/>
    <col min="9985" max="9985" width="9" style="3252" customWidth="1"/>
    <col min="9986" max="9986" width="43.5" style="3252" customWidth="1"/>
    <col min="9987" max="9987" width="10.75" style="3252" customWidth="1"/>
    <col min="9988" max="9988" width="10.5" style="3252" customWidth="1"/>
    <col min="9989" max="9989" width="16.125" style="3252" customWidth="1"/>
    <col min="9990" max="9990" width="16.875" style="3252" customWidth="1"/>
    <col min="9991" max="9991" width="13.875" style="3252" customWidth="1"/>
    <col min="9992" max="9992" width="27.625" style="3252" customWidth="1"/>
    <col min="9993" max="9993" width="12.25" style="3252" customWidth="1"/>
    <col min="9994" max="9995" width="10.625" style="3252" customWidth="1"/>
    <col min="9996" max="9996" width="13.625" style="3252" customWidth="1"/>
    <col min="9997" max="9997" width="11.5" style="3252" customWidth="1"/>
    <col min="9998" max="9998" width="6.25" style="3252" customWidth="1"/>
    <col min="9999" max="9999" width="7.875" style="3252" customWidth="1"/>
    <col min="10000" max="10000" width="10" style="3252" customWidth="1"/>
    <col min="10001" max="10001" width="15.5" style="3252" customWidth="1"/>
    <col min="10002" max="10002" width="14.25" style="3252" customWidth="1"/>
    <col min="10003" max="10003" width="19.875" style="3252" customWidth="1"/>
    <col min="10004" max="10004" width="28.5" style="3252" customWidth="1"/>
    <col min="10005" max="10006" width="7.875" style="3252" customWidth="1"/>
    <col min="10007" max="10240" width="9" style="3252"/>
    <col min="10241" max="10241" width="9" style="3252" customWidth="1"/>
    <col min="10242" max="10242" width="43.5" style="3252" customWidth="1"/>
    <col min="10243" max="10243" width="10.75" style="3252" customWidth="1"/>
    <col min="10244" max="10244" width="10.5" style="3252" customWidth="1"/>
    <col min="10245" max="10245" width="16.125" style="3252" customWidth="1"/>
    <col min="10246" max="10246" width="16.875" style="3252" customWidth="1"/>
    <col min="10247" max="10247" width="13.875" style="3252" customWidth="1"/>
    <col min="10248" max="10248" width="27.625" style="3252" customWidth="1"/>
    <col min="10249" max="10249" width="12.25" style="3252" customWidth="1"/>
    <col min="10250" max="10251" width="10.625" style="3252" customWidth="1"/>
    <col min="10252" max="10252" width="13.625" style="3252" customWidth="1"/>
    <col min="10253" max="10253" width="11.5" style="3252" customWidth="1"/>
    <col min="10254" max="10254" width="6.25" style="3252" customWidth="1"/>
    <col min="10255" max="10255" width="7.875" style="3252" customWidth="1"/>
    <col min="10256" max="10256" width="10" style="3252" customWidth="1"/>
    <col min="10257" max="10257" width="15.5" style="3252" customWidth="1"/>
    <col min="10258" max="10258" width="14.25" style="3252" customWidth="1"/>
    <col min="10259" max="10259" width="19.875" style="3252" customWidth="1"/>
    <col min="10260" max="10260" width="28.5" style="3252" customWidth="1"/>
    <col min="10261" max="10262" width="7.875" style="3252" customWidth="1"/>
    <col min="10263" max="10496" width="9" style="3252"/>
    <col min="10497" max="10497" width="9" style="3252" customWidth="1"/>
    <col min="10498" max="10498" width="43.5" style="3252" customWidth="1"/>
    <col min="10499" max="10499" width="10.75" style="3252" customWidth="1"/>
    <col min="10500" max="10500" width="10.5" style="3252" customWidth="1"/>
    <col min="10501" max="10501" width="16.125" style="3252" customWidth="1"/>
    <col min="10502" max="10502" width="16.875" style="3252" customWidth="1"/>
    <col min="10503" max="10503" width="13.875" style="3252" customWidth="1"/>
    <col min="10504" max="10504" width="27.625" style="3252" customWidth="1"/>
    <col min="10505" max="10505" width="12.25" style="3252" customWidth="1"/>
    <col min="10506" max="10507" width="10.625" style="3252" customWidth="1"/>
    <col min="10508" max="10508" width="13.625" style="3252" customWidth="1"/>
    <col min="10509" max="10509" width="11.5" style="3252" customWidth="1"/>
    <col min="10510" max="10510" width="6.25" style="3252" customWidth="1"/>
    <col min="10511" max="10511" width="7.875" style="3252" customWidth="1"/>
    <col min="10512" max="10512" width="10" style="3252" customWidth="1"/>
    <col min="10513" max="10513" width="15.5" style="3252" customWidth="1"/>
    <col min="10514" max="10514" width="14.25" style="3252" customWidth="1"/>
    <col min="10515" max="10515" width="19.875" style="3252" customWidth="1"/>
    <col min="10516" max="10516" width="28.5" style="3252" customWidth="1"/>
    <col min="10517" max="10518" width="7.875" style="3252" customWidth="1"/>
    <col min="10519" max="10752" width="9" style="3252"/>
    <col min="10753" max="10753" width="9" style="3252" customWidth="1"/>
    <col min="10754" max="10754" width="43.5" style="3252" customWidth="1"/>
    <col min="10755" max="10755" width="10.75" style="3252" customWidth="1"/>
    <col min="10756" max="10756" width="10.5" style="3252" customWidth="1"/>
    <col min="10757" max="10757" width="16.125" style="3252" customWidth="1"/>
    <col min="10758" max="10758" width="16.875" style="3252" customWidth="1"/>
    <col min="10759" max="10759" width="13.875" style="3252" customWidth="1"/>
    <col min="10760" max="10760" width="27.625" style="3252" customWidth="1"/>
    <col min="10761" max="10761" width="12.25" style="3252" customWidth="1"/>
    <col min="10762" max="10763" width="10.625" style="3252" customWidth="1"/>
    <col min="10764" max="10764" width="13.625" style="3252" customWidth="1"/>
    <col min="10765" max="10765" width="11.5" style="3252" customWidth="1"/>
    <col min="10766" max="10766" width="6.25" style="3252" customWidth="1"/>
    <col min="10767" max="10767" width="7.875" style="3252" customWidth="1"/>
    <col min="10768" max="10768" width="10" style="3252" customWidth="1"/>
    <col min="10769" max="10769" width="15.5" style="3252" customWidth="1"/>
    <col min="10770" max="10770" width="14.25" style="3252" customWidth="1"/>
    <col min="10771" max="10771" width="19.875" style="3252" customWidth="1"/>
    <col min="10772" max="10772" width="28.5" style="3252" customWidth="1"/>
    <col min="10773" max="10774" width="7.875" style="3252" customWidth="1"/>
    <col min="10775" max="11008" width="9" style="3252"/>
    <col min="11009" max="11009" width="9" style="3252" customWidth="1"/>
    <col min="11010" max="11010" width="43.5" style="3252" customWidth="1"/>
    <col min="11011" max="11011" width="10.75" style="3252" customWidth="1"/>
    <col min="11012" max="11012" width="10.5" style="3252" customWidth="1"/>
    <col min="11013" max="11013" width="16.125" style="3252" customWidth="1"/>
    <col min="11014" max="11014" width="16.875" style="3252" customWidth="1"/>
    <col min="11015" max="11015" width="13.875" style="3252" customWidth="1"/>
    <col min="11016" max="11016" width="27.625" style="3252" customWidth="1"/>
    <col min="11017" max="11017" width="12.25" style="3252" customWidth="1"/>
    <col min="11018" max="11019" width="10.625" style="3252" customWidth="1"/>
    <col min="11020" max="11020" width="13.625" style="3252" customWidth="1"/>
    <col min="11021" max="11021" width="11.5" style="3252" customWidth="1"/>
    <col min="11022" max="11022" width="6.25" style="3252" customWidth="1"/>
    <col min="11023" max="11023" width="7.875" style="3252" customWidth="1"/>
    <col min="11024" max="11024" width="10" style="3252" customWidth="1"/>
    <col min="11025" max="11025" width="15.5" style="3252" customWidth="1"/>
    <col min="11026" max="11026" width="14.25" style="3252" customWidth="1"/>
    <col min="11027" max="11027" width="19.875" style="3252" customWidth="1"/>
    <col min="11028" max="11028" width="28.5" style="3252" customWidth="1"/>
    <col min="11029" max="11030" width="7.875" style="3252" customWidth="1"/>
    <col min="11031" max="11264" width="9" style="3252"/>
    <col min="11265" max="11265" width="9" style="3252" customWidth="1"/>
    <col min="11266" max="11266" width="43.5" style="3252" customWidth="1"/>
    <col min="11267" max="11267" width="10.75" style="3252" customWidth="1"/>
    <col min="11268" max="11268" width="10.5" style="3252" customWidth="1"/>
    <col min="11269" max="11269" width="16.125" style="3252" customWidth="1"/>
    <col min="11270" max="11270" width="16.875" style="3252" customWidth="1"/>
    <col min="11271" max="11271" width="13.875" style="3252" customWidth="1"/>
    <col min="11272" max="11272" width="27.625" style="3252" customWidth="1"/>
    <col min="11273" max="11273" width="12.25" style="3252" customWidth="1"/>
    <col min="11274" max="11275" width="10.625" style="3252" customWidth="1"/>
    <col min="11276" max="11276" width="13.625" style="3252" customWidth="1"/>
    <col min="11277" max="11277" width="11.5" style="3252" customWidth="1"/>
    <col min="11278" max="11278" width="6.25" style="3252" customWidth="1"/>
    <col min="11279" max="11279" width="7.875" style="3252" customWidth="1"/>
    <col min="11280" max="11280" width="10" style="3252" customWidth="1"/>
    <col min="11281" max="11281" width="15.5" style="3252" customWidth="1"/>
    <col min="11282" max="11282" width="14.25" style="3252" customWidth="1"/>
    <col min="11283" max="11283" width="19.875" style="3252" customWidth="1"/>
    <col min="11284" max="11284" width="28.5" style="3252" customWidth="1"/>
    <col min="11285" max="11286" width="7.875" style="3252" customWidth="1"/>
    <col min="11287" max="11520" width="9" style="3252"/>
    <col min="11521" max="11521" width="9" style="3252" customWidth="1"/>
    <col min="11522" max="11522" width="43.5" style="3252" customWidth="1"/>
    <col min="11523" max="11523" width="10.75" style="3252" customWidth="1"/>
    <col min="11524" max="11524" width="10.5" style="3252" customWidth="1"/>
    <col min="11525" max="11525" width="16.125" style="3252" customWidth="1"/>
    <col min="11526" max="11526" width="16.875" style="3252" customWidth="1"/>
    <col min="11527" max="11527" width="13.875" style="3252" customWidth="1"/>
    <col min="11528" max="11528" width="27.625" style="3252" customWidth="1"/>
    <col min="11529" max="11529" width="12.25" style="3252" customWidth="1"/>
    <col min="11530" max="11531" width="10.625" style="3252" customWidth="1"/>
    <col min="11532" max="11532" width="13.625" style="3252" customWidth="1"/>
    <col min="11533" max="11533" width="11.5" style="3252" customWidth="1"/>
    <col min="11534" max="11534" width="6.25" style="3252" customWidth="1"/>
    <col min="11535" max="11535" width="7.875" style="3252" customWidth="1"/>
    <col min="11536" max="11536" width="10" style="3252" customWidth="1"/>
    <col min="11537" max="11537" width="15.5" style="3252" customWidth="1"/>
    <col min="11538" max="11538" width="14.25" style="3252" customWidth="1"/>
    <col min="11539" max="11539" width="19.875" style="3252" customWidth="1"/>
    <col min="11540" max="11540" width="28.5" style="3252" customWidth="1"/>
    <col min="11541" max="11542" width="7.875" style="3252" customWidth="1"/>
    <col min="11543" max="11776" width="9" style="3252"/>
    <col min="11777" max="11777" width="9" style="3252" customWidth="1"/>
    <col min="11778" max="11778" width="43.5" style="3252" customWidth="1"/>
    <col min="11779" max="11779" width="10.75" style="3252" customWidth="1"/>
    <col min="11780" max="11780" width="10.5" style="3252" customWidth="1"/>
    <col min="11781" max="11781" width="16.125" style="3252" customWidth="1"/>
    <col min="11782" max="11782" width="16.875" style="3252" customWidth="1"/>
    <col min="11783" max="11783" width="13.875" style="3252" customWidth="1"/>
    <col min="11784" max="11784" width="27.625" style="3252" customWidth="1"/>
    <col min="11785" max="11785" width="12.25" style="3252" customWidth="1"/>
    <col min="11786" max="11787" width="10.625" style="3252" customWidth="1"/>
    <col min="11788" max="11788" width="13.625" style="3252" customWidth="1"/>
    <col min="11789" max="11789" width="11.5" style="3252" customWidth="1"/>
    <col min="11790" max="11790" width="6.25" style="3252" customWidth="1"/>
    <col min="11791" max="11791" width="7.875" style="3252" customWidth="1"/>
    <col min="11792" max="11792" width="10" style="3252" customWidth="1"/>
    <col min="11793" max="11793" width="15.5" style="3252" customWidth="1"/>
    <col min="11794" max="11794" width="14.25" style="3252" customWidth="1"/>
    <col min="11795" max="11795" width="19.875" style="3252" customWidth="1"/>
    <col min="11796" max="11796" width="28.5" style="3252" customWidth="1"/>
    <col min="11797" max="11798" width="7.875" style="3252" customWidth="1"/>
    <col min="11799" max="12032" width="9" style="3252"/>
    <col min="12033" max="12033" width="9" style="3252" customWidth="1"/>
    <col min="12034" max="12034" width="43.5" style="3252" customWidth="1"/>
    <col min="12035" max="12035" width="10.75" style="3252" customWidth="1"/>
    <col min="12036" max="12036" width="10.5" style="3252" customWidth="1"/>
    <col min="12037" max="12037" width="16.125" style="3252" customWidth="1"/>
    <col min="12038" max="12038" width="16.875" style="3252" customWidth="1"/>
    <col min="12039" max="12039" width="13.875" style="3252" customWidth="1"/>
    <col min="12040" max="12040" width="27.625" style="3252" customWidth="1"/>
    <col min="12041" max="12041" width="12.25" style="3252" customWidth="1"/>
    <col min="12042" max="12043" width="10.625" style="3252" customWidth="1"/>
    <col min="12044" max="12044" width="13.625" style="3252" customWidth="1"/>
    <col min="12045" max="12045" width="11.5" style="3252" customWidth="1"/>
    <col min="12046" max="12046" width="6.25" style="3252" customWidth="1"/>
    <col min="12047" max="12047" width="7.875" style="3252" customWidth="1"/>
    <col min="12048" max="12048" width="10" style="3252" customWidth="1"/>
    <col min="12049" max="12049" width="15.5" style="3252" customWidth="1"/>
    <col min="12050" max="12050" width="14.25" style="3252" customWidth="1"/>
    <col min="12051" max="12051" width="19.875" style="3252" customWidth="1"/>
    <col min="12052" max="12052" width="28.5" style="3252" customWidth="1"/>
    <col min="12053" max="12054" width="7.875" style="3252" customWidth="1"/>
    <col min="12055" max="12288" width="9" style="3252"/>
    <col min="12289" max="12289" width="9" style="3252" customWidth="1"/>
    <col min="12290" max="12290" width="43.5" style="3252" customWidth="1"/>
    <col min="12291" max="12291" width="10.75" style="3252" customWidth="1"/>
    <col min="12292" max="12292" width="10.5" style="3252" customWidth="1"/>
    <col min="12293" max="12293" width="16.125" style="3252" customWidth="1"/>
    <col min="12294" max="12294" width="16.875" style="3252" customWidth="1"/>
    <col min="12295" max="12295" width="13.875" style="3252" customWidth="1"/>
    <col min="12296" max="12296" width="27.625" style="3252" customWidth="1"/>
    <col min="12297" max="12297" width="12.25" style="3252" customWidth="1"/>
    <col min="12298" max="12299" width="10.625" style="3252" customWidth="1"/>
    <col min="12300" max="12300" width="13.625" style="3252" customWidth="1"/>
    <col min="12301" max="12301" width="11.5" style="3252" customWidth="1"/>
    <col min="12302" max="12302" width="6.25" style="3252" customWidth="1"/>
    <col min="12303" max="12303" width="7.875" style="3252" customWidth="1"/>
    <col min="12304" max="12304" width="10" style="3252" customWidth="1"/>
    <col min="12305" max="12305" width="15.5" style="3252" customWidth="1"/>
    <col min="12306" max="12306" width="14.25" style="3252" customWidth="1"/>
    <col min="12307" max="12307" width="19.875" style="3252" customWidth="1"/>
    <col min="12308" max="12308" width="28.5" style="3252" customWidth="1"/>
    <col min="12309" max="12310" width="7.875" style="3252" customWidth="1"/>
    <col min="12311" max="12544" width="9" style="3252"/>
    <col min="12545" max="12545" width="9" style="3252" customWidth="1"/>
    <col min="12546" max="12546" width="43.5" style="3252" customWidth="1"/>
    <col min="12547" max="12547" width="10.75" style="3252" customWidth="1"/>
    <col min="12548" max="12548" width="10.5" style="3252" customWidth="1"/>
    <col min="12549" max="12549" width="16.125" style="3252" customWidth="1"/>
    <col min="12550" max="12550" width="16.875" style="3252" customWidth="1"/>
    <col min="12551" max="12551" width="13.875" style="3252" customWidth="1"/>
    <col min="12552" max="12552" width="27.625" style="3252" customWidth="1"/>
    <col min="12553" max="12553" width="12.25" style="3252" customWidth="1"/>
    <col min="12554" max="12555" width="10.625" style="3252" customWidth="1"/>
    <col min="12556" max="12556" width="13.625" style="3252" customWidth="1"/>
    <col min="12557" max="12557" width="11.5" style="3252" customWidth="1"/>
    <col min="12558" max="12558" width="6.25" style="3252" customWidth="1"/>
    <col min="12559" max="12559" width="7.875" style="3252" customWidth="1"/>
    <col min="12560" max="12560" width="10" style="3252" customWidth="1"/>
    <col min="12561" max="12561" width="15.5" style="3252" customWidth="1"/>
    <col min="12562" max="12562" width="14.25" style="3252" customWidth="1"/>
    <col min="12563" max="12563" width="19.875" style="3252" customWidth="1"/>
    <col min="12564" max="12564" width="28.5" style="3252" customWidth="1"/>
    <col min="12565" max="12566" width="7.875" style="3252" customWidth="1"/>
    <col min="12567" max="12800" width="9" style="3252"/>
    <col min="12801" max="12801" width="9" style="3252" customWidth="1"/>
    <col min="12802" max="12802" width="43.5" style="3252" customWidth="1"/>
    <col min="12803" max="12803" width="10.75" style="3252" customWidth="1"/>
    <col min="12804" max="12804" width="10.5" style="3252" customWidth="1"/>
    <col min="12805" max="12805" width="16.125" style="3252" customWidth="1"/>
    <col min="12806" max="12806" width="16.875" style="3252" customWidth="1"/>
    <col min="12807" max="12807" width="13.875" style="3252" customWidth="1"/>
    <col min="12808" max="12808" width="27.625" style="3252" customWidth="1"/>
    <col min="12809" max="12809" width="12.25" style="3252" customWidth="1"/>
    <col min="12810" max="12811" width="10.625" style="3252" customWidth="1"/>
    <col min="12812" max="12812" width="13.625" style="3252" customWidth="1"/>
    <col min="12813" max="12813" width="11.5" style="3252" customWidth="1"/>
    <col min="12814" max="12814" width="6.25" style="3252" customWidth="1"/>
    <col min="12815" max="12815" width="7.875" style="3252" customWidth="1"/>
    <col min="12816" max="12816" width="10" style="3252" customWidth="1"/>
    <col min="12817" max="12817" width="15.5" style="3252" customWidth="1"/>
    <col min="12818" max="12818" width="14.25" style="3252" customWidth="1"/>
    <col min="12819" max="12819" width="19.875" style="3252" customWidth="1"/>
    <col min="12820" max="12820" width="28.5" style="3252" customWidth="1"/>
    <col min="12821" max="12822" width="7.875" style="3252" customWidth="1"/>
    <col min="12823" max="13056" width="9" style="3252"/>
    <col min="13057" max="13057" width="9" style="3252" customWidth="1"/>
    <col min="13058" max="13058" width="43.5" style="3252" customWidth="1"/>
    <col min="13059" max="13059" width="10.75" style="3252" customWidth="1"/>
    <col min="13060" max="13060" width="10.5" style="3252" customWidth="1"/>
    <col min="13061" max="13061" width="16.125" style="3252" customWidth="1"/>
    <col min="13062" max="13062" width="16.875" style="3252" customWidth="1"/>
    <col min="13063" max="13063" width="13.875" style="3252" customWidth="1"/>
    <col min="13064" max="13064" width="27.625" style="3252" customWidth="1"/>
    <col min="13065" max="13065" width="12.25" style="3252" customWidth="1"/>
    <col min="13066" max="13067" width="10.625" style="3252" customWidth="1"/>
    <col min="13068" max="13068" width="13.625" style="3252" customWidth="1"/>
    <col min="13069" max="13069" width="11.5" style="3252" customWidth="1"/>
    <col min="13070" max="13070" width="6.25" style="3252" customWidth="1"/>
    <col min="13071" max="13071" width="7.875" style="3252" customWidth="1"/>
    <col min="13072" max="13072" width="10" style="3252" customWidth="1"/>
    <col min="13073" max="13073" width="15.5" style="3252" customWidth="1"/>
    <col min="13074" max="13074" width="14.25" style="3252" customWidth="1"/>
    <col min="13075" max="13075" width="19.875" style="3252" customWidth="1"/>
    <col min="13076" max="13076" width="28.5" style="3252" customWidth="1"/>
    <col min="13077" max="13078" width="7.875" style="3252" customWidth="1"/>
    <col min="13079" max="13312" width="9" style="3252"/>
    <col min="13313" max="13313" width="9" style="3252" customWidth="1"/>
    <col min="13314" max="13314" width="43.5" style="3252" customWidth="1"/>
    <col min="13315" max="13315" width="10.75" style="3252" customWidth="1"/>
    <col min="13316" max="13316" width="10.5" style="3252" customWidth="1"/>
    <col min="13317" max="13317" width="16.125" style="3252" customWidth="1"/>
    <col min="13318" max="13318" width="16.875" style="3252" customWidth="1"/>
    <col min="13319" max="13319" width="13.875" style="3252" customWidth="1"/>
    <col min="13320" max="13320" width="27.625" style="3252" customWidth="1"/>
    <col min="13321" max="13321" width="12.25" style="3252" customWidth="1"/>
    <col min="13322" max="13323" width="10.625" style="3252" customWidth="1"/>
    <col min="13324" max="13324" width="13.625" style="3252" customWidth="1"/>
    <col min="13325" max="13325" width="11.5" style="3252" customWidth="1"/>
    <col min="13326" max="13326" width="6.25" style="3252" customWidth="1"/>
    <col min="13327" max="13327" width="7.875" style="3252" customWidth="1"/>
    <col min="13328" max="13328" width="10" style="3252" customWidth="1"/>
    <col min="13329" max="13329" width="15.5" style="3252" customWidth="1"/>
    <col min="13330" max="13330" width="14.25" style="3252" customWidth="1"/>
    <col min="13331" max="13331" width="19.875" style="3252" customWidth="1"/>
    <col min="13332" max="13332" width="28.5" style="3252" customWidth="1"/>
    <col min="13333" max="13334" width="7.875" style="3252" customWidth="1"/>
    <col min="13335" max="13568" width="9" style="3252"/>
    <col min="13569" max="13569" width="9" style="3252" customWidth="1"/>
    <col min="13570" max="13570" width="43.5" style="3252" customWidth="1"/>
    <col min="13571" max="13571" width="10.75" style="3252" customWidth="1"/>
    <col min="13572" max="13572" width="10.5" style="3252" customWidth="1"/>
    <col min="13573" max="13573" width="16.125" style="3252" customWidth="1"/>
    <col min="13574" max="13574" width="16.875" style="3252" customWidth="1"/>
    <col min="13575" max="13575" width="13.875" style="3252" customWidth="1"/>
    <col min="13576" max="13576" width="27.625" style="3252" customWidth="1"/>
    <col min="13577" max="13577" width="12.25" style="3252" customWidth="1"/>
    <col min="13578" max="13579" width="10.625" style="3252" customWidth="1"/>
    <col min="13580" max="13580" width="13.625" style="3252" customWidth="1"/>
    <col min="13581" max="13581" width="11.5" style="3252" customWidth="1"/>
    <col min="13582" max="13582" width="6.25" style="3252" customWidth="1"/>
    <col min="13583" max="13583" width="7.875" style="3252" customWidth="1"/>
    <col min="13584" max="13584" width="10" style="3252" customWidth="1"/>
    <col min="13585" max="13585" width="15.5" style="3252" customWidth="1"/>
    <col min="13586" max="13586" width="14.25" style="3252" customWidth="1"/>
    <col min="13587" max="13587" width="19.875" style="3252" customWidth="1"/>
    <col min="13588" max="13588" width="28.5" style="3252" customWidth="1"/>
    <col min="13589" max="13590" width="7.875" style="3252" customWidth="1"/>
    <col min="13591" max="13824" width="9" style="3252"/>
    <col min="13825" max="13825" width="9" style="3252" customWidth="1"/>
    <col min="13826" max="13826" width="43.5" style="3252" customWidth="1"/>
    <col min="13827" max="13827" width="10.75" style="3252" customWidth="1"/>
    <col min="13828" max="13828" width="10.5" style="3252" customWidth="1"/>
    <col min="13829" max="13829" width="16.125" style="3252" customWidth="1"/>
    <col min="13830" max="13830" width="16.875" style="3252" customWidth="1"/>
    <col min="13831" max="13831" width="13.875" style="3252" customWidth="1"/>
    <col min="13832" max="13832" width="27.625" style="3252" customWidth="1"/>
    <col min="13833" max="13833" width="12.25" style="3252" customWidth="1"/>
    <col min="13834" max="13835" width="10.625" style="3252" customWidth="1"/>
    <col min="13836" max="13836" width="13.625" style="3252" customWidth="1"/>
    <col min="13837" max="13837" width="11.5" style="3252" customWidth="1"/>
    <col min="13838" max="13838" width="6.25" style="3252" customWidth="1"/>
    <col min="13839" max="13839" width="7.875" style="3252" customWidth="1"/>
    <col min="13840" max="13840" width="10" style="3252" customWidth="1"/>
    <col min="13841" max="13841" width="15.5" style="3252" customWidth="1"/>
    <col min="13842" max="13842" width="14.25" style="3252" customWidth="1"/>
    <col min="13843" max="13843" width="19.875" style="3252" customWidth="1"/>
    <col min="13844" max="13844" width="28.5" style="3252" customWidth="1"/>
    <col min="13845" max="13846" width="7.875" style="3252" customWidth="1"/>
    <col min="13847" max="14080" width="9" style="3252"/>
    <col min="14081" max="14081" width="9" style="3252" customWidth="1"/>
    <col min="14082" max="14082" width="43.5" style="3252" customWidth="1"/>
    <col min="14083" max="14083" width="10.75" style="3252" customWidth="1"/>
    <col min="14084" max="14084" width="10.5" style="3252" customWidth="1"/>
    <col min="14085" max="14085" width="16.125" style="3252" customWidth="1"/>
    <col min="14086" max="14086" width="16.875" style="3252" customWidth="1"/>
    <col min="14087" max="14087" width="13.875" style="3252" customWidth="1"/>
    <col min="14088" max="14088" width="27.625" style="3252" customWidth="1"/>
    <col min="14089" max="14089" width="12.25" style="3252" customWidth="1"/>
    <col min="14090" max="14091" width="10.625" style="3252" customWidth="1"/>
    <col min="14092" max="14092" width="13.625" style="3252" customWidth="1"/>
    <col min="14093" max="14093" width="11.5" style="3252" customWidth="1"/>
    <col min="14094" max="14094" width="6.25" style="3252" customWidth="1"/>
    <col min="14095" max="14095" width="7.875" style="3252" customWidth="1"/>
    <col min="14096" max="14096" width="10" style="3252" customWidth="1"/>
    <col min="14097" max="14097" width="15.5" style="3252" customWidth="1"/>
    <col min="14098" max="14098" width="14.25" style="3252" customWidth="1"/>
    <col min="14099" max="14099" width="19.875" style="3252" customWidth="1"/>
    <col min="14100" max="14100" width="28.5" style="3252" customWidth="1"/>
    <col min="14101" max="14102" width="7.875" style="3252" customWidth="1"/>
    <col min="14103" max="14336" width="9" style="3252"/>
    <col min="14337" max="14337" width="9" style="3252" customWidth="1"/>
    <col min="14338" max="14338" width="43.5" style="3252" customWidth="1"/>
    <col min="14339" max="14339" width="10.75" style="3252" customWidth="1"/>
    <col min="14340" max="14340" width="10.5" style="3252" customWidth="1"/>
    <col min="14341" max="14341" width="16.125" style="3252" customWidth="1"/>
    <col min="14342" max="14342" width="16.875" style="3252" customWidth="1"/>
    <col min="14343" max="14343" width="13.875" style="3252" customWidth="1"/>
    <col min="14344" max="14344" width="27.625" style="3252" customWidth="1"/>
    <col min="14345" max="14345" width="12.25" style="3252" customWidth="1"/>
    <col min="14346" max="14347" width="10.625" style="3252" customWidth="1"/>
    <col min="14348" max="14348" width="13.625" style="3252" customWidth="1"/>
    <col min="14349" max="14349" width="11.5" style="3252" customWidth="1"/>
    <col min="14350" max="14350" width="6.25" style="3252" customWidth="1"/>
    <col min="14351" max="14351" width="7.875" style="3252" customWidth="1"/>
    <col min="14352" max="14352" width="10" style="3252" customWidth="1"/>
    <col min="14353" max="14353" width="15.5" style="3252" customWidth="1"/>
    <col min="14354" max="14354" width="14.25" style="3252" customWidth="1"/>
    <col min="14355" max="14355" width="19.875" style="3252" customWidth="1"/>
    <col min="14356" max="14356" width="28.5" style="3252" customWidth="1"/>
    <col min="14357" max="14358" width="7.875" style="3252" customWidth="1"/>
    <col min="14359" max="14592" width="9" style="3252"/>
    <col min="14593" max="14593" width="9" style="3252" customWidth="1"/>
    <col min="14594" max="14594" width="43.5" style="3252" customWidth="1"/>
    <col min="14595" max="14595" width="10.75" style="3252" customWidth="1"/>
    <col min="14596" max="14596" width="10.5" style="3252" customWidth="1"/>
    <col min="14597" max="14597" width="16.125" style="3252" customWidth="1"/>
    <col min="14598" max="14598" width="16.875" style="3252" customWidth="1"/>
    <col min="14599" max="14599" width="13.875" style="3252" customWidth="1"/>
    <col min="14600" max="14600" width="27.625" style="3252" customWidth="1"/>
    <col min="14601" max="14601" width="12.25" style="3252" customWidth="1"/>
    <col min="14602" max="14603" width="10.625" style="3252" customWidth="1"/>
    <col min="14604" max="14604" width="13.625" style="3252" customWidth="1"/>
    <col min="14605" max="14605" width="11.5" style="3252" customWidth="1"/>
    <col min="14606" max="14606" width="6.25" style="3252" customWidth="1"/>
    <col min="14607" max="14607" width="7.875" style="3252" customWidth="1"/>
    <col min="14608" max="14608" width="10" style="3252" customWidth="1"/>
    <col min="14609" max="14609" width="15.5" style="3252" customWidth="1"/>
    <col min="14610" max="14610" width="14.25" style="3252" customWidth="1"/>
    <col min="14611" max="14611" width="19.875" style="3252" customWidth="1"/>
    <col min="14612" max="14612" width="28.5" style="3252" customWidth="1"/>
    <col min="14613" max="14614" width="7.875" style="3252" customWidth="1"/>
    <col min="14615" max="14848" width="9" style="3252"/>
    <col min="14849" max="14849" width="9" style="3252" customWidth="1"/>
    <col min="14850" max="14850" width="43.5" style="3252" customWidth="1"/>
    <col min="14851" max="14851" width="10.75" style="3252" customWidth="1"/>
    <col min="14852" max="14852" width="10.5" style="3252" customWidth="1"/>
    <col min="14853" max="14853" width="16.125" style="3252" customWidth="1"/>
    <col min="14854" max="14854" width="16.875" style="3252" customWidth="1"/>
    <col min="14855" max="14855" width="13.875" style="3252" customWidth="1"/>
    <col min="14856" max="14856" width="27.625" style="3252" customWidth="1"/>
    <col min="14857" max="14857" width="12.25" style="3252" customWidth="1"/>
    <col min="14858" max="14859" width="10.625" style="3252" customWidth="1"/>
    <col min="14860" max="14860" width="13.625" style="3252" customWidth="1"/>
    <col min="14861" max="14861" width="11.5" style="3252" customWidth="1"/>
    <col min="14862" max="14862" width="6.25" style="3252" customWidth="1"/>
    <col min="14863" max="14863" width="7.875" style="3252" customWidth="1"/>
    <col min="14864" max="14864" width="10" style="3252" customWidth="1"/>
    <col min="14865" max="14865" width="15.5" style="3252" customWidth="1"/>
    <col min="14866" max="14866" width="14.25" style="3252" customWidth="1"/>
    <col min="14867" max="14867" width="19.875" style="3252" customWidth="1"/>
    <col min="14868" max="14868" width="28.5" style="3252" customWidth="1"/>
    <col min="14869" max="14870" width="7.875" style="3252" customWidth="1"/>
    <col min="14871" max="15104" width="9" style="3252"/>
    <col min="15105" max="15105" width="9" style="3252" customWidth="1"/>
    <col min="15106" max="15106" width="43.5" style="3252" customWidth="1"/>
    <col min="15107" max="15107" width="10.75" style="3252" customWidth="1"/>
    <col min="15108" max="15108" width="10.5" style="3252" customWidth="1"/>
    <col min="15109" max="15109" width="16.125" style="3252" customWidth="1"/>
    <col min="15110" max="15110" width="16.875" style="3252" customWidth="1"/>
    <col min="15111" max="15111" width="13.875" style="3252" customWidth="1"/>
    <col min="15112" max="15112" width="27.625" style="3252" customWidth="1"/>
    <col min="15113" max="15113" width="12.25" style="3252" customWidth="1"/>
    <col min="15114" max="15115" width="10.625" style="3252" customWidth="1"/>
    <col min="15116" max="15116" width="13.625" style="3252" customWidth="1"/>
    <col min="15117" max="15117" width="11.5" style="3252" customWidth="1"/>
    <col min="15118" max="15118" width="6.25" style="3252" customWidth="1"/>
    <col min="15119" max="15119" width="7.875" style="3252" customWidth="1"/>
    <col min="15120" max="15120" width="10" style="3252" customWidth="1"/>
    <col min="15121" max="15121" width="15.5" style="3252" customWidth="1"/>
    <col min="15122" max="15122" width="14.25" style="3252" customWidth="1"/>
    <col min="15123" max="15123" width="19.875" style="3252" customWidth="1"/>
    <col min="15124" max="15124" width="28.5" style="3252" customWidth="1"/>
    <col min="15125" max="15126" width="7.875" style="3252" customWidth="1"/>
    <col min="15127" max="15360" width="9" style="3252"/>
    <col min="15361" max="15361" width="9" style="3252" customWidth="1"/>
    <col min="15362" max="15362" width="43.5" style="3252" customWidth="1"/>
    <col min="15363" max="15363" width="10.75" style="3252" customWidth="1"/>
    <col min="15364" max="15364" width="10.5" style="3252" customWidth="1"/>
    <col min="15365" max="15365" width="16.125" style="3252" customWidth="1"/>
    <col min="15366" max="15366" width="16.875" style="3252" customWidth="1"/>
    <col min="15367" max="15367" width="13.875" style="3252" customWidth="1"/>
    <col min="15368" max="15368" width="27.625" style="3252" customWidth="1"/>
    <col min="15369" max="15369" width="12.25" style="3252" customWidth="1"/>
    <col min="15370" max="15371" width="10.625" style="3252" customWidth="1"/>
    <col min="15372" max="15372" width="13.625" style="3252" customWidth="1"/>
    <col min="15373" max="15373" width="11.5" style="3252" customWidth="1"/>
    <col min="15374" max="15374" width="6.25" style="3252" customWidth="1"/>
    <col min="15375" max="15375" width="7.875" style="3252" customWidth="1"/>
    <col min="15376" max="15376" width="10" style="3252" customWidth="1"/>
    <col min="15377" max="15377" width="15.5" style="3252" customWidth="1"/>
    <col min="15378" max="15378" width="14.25" style="3252" customWidth="1"/>
    <col min="15379" max="15379" width="19.875" style="3252" customWidth="1"/>
    <col min="15380" max="15380" width="28.5" style="3252" customWidth="1"/>
    <col min="15381" max="15382" width="7.875" style="3252" customWidth="1"/>
    <col min="15383" max="15616" width="9" style="3252"/>
    <col min="15617" max="15617" width="9" style="3252" customWidth="1"/>
    <col min="15618" max="15618" width="43.5" style="3252" customWidth="1"/>
    <col min="15619" max="15619" width="10.75" style="3252" customWidth="1"/>
    <col min="15620" max="15620" width="10.5" style="3252" customWidth="1"/>
    <col min="15621" max="15621" width="16.125" style="3252" customWidth="1"/>
    <col min="15622" max="15622" width="16.875" style="3252" customWidth="1"/>
    <col min="15623" max="15623" width="13.875" style="3252" customWidth="1"/>
    <col min="15624" max="15624" width="27.625" style="3252" customWidth="1"/>
    <col min="15625" max="15625" width="12.25" style="3252" customWidth="1"/>
    <col min="15626" max="15627" width="10.625" style="3252" customWidth="1"/>
    <col min="15628" max="15628" width="13.625" style="3252" customWidth="1"/>
    <col min="15629" max="15629" width="11.5" style="3252" customWidth="1"/>
    <col min="15630" max="15630" width="6.25" style="3252" customWidth="1"/>
    <col min="15631" max="15631" width="7.875" style="3252" customWidth="1"/>
    <col min="15632" max="15632" width="10" style="3252" customWidth="1"/>
    <col min="15633" max="15633" width="15.5" style="3252" customWidth="1"/>
    <col min="15634" max="15634" width="14.25" style="3252" customWidth="1"/>
    <col min="15635" max="15635" width="19.875" style="3252" customWidth="1"/>
    <col min="15636" max="15636" width="28.5" style="3252" customWidth="1"/>
    <col min="15637" max="15638" width="7.875" style="3252" customWidth="1"/>
    <col min="15639" max="15872" width="9" style="3252"/>
    <col min="15873" max="15873" width="9" style="3252" customWidth="1"/>
    <col min="15874" max="15874" width="43.5" style="3252" customWidth="1"/>
    <col min="15875" max="15875" width="10.75" style="3252" customWidth="1"/>
    <col min="15876" max="15876" width="10.5" style="3252" customWidth="1"/>
    <col min="15877" max="15877" width="16.125" style="3252" customWidth="1"/>
    <col min="15878" max="15878" width="16.875" style="3252" customWidth="1"/>
    <col min="15879" max="15879" width="13.875" style="3252" customWidth="1"/>
    <col min="15880" max="15880" width="27.625" style="3252" customWidth="1"/>
    <col min="15881" max="15881" width="12.25" style="3252" customWidth="1"/>
    <col min="15882" max="15883" width="10.625" style="3252" customWidth="1"/>
    <col min="15884" max="15884" width="13.625" style="3252" customWidth="1"/>
    <col min="15885" max="15885" width="11.5" style="3252" customWidth="1"/>
    <col min="15886" max="15886" width="6.25" style="3252" customWidth="1"/>
    <col min="15887" max="15887" width="7.875" style="3252" customWidth="1"/>
    <col min="15888" max="15888" width="10" style="3252" customWidth="1"/>
    <col min="15889" max="15889" width="15.5" style="3252" customWidth="1"/>
    <col min="15890" max="15890" width="14.25" style="3252" customWidth="1"/>
    <col min="15891" max="15891" width="19.875" style="3252" customWidth="1"/>
    <col min="15892" max="15892" width="28.5" style="3252" customWidth="1"/>
    <col min="15893" max="15894" width="7.875" style="3252" customWidth="1"/>
    <col min="15895" max="16128" width="9" style="3252"/>
    <col min="16129" max="16129" width="9" style="3252" customWidth="1"/>
    <col min="16130" max="16130" width="43.5" style="3252" customWidth="1"/>
    <col min="16131" max="16131" width="10.75" style="3252" customWidth="1"/>
    <col min="16132" max="16132" width="10.5" style="3252" customWidth="1"/>
    <col min="16133" max="16133" width="16.125" style="3252" customWidth="1"/>
    <col min="16134" max="16134" width="16.875" style="3252" customWidth="1"/>
    <col min="16135" max="16135" width="13.875" style="3252" customWidth="1"/>
    <col min="16136" max="16136" width="27.625" style="3252" customWidth="1"/>
    <col min="16137" max="16137" width="12.25" style="3252" customWidth="1"/>
    <col min="16138" max="16139" width="10.625" style="3252" customWidth="1"/>
    <col min="16140" max="16140" width="13.625" style="3252" customWidth="1"/>
    <col min="16141" max="16141" width="11.5" style="3252" customWidth="1"/>
    <col min="16142" max="16142" width="6.25" style="3252" customWidth="1"/>
    <col min="16143" max="16143" width="7.875" style="3252" customWidth="1"/>
    <col min="16144" max="16144" width="10" style="3252" customWidth="1"/>
    <col min="16145" max="16145" width="15.5" style="3252" customWidth="1"/>
    <col min="16146" max="16146" width="14.25" style="3252" customWidth="1"/>
    <col min="16147" max="16147" width="19.875" style="3252" customWidth="1"/>
    <col min="16148" max="16148" width="28.5" style="3252" customWidth="1"/>
    <col min="16149" max="16150" width="7.875" style="3252" customWidth="1"/>
    <col min="16151" max="16384" width="9" style="3252"/>
  </cols>
  <sheetData>
    <row r="1" spans="1:22" s="3248" customFormat="1" ht="42.75" customHeight="1">
      <c r="A1" s="3248" t="s">
        <v>3127</v>
      </c>
      <c r="B1" s="3248" t="s">
        <v>3128</v>
      </c>
      <c r="C1" s="3248" t="s">
        <v>3129</v>
      </c>
      <c r="D1" s="3248" t="s">
        <v>3130</v>
      </c>
      <c r="E1" s="3249" t="s">
        <v>3131</v>
      </c>
      <c r="F1" s="3249" t="s">
        <v>3132</v>
      </c>
      <c r="G1" s="3248" t="s">
        <v>3133</v>
      </c>
      <c r="H1" s="3248" t="s">
        <v>3134</v>
      </c>
      <c r="I1" s="3248" t="s">
        <v>2030</v>
      </c>
      <c r="J1" s="3248" t="s">
        <v>3135</v>
      </c>
      <c r="K1" s="3248" t="s">
        <v>3136</v>
      </c>
      <c r="L1" s="3248" t="s">
        <v>3137</v>
      </c>
      <c r="M1" s="3248" t="s">
        <v>3138</v>
      </c>
      <c r="N1" s="3248" t="s">
        <v>3139</v>
      </c>
      <c r="O1" s="3248" t="s">
        <v>3140</v>
      </c>
      <c r="P1" s="3248" t="s">
        <v>3141</v>
      </c>
      <c r="Q1" s="3248" t="s">
        <v>3142</v>
      </c>
      <c r="R1" s="3248" t="s">
        <v>3143</v>
      </c>
      <c r="S1" s="3248" t="s">
        <v>3144</v>
      </c>
      <c r="T1" s="3248" t="s">
        <v>3145</v>
      </c>
      <c r="U1" s="3248" t="s">
        <v>3146</v>
      </c>
      <c r="V1" s="3248" t="s">
        <v>3147</v>
      </c>
    </row>
    <row r="2" spans="1:22" s="3248" customFormat="1" ht="38.25">
      <c r="A2" s="3248" t="s">
        <v>3148</v>
      </c>
      <c r="B2" s="3248" t="s">
        <v>3149</v>
      </c>
      <c r="C2" s="3248">
        <v>37814.6</v>
      </c>
      <c r="D2" s="3248">
        <v>77172</v>
      </c>
      <c r="E2" s="3250">
        <v>52381</v>
      </c>
      <c r="F2" s="3255">
        <f>ROUND(E2*10000/C2,0)</f>
        <v>13852</v>
      </c>
      <c r="G2" s="3248" t="s">
        <v>3150</v>
      </c>
      <c r="H2" s="3248" t="s">
        <v>3151</v>
      </c>
      <c r="I2" s="3248" t="s">
        <v>3152</v>
      </c>
      <c r="J2" s="3248">
        <v>113100</v>
      </c>
      <c r="K2" s="3248">
        <v>124000</v>
      </c>
      <c r="L2" s="3248">
        <v>16068</v>
      </c>
      <c r="M2" s="3248">
        <v>45635</v>
      </c>
      <c r="N2" s="3248">
        <v>9.64</v>
      </c>
      <c r="O2" s="3248" t="s">
        <v>2813</v>
      </c>
      <c r="P2" s="3248" t="s">
        <v>3153</v>
      </c>
      <c r="Q2" s="3248">
        <v>50000</v>
      </c>
      <c r="R2" s="3248" t="s">
        <v>2813</v>
      </c>
      <c r="S2" s="3248" t="s">
        <v>3154</v>
      </c>
      <c r="T2" s="3248" t="s">
        <v>3155</v>
      </c>
      <c r="U2" s="3248" t="s">
        <v>3156</v>
      </c>
      <c r="V2" s="3248" t="s">
        <v>3055</v>
      </c>
    </row>
    <row r="3" spans="1:22" s="3248" customFormat="1" ht="43.5" customHeight="1">
      <c r="A3" s="3248" t="s">
        <v>3157</v>
      </c>
      <c r="B3" s="3248" t="s">
        <v>3158</v>
      </c>
      <c r="C3" s="3248">
        <v>27525.64</v>
      </c>
      <c r="D3" s="3248">
        <v>50251</v>
      </c>
      <c r="E3" s="3250">
        <v>56353.78</v>
      </c>
      <c r="F3" s="3250">
        <f t="shared" ref="F3:F13" si="0">ROUND(E3*10000/C3,0)</f>
        <v>20473</v>
      </c>
      <c r="G3" s="3248" t="s">
        <v>3150</v>
      </c>
      <c r="H3" s="3248" t="s">
        <v>3151</v>
      </c>
      <c r="I3" s="3248" t="s">
        <v>3159</v>
      </c>
      <c r="J3" s="3248">
        <v>90000</v>
      </c>
      <c r="K3" s="3248">
        <v>134800</v>
      </c>
      <c r="L3" s="3248">
        <v>26825.34</v>
      </c>
      <c r="M3" s="3248" t="s">
        <v>2813</v>
      </c>
      <c r="N3" s="3248">
        <v>49.78</v>
      </c>
      <c r="O3" s="3248" t="s">
        <v>2813</v>
      </c>
      <c r="P3" s="3248" t="s">
        <v>2813</v>
      </c>
      <c r="Q3" s="3248" t="s">
        <v>2813</v>
      </c>
      <c r="R3" s="3248" t="s">
        <v>2813</v>
      </c>
      <c r="S3" s="3248" t="s">
        <v>3160</v>
      </c>
      <c r="T3" s="3248" t="s">
        <v>3161</v>
      </c>
      <c r="U3" s="3248" t="s">
        <v>3156</v>
      </c>
      <c r="V3" s="3248" t="s">
        <v>3055</v>
      </c>
    </row>
    <row r="4" spans="1:22" s="3248" customFormat="1" ht="51">
      <c r="A4" s="3248" t="s">
        <v>3162</v>
      </c>
      <c r="B4" s="3248" t="s">
        <v>3163</v>
      </c>
      <c r="C4" s="3248">
        <v>99023.27</v>
      </c>
      <c r="D4" s="3248">
        <v>220184.56</v>
      </c>
      <c r="E4" s="3250">
        <v>259836</v>
      </c>
      <c r="F4" s="3250">
        <f t="shared" si="0"/>
        <v>26240</v>
      </c>
      <c r="G4" s="3248" t="s">
        <v>3150</v>
      </c>
      <c r="H4" s="3248" t="s">
        <v>3151</v>
      </c>
      <c r="I4" s="3248" t="s">
        <v>3164</v>
      </c>
      <c r="J4" s="3248">
        <v>380000</v>
      </c>
      <c r="K4" s="3248">
        <v>467000</v>
      </c>
      <c r="L4" s="3248">
        <v>21209.47</v>
      </c>
      <c r="M4" s="3248" t="s">
        <v>2813</v>
      </c>
      <c r="N4" s="3248">
        <v>22.89</v>
      </c>
      <c r="O4" s="3248" t="s">
        <v>2813</v>
      </c>
      <c r="P4" s="3248" t="s">
        <v>2813</v>
      </c>
      <c r="Q4" s="3248" t="s">
        <v>2813</v>
      </c>
      <c r="R4" s="3248" t="s">
        <v>2813</v>
      </c>
      <c r="S4" s="3248" t="s">
        <v>3165</v>
      </c>
      <c r="T4" s="3248" t="s">
        <v>3166</v>
      </c>
      <c r="U4" s="3248" t="s">
        <v>3167</v>
      </c>
      <c r="V4" s="3248" t="s">
        <v>3055</v>
      </c>
    </row>
    <row r="5" spans="1:22" s="3248" customFormat="1" ht="25.5">
      <c r="A5" s="3248" t="s">
        <v>3168</v>
      </c>
      <c r="B5" s="3248" t="s">
        <v>3169</v>
      </c>
      <c r="C5" s="3248">
        <v>28003.32</v>
      </c>
      <c r="D5" s="3248">
        <v>70008</v>
      </c>
      <c r="E5" s="3250">
        <v>73124.03</v>
      </c>
      <c r="F5" s="3250">
        <f t="shared" si="0"/>
        <v>26113</v>
      </c>
      <c r="G5" s="3248" t="s">
        <v>3170</v>
      </c>
      <c r="H5" s="3248" t="s">
        <v>3171</v>
      </c>
      <c r="I5" s="3248" t="s">
        <v>3172</v>
      </c>
      <c r="J5" s="3248">
        <v>96800</v>
      </c>
      <c r="K5" s="3248">
        <v>97800</v>
      </c>
      <c r="L5" s="3248">
        <v>13969.82</v>
      </c>
      <c r="M5" s="3248" t="s">
        <v>2813</v>
      </c>
      <c r="N5" s="3248">
        <v>1.03</v>
      </c>
      <c r="O5" s="3248" t="s">
        <v>2813</v>
      </c>
      <c r="P5" s="3248" t="s">
        <v>2813</v>
      </c>
      <c r="Q5" s="3248" t="s">
        <v>2813</v>
      </c>
      <c r="R5" s="3248" t="s">
        <v>2813</v>
      </c>
      <c r="S5" s="3248" t="s">
        <v>2813</v>
      </c>
      <c r="T5" s="3248" t="s">
        <v>3173</v>
      </c>
      <c r="U5" s="3248" t="s">
        <v>3156</v>
      </c>
      <c r="V5" s="3248" t="s">
        <v>3055</v>
      </c>
    </row>
    <row r="6" spans="1:22" s="3248" customFormat="1" ht="38.25">
      <c r="A6" s="3248" t="s">
        <v>3174</v>
      </c>
      <c r="B6" s="3248" t="s">
        <v>3175</v>
      </c>
      <c r="C6" s="3248">
        <v>73240.63</v>
      </c>
      <c r="D6" s="3248">
        <v>153989</v>
      </c>
      <c r="E6" s="3250">
        <v>104254.15</v>
      </c>
      <c r="F6" s="3255">
        <f t="shared" si="0"/>
        <v>14234</v>
      </c>
      <c r="G6" s="3248" t="s">
        <v>3150</v>
      </c>
      <c r="H6" s="3248" t="s">
        <v>3176</v>
      </c>
      <c r="I6" s="3248" t="s">
        <v>3152</v>
      </c>
      <c r="J6" s="3248">
        <v>332000</v>
      </c>
      <c r="K6" s="3248">
        <v>332000</v>
      </c>
      <c r="L6" s="3248">
        <v>21559.97</v>
      </c>
      <c r="M6" s="3248" t="s">
        <v>2813</v>
      </c>
      <c r="N6" s="3248">
        <v>0</v>
      </c>
      <c r="O6" s="3248" t="s">
        <v>2813</v>
      </c>
      <c r="P6" s="3248" t="s">
        <v>2813</v>
      </c>
      <c r="Q6" s="3248" t="s">
        <v>2813</v>
      </c>
      <c r="R6" s="3248" t="s">
        <v>2813</v>
      </c>
      <c r="S6" s="3248" t="s">
        <v>3177</v>
      </c>
      <c r="T6" s="3248" t="s">
        <v>3178</v>
      </c>
      <c r="U6" s="3248" t="s">
        <v>3167</v>
      </c>
      <c r="V6" s="3248" t="s">
        <v>3055</v>
      </c>
    </row>
    <row r="7" spans="1:22" s="3248" customFormat="1" ht="27">
      <c r="A7" s="3248" t="s">
        <v>3179</v>
      </c>
      <c r="B7" s="3251" t="s">
        <v>3180</v>
      </c>
      <c r="C7" s="3248">
        <v>39084.339999999997</v>
      </c>
      <c r="D7" s="3248">
        <v>59071</v>
      </c>
      <c r="E7" s="3250">
        <v>86297.68</v>
      </c>
      <c r="F7" s="3250">
        <f t="shared" si="0"/>
        <v>22080</v>
      </c>
      <c r="G7" s="3248" t="s">
        <v>3150</v>
      </c>
      <c r="H7" s="3248" t="s">
        <v>3176</v>
      </c>
      <c r="I7" s="3248" t="s">
        <v>3181</v>
      </c>
      <c r="J7" s="3248">
        <v>132000</v>
      </c>
      <c r="K7" s="3248">
        <v>188000</v>
      </c>
      <c r="L7" s="3248">
        <v>31826.11</v>
      </c>
      <c r="M7" s="3248" t="s">
        <v>2813</v>
      </c>
      <c r="N7" s="3248">
        <v>42.42</v>
      </c>
      <c r="O7" s="3248" t="s">
        <v>2813</v>
      </c>
      <c r="P7" s="3248" t="s">
        <v>2813</v>
      </c>
      <c r="Q7" s="3248" t="s">
        <v>2813</v>
      </c>
      <c r="R7" s="3248" t="s">
        <v>2813</v>
      </c>
      <c r="S7" s="3248" t="s">
        <v>3182</v>
      </c>
      <c r="T7" s="3248" t="s">
        <v>3183</v>
      </c>
      <c r="U7" s="3248" t="s">
        <v>3184</v>
      </c>
      <c r="V7" s="3248" t="s">
        <v>3055</v>
      </c>
    </row>
    <row r="8" spans="1:22" s="3248" customFormat="1" ht="25.5">
      <c r="A8" s="3248" t="s">
        <v>3179</v>
      </c>
      <c r="B8" s="3248" t="s">
        <v>3185</v>
      </c>
      <c r="C8" s="3248">
        <v>51248.95</v>
      </c>
      <c r="D8" s="3248">
        <v>78434</v>
      </c>
      <c r="E8" s="3250">
        <v>19216.8</v>
      </c>
      <c r="F8" s="3250">
        <f t="shared" si="0"/>
        <v>3750</v>
      </c>
      <c r="G8" s="3248" t="s">
        <v>3150</v>
      </c>
      <c r="H8" s="3248" t="s">
        <v>3186</v>
      </c>
      <c r="I8" s="3248" t="s">
        <v>3187</v>
      </c>
      <c r="J8" s="3248">
        <v>153000</v>
      </c>
      <c r="K8" s="3248">
        <v>183000</v>
      </c>
      <c r="L8" s="3248">
        <v>23331.72</v>
      </c>
      <c r="M8" s="3248" t="s">
        <v>2813</v>
      </c>
      <c r="N8" s="3248">
        <v>19.61</v>
      </c>
      <c r="O8" s="3248" t="s">
        <v>2813</v>
      </c>
      <c r="P8" s="3248" t="s">
        <v>2813</v>
      </c>
      <c r="Q8" s="3248" t="s">
        <v>2813</v>
      </c>
      <c r="R8" s="3248" t="s">
        <v>2813</v>
      </c>
      <c r="S8" s="3248" t="s">
        <v>3177</v>
      </c>
      <c r="T8" s="3248" t="s">
        <v>3188</v>
      </c>
      <c r="U8" s="3248" t="s">
        <v>3167</v>
      </c>
      <c r="V8" s="3248" t="s">
        <v>3055</v>
      </c>
    </row>
    <row r="9" spans="1:22" s="3257" customFormat="1" ht="63.75">
      <c r="A9" s="3258" t="s">
        <v>3189</v>
      </c>
      <c r="B9" s="3258" t="s">
        <v>3190</v>
      </c>
      <c r="C9" s="3257">
        <v>29550.2</v>
      </c>
      <c r="D9" s="3257">
        <v>54407</v>
      </c>
      <c r="E9" s="3258">
        <v>1559.0784000000001</v>
      </c>
      <c r="F9" s="3258">
        <f t="shared" si="0"/>
        <v>528</v>
      </c>
      <c r="G9" s="3257" t="s">
        <v>3150</v>
      </c>
      <c r="H9" s="3257" t="s">
        <v>3176</v>
      </c>
      <c r="I9" s="3257">
        <v>1.84</v>
      </c>
      <c r="J9" s="3257">
        <v>60300</v>
      </c>
      <c r="K9" s="3257">
        <v>84000</v>
      </c>
      <c r="L9" s="3257">
        <v>15439.19</v>
      </c>
      <c r="M9" s="3257" t="s">
        <v>2813</v>
      </c>
      <c r="N9" s="3257">
        <v>39.299999999999997</v>
      </c>
      <c r="O9" s="3257" t="s">
        <v>2813</v>
      </c>
      <c r="P9" s="3257" t="s">
        <v>2813</v>
      </c>
      <c r="Q9" s="3257" t="s">
        <v>2813</v>
      </c>
      <c r="R9" s="3257" t="s">
        <v>3191</v>
      </c>
      <c r="S9" s="3257" t="s">
        <v>3192</v>
      </c>
      <c r="T9" s="3257" t="s">
        <v>3193</v>
      </c>
      <c r="U9" s="3257" t="s">
        <v>3167</v>
      </c>
      <c r="V9" s="3257" t="s">
        <v>3055</v>
      </c>
    </row>
    <row r="10" spans="1:22" s="3248" customFormat="1" ht="27">
      <c r="A10" s="3248" t="s">
        <v>3189</v>
      </c>
      <c r="B10" s="3251" t="s">
        <v>3194</v>
      </c>
      <c r="C10" s="3248">
        <v>115506.3</v>
      </c>
      <c r="D10" s="3248">
        <v>280243</v>
      </c>
      <c r="E10" s="3250">
        <v>133199.66</v>
      </c>
      <c r="F10" s="3255">
        <f t="shared" si="0"/>
        <v>11532</v>
      </c>
      <c r="G10" s="3248" t="s">
        <v>3150</v>
      </c>
      <c r="H10" s="3248" t="s">
        <v>3176</v>
      </c>
      <c r="I10" s="3248">
        <v>2.4300000000000002</v>
      </c>
      <c r="J10" s="3248">
        <v>650000</v>
      </c>
      <c r="K10" s="3248">
        <v>666000</v>
      </c>
      <c r="L10" s="3248">
        <v>23765.09</v>
      </c>
      <c r="M10" s="3248" t="s">
        <v>2813</v>
      </c>
      <c r="N10" s="3248">
        <v>2.46</v>
      </c>
      <c r="O10" s="3248" t="s">
        <v>2813</v>
      </c>
      <c r="P10" s="3248" t="s">
        <v>2813</v>
      </c>
      <c r="Q10" s="3248" t="s">
        <v>2813</v>
      </c>
      <c r="R10" s="3248" t="s">
        <v>2813</v>
      </c>
      <c r="S10" s="3248" t="s">
        <v>3177</v>
      </c>
      <c r="T10" s="3248" t="s">
        <v>3195</v>
      </c>
      <c r="U10" s="3248" t="s">
        <v>3156</v>
      </c>
      <c r="V10" s="3248" t="s">
        <v>3055</v>
      </c>
    </row>
    <row r="11" spans="1:22" s="3257" customFormat="1" ht="63.75">
      <c r="A11" s="3258" t="s">
        <v>3189</v>
      </c>
      <c r="B11" s="3258" t="s">
        <v>3227</v>
      </c>
      <c r="C11" s="3257">
        <v>69229.279999999999</v>
      </c>
      <c r="D11" s="3257">
        <v>173073</v>
      </c>
      <c r="E11" s="3258">
        <v>83335.17</v>
      </c>
      <c r="F11" s="3262">
        <f t="shared" si="0"/>
        <v>12038</v>
      </c>
      <c r="G11" s="3257" t="s">
        <v>3196</v>
      </c>
      <c r="H11" s="3257" t="s">
        <v>3197</v>
      </c>
      <c r="I11" s="3257">
        <v>2.5</v>
      </c>
      <c r="J11" s="3257">
        <v>181000</v>
      </c>
      <c r="K11" s="3257">
        <v>255000</v>
      </c>
      <c r="L11" s="3257">
        <v>14733.67</v>
      </c>
      <c r="M11" s="3257" t="s">
        <v>2813</v>
      </c>
      <c r="N11" s="3257">
        <v>40.880000000000003</v>
      </c>
      <c r="O11" s="3257" t="s">
        <v>2813</v>
      </c>
      <c r="P11" s="3257" t="s">
        <v>2813</v>
      </c>
      <c r="Q11" s="3257" t="s">
        <v>2813</v>
      </c>
      <c r="R11" s="3257" t="s">
        <v>3198</v>
      </c>
      <c r="S11" s="3257" t="s">
        <v>3192</v>
      </c>
      <c r="T11" s="3257" t="s">
        <v>3199</v>
      </c>
      <c r="U11" s="3257" t="s">
        <v>3156</v>
      </c>
      <c r="V11" s="3257" t="s">
        <v>3055</v>
      </c>
    </row>
    <row r="12" spans="1:22" s="3257" customFormat="1" ht="76.5">
      <c r="A12" s="3257" t="s">
        <v>3200</v>
      </c>
      <c r="B12" s="3257" t="s">
        <v>3201</v>
      </c>
      <c r="C12" s="3257">
        <v>65453.36</v>
      </c>
      <c r="D12" s="3257">
        <v>148992</v>
      </c>
      <c r="E12" s="3258">
        <v>27965.56</v>
      </c>
      <c r="F12" s="3258">
        <f t="shared" si="0"/>
        <v>4273</v>
      </c>
      <c r="G12" s="3257" t="s">
        <v>3150</v>
      </c>
      <c r="H12" s="3257" t="s">
        <v>3202</v>
      </c>
      <c r="I12" s="3257">
        <v>2.2799999999999998</v>
      </c>
      <c r="J12" s="3257">
        <v>143500</v>
      </c>
      <c r="K12" s="3257">
        <v>143500</v>
      </c>
      <c r="L12" s="3257">
        <v>9631.3799999999992</v>
      </c>
      <c r="M12" s="3257">
        <v>10710</v>
      </c>
      <c r="N12" s="3257">
        <v>0</v>
      </c>
      <c r="O12" s="3257" t="s">
        <v>2813</v>
      </c>
      <c r="P12" s="3257" t="s">
        <v>3153</v>
      </c>
      <c r="Q12" s="3257">
        <v>15000</v>
      </c>
      <c r="R12" s="3257" t="s">
        <v>3203</v>
      </c>
      <c r="S12" s="3257" t="s">
        <v>3204</v>
      </c>
      <c r="T12" s="3257" t="s">
        <v>3205</v>
      </c>
      <c r="U12" s="3257" t="s">
        <v>3206</v>
      </c>
      <c r="V12" s="3257" t="s">
        <v>3055</v>
      </c>
    </row>
    <row r="13" spans="1:22" s="3257" customFormat="1" ht="76.5">
      <c r="A13" s="3258" t="s">
        <v>3207</v>
      </c>
      <c r="B13" s="3258" t="s">
        <v>3228</v>
      </c>
      <c r="C13" s="3257">
        <v>39199.449999999997</v>
      </c>
      <c r="D13" s="3257">
        <v>97998</v>
      </c>
      <c r="E13" s="3258">
        <v>43119.12</v>
      </c>
      <c r="F13" s="3262">
        <f t="shared" si="0"/>
        <v>11000</v>
      </c>
      <c r="G13" s="3257" t="s">
        <v>3196</v>
      </c>
      <c r="H13" s="3257" t="s">
        <v>3197</v>
      </c>
      <c r="I13" s="3257">
        <v>2.5</v>
      </c>
      <c r="J13" s="3257">
        <v>117500</v>
      </c>
      <c r="K13" s="3257">
        <v>157000</v>
      </c>
      <c r="L13" s="3257">
        <v>16020.73</v>
      </c>
      <c r="M13" s="3257" t="s">
        <v>2813</v>
      </c>
      <c r="N13" s="3257">
        <v>33.619999999999997</v>
      </c>
      <c r="O13" s="3257" t="s">
        <v>2813</v>
      </c>
      <c r="P13" s="3257" t="s">
        <v>2813</v>
      </c>
      <c r="Q13" s="3257" t="s">
        <v>2813</v>
      </c>
      <c r="R13" s="3257" t="s">
        <v>3208</v>
      </c>
      <c r="S13" s="3257" t="s">
        <v>3192</v>
      </c>
      <c r="T13" s="3257" t="s">
        <v>3209</v>
      </c>
      <c r="U13" s="3257" t="s">
        <v>3156</v>
      </c>
      <c r="V13" s="3257" t="s">
        <v>3055</v>
      </c>
    </row>
    <row r="14" spans="1:22">
      <c r="E14" s="3261" t="s">
        <v>3235</v>
      </c>
      <c r="F14" s="3252">
        <f>SUM(F2:F13)</f>
        <v>166113</v>
      </c>
    </row>
    <row r="15" spans="1:22">
      <c r="E15" s="3261" t="s">
        <v>3236</v>
      </c>
      <c r="F15" s="3252">
        <f>F14/12</f>
        <v>13842.75</v>
      </c>
    </row>
    <row r="16" spans="1:22">
      <c r="E16" s="3261" t="s">
        <v>3237</v>
      </c>
      <c r="F16" s="3252">
        <f>(F2+F6+F10+F11+F13)/5</f>
        <v>12531.2</v>
      </c>
    </row>
  </sheetData>
  <phoneticPr fontId="228" type="noConversion"/>
  <pageMargins left="0.75" right="0.75" top="1" bottom="1" header="0.5" footer="0.5"/>
  <pageSetup orientation="portrait" horizontalDpi="300" verticalDpi="300"/>
  <headerFooter alignWithMargins="0"/>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A4" sqref="A4:XFD4"/>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516</v>
      </c>
      <c r="B1" s="502"/>
      <c r="C1" s="503" t="s">
        <v>517</v>
      </c>
      <c r="D1" s="504" t="s">
        <v>518</v>
      </c>
      <c r="E1" s="505"/>
      <c r="F1" s="427"/>
      <c r="G1" s="505"/>
      <c r="H1" s="505"/>
      <c r="I1" s="505"/>
      <c r="J1" s="505"/>
      <c r="K1" s="506"/>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2" t="s">
        <v>467</v>
      </c>
      <c r="B2" s="507">
        <f>F68</f>
        <v>1164956</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0"/>
    </row>
    <row r="3" spans="1:30" s="1331" customFormat="1" ht="28.5" customHeight="1">
      <c r="A3" s="1374" t="s">
        <v>1684</v>
      </c>
      <c r="B3" s="509">
        <f>ROUND(B2*10000/'数据-汇总表'!E3,0)</f>
        <v>4962</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30" s="1331" customFormat="1" ht="28.5" customHeight="1">
      <c r="A4" s="510" t="s">
        <v>520</v>
      </c>
      <c r="B4" s="426">
        <f>IF(B48="单位面积地价",C50,ROUND(B2*10000/'数据-汇总表'!D3,0))</f>
        <v>14582</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30" s="1331" customFormat="1" ht="28.5" customHeight="1" thickBot="1">
      <c r="A5" s="428"/>
      <c r="B5" s="429">
        <f>ROUND(B2/('数据-汇总表'!D3/666.67),0)</f>
        <v>972</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7"/>
    </row>
    <row r="6" spans="1:30" ht="20.25">
      <c r="A6" s="511" t="s">
        <v>521</v>
      </c>
      <c r="B6" s="512"/>
      <c r="C6" s="3481" t="s">
        <v>522</v>
      </c>
      <c r="D6" s="3482"/>
      <c r="E6" s="3481" t="s">
        <v>523</v>
      </c>
      <c r="F6" s="3482"/>
      <c r="G6" s="3481" t="s">
        <v>524</v>
      </c>
      <c r="H6" s="3482"/>
      <c r="I6" s="3481" t="s">
        <v>525</v>
      </c>
      <c r="J6" s="3482"/>
      <c r="K6" s="513" t="s">
        <v>526</v>
      </c>
      <c r="L6" s="2117"/>
      <c r="M6" s="2116"/>
      <c r="N6" s="2116"/>
      <c r="O6" s="2118"/>
      <c r="P6" s="3485" t="s">
        <v>527</v>
      </c>
      <c r="Q6" s="3486"/>
      <c r="R6" s="3491" t="s">
        <v>523</v>
      </c>
      <c r="S6" s="3492"/>
      <c r="T6" s="3491" t="s">
        <v>524</v>
      </c>
      <c r="U6" s="3492"/>
      <c r="V6" s="3471" t="s">
        <v>525</v>
      </c>
      <c r="W6" s="3471"/>
      <c r="X6" s="1552"/>
      <c r="Y6" s="3491" t="s">
        <v>527</v>
      </c>
      <c r="Z6" s="3492"/>
      <c r="AA6" s="3478" t="s">
        <v>523</v>
      </c>
      <c r="AB6" s="3479" t="s">
        <v>524</v>
      </c>
      <c r="AC6" s="3478" t="s">
        <v>525</v>
      </c>
    </row>
    <row r="7" spans="1:30" ht="79.5" customHeight="1">
      <c r="A7" s="514"/>
      <c r="B7" s="515"/>
      <c r="C7" s="3499" t="s">
        <v>2926</v>
      </c>
      <c r="D7" s="3500"/>
      <c r="E7" s="3499" t="str">
        <f>土地一级开发成本!B9</f>
        <v>北京市通州区台湖镇TZ09-0100-6016地块、6019地块R2二类居住用地、TZ09-0100-6018地块A33基础教育用地</v>
      </c>
      <c r="F7" s="3500"/>
      <c r="G7" s="3499" t="str">
        <f>土地一级开发成本!B11</f>
        <v>北京市通州区台湖镇YZ00-0405-0099、YZ00-0405-0104地块R2二类居住用地</v>
      </c>
      <c r="H7" s="3500"/>
      <c r="I7" s="3499" t="str">
        <f>土地一级开发成本!B13</f>
        <v>北京市通州区台湖镇YZ00-0405-0078、0079、0081地块R2二类居住用地</v>
      </c>
      <c r="J7" s="3500"/>
      <c r="K7" s="513"/>
      <c r="L7" s="2117"/>
      <c r="M7" s="2116"/>
      <c r="N7" s="2116"/>
      <c r="O7" s="2118"/>
      <c r="P7" s="3487"/>
      <c r="Q7" s="3488"/>
      <c r="R7" s="3493"/>
      <c r="S7" s="3494"/>
      <c r="T7" s="3493"/>
      <c r="U7" s="3494"/>
      <c r="V7" s="3471"/>
      <c r="W7" s="3471"/>
      <c r="X7" s="1552"/>
      <c r="Y7" s="3493"/>
      <c r="Z7" s="3494"/>
      <c r="AA7" s="3479"/>
      <c r="AB7" s="3479"/>
      <c r="AC7" s="3479"/>
    </row>
    <row r="8" spans="1:30" ht="21" thickBot="1">
      <c r="A8" s="514"/>
      <c r="B8" s="515"/>
      <c r="C8" s="3551" t="s">
        <v>2930</v>
      </c>
      <c r="D8" s="3552"/>
      <c r="E8" s="3551"/>
      <c r="F8" s="3552"/>
      <c r="G8" s="3501"/>
      <c r="H8" s="3502"/>
      <c r="I8" s="3501" t="s">
        <v>2930</v>
      </c>
      <c r="J8" s="3502"/>
      <c r="K8" s="513" t="s">
        <v>528</v>
      </c>
      <c r="L8" s="2117"/>
      <c r="M8" s="2116"/>
      <c r="N8" s="2116"/>
      <c r="O8" s="2118"/>
      <c r="P8" s="3489"/>
      <c r="Q8" s="3490"/>
      <c r="R8" s="3493"/>
      <c r="S8" s="3494"/>
      <c r="T8" s="3495"/>
      <c r="U8" s="3496"/>
      <c r="V8" s="3471"/>
      <c r="W8" s="3471"/>
      <c r="X8" s="1552"/>
      <c r="Y8" s="3495"/>
      <c r="Z8" s="3496"/>
      <c r="AA8" s="3480"/>
      <c r="AB8" s="3480"/>
      <c r="AC8" s="3480"/>
    </row>
    <row r="9" spans="1:30" s="1215" customFormat="1" ht="21" thickBot="1">
      <c r="A9" s="2750"/>
      <c r="B9" s="2757" t="s">
        <v>529</v>
      </c>
      <c r="C9" s="2749">
        <f>'数据-取费表'!B2</f>
        <v>44078</v>
      </c>
      <c r="D9" s="519">
        <v>100</v>
      </c>
      <c r="E9" s="520" t="str">
        <f>土地一级开发成本!A9</f>
        <v>2019-01-31</v>
      </c>
      <c r="F9" s="521">
        <f>SUMIF(72:72,YEAR(E9)&amp;"-"&amp;INT((MONTH(E9)+2)/3),73:73)</f>
        <v>99</v>
      </c>
      <c r="G9" s="522" t="str">
        <f>土地一级开发成本!A11</f>
        <v>2019-01-31</v>
      </c>
      <c r="H9" s="519">
        <f>SUMIF(72:72,YEAR(G9)&amp;"-"&amp;INT((MONTH(G9)+2)/3),73:73)</f>
        <v>99</v>
      </c>
      <c r="I9" s="522" t="str">
        <f>土地一级开发成本!A13</f>
        <v>2018-02-06</v>
      </c>
      <c r="J9" s="519">
        <f>SUMIF(72:72,YEAR(I9)&amp;"-"&amp;INT((MONTH(I9)+2)/3),73:73)</f>
        <v>98</v>
      </c>
      <c r="K9" s="523"/>
      <c r="L9" s="2119"/>
      <c r="M9" s="2116"/>
      <c r="N9" s="2116"/>
      <c r="O9" s="2120"/>
      <c r="P9" s="3476" t="s">
        <v>530</v>
      </c>
      <c r="Q9" s="3503"/>
      <c r="R9" s="1553" t="s">
        <v>8</v>
      </c>
      <c r="S9" s="1554">
        <f t="shared" ref="S9:S17" si="0">F9</f>
        <v>99</v>
      </c>
      <c r="T9" s="1553" t="s">
        <v>8</v>
      </c>
      <c r="U9" s="1554">
        <f t="shared" ref="U9:U17" si="1">H9</f>
        <v>99</v>
      </c>
      <c r="V9" s="1553" t="s">
        <v>8</v>
      </c>
      <c r="W9" s="1554">
        <f t="shared" ref="W9:W17" si="2">J9</f>
        <v>98</v>
      </c>
      <c r="X9" s="1555"/>
      <c r="Y9" s="3476" t="s">
        <v>530</v>
      </c>
      <c r="Z9" s="3477"/>
      <c r="AA9" s="1556">
        <f>D9/F9</f>
        <v>1.0101010101010102</v>
      </c>
      <c r="AB9" s="1556">
        <f>D9/H9</f>
        <v>1.0101010101010102</v>
      </c>
      <c r="AC9" s="1556">
        <f>D9/J9</f>
        <v>1.0204081632653061</v>
      </c>
    </row>
    <row r="10" spans="1:30" s="1215" customFormat="1" ht="21" thickBot="1">
      <c r="A10" s="2751"/>
      <c r="B10" s="2758" t="s">
        <v>531</v>
      </c>
      <c r="C10" s="855" t="s">
        <v>532</v>
      </c>
      <c r="D10" s="519">
        <v>100</v>
      </c>
      <c r="E10" s="524" t="s">
        <v>3023</v>
      </c>
      <c r="F10" s="521">
        <f>SUMIF(75:75,E10,76:76)-SUMIF(75:75,C10,76:76)+100</f>
        <v>100</v>
      </c>
      <c r="G10" s="524" t="s">
        <v>3023</v>
      </c>
      <c r="H10" s="519">
        <f>SUMIF(75:75,G10,76:76)-SUMIF(75:75,C10,76:76)+100</f>
        <v>100</v>
      </c>
      <c r="I10" s="524" t="s">
        <v>3023</v>
      </c>
      <c r="J10" s="519">
        <f>SUMIF(75:75,I10,76:76)-SUMIF(75:75,C10,76:76)+100</f>
        <v>100</v>
      </c>
      <c r="K10" s="523"/>
      <c r="L10" s="2119"/>
      <c r="M10" s="2116"/>
      <c r="N10" s="2116"/>
      <c r="O10" s="2120"/>
      <c r="P10" s="3476" t="s">
        <v>533</v>
      </c>
      <c r="Q10" s="3477"/>
      <c r="R10" s="1553" t="s">
        <v>8</v>
      </c>
      <c r="S10" s="1554">
        <f t="shared" si="0"/>
        <v>100</v>
      </c>
      <c r="T10" s="1553" t="s">
        <v>8</v>
      </c>
      <c r="U10" s="1554">
        <f t="shared" si="1"/>
        <v>100</v>
      </c>
      <c r="V10" s="1553" t="s">
        <v>8</v>
      </c>
      <c r="W10" s="1554">
        <f t="shared" si="2"/>
        <v>100</v>
      </c>
      <c r="X10" s="1555"/>
      <c r="Y10" s="3476" t="s">
        <v>533</v>
      </c>
      <c r="Z10" s="3477"/>
      <c r="AA10" s="1556">
        <f t="shared" ref="AA10:AA47" si="3">D10/F10</f>
        <v>1</v>
      </c>
      <c r="AB10" s="1556">
        <f t="shared" ref="AB10:AB47" si="4">D10/H10</f>
        <v>1</v>
      </c>
      <c r="AC10" s="1556">
        <f t="shared" ref="AC10:AC47" si="5">D10/J10</f>
        <v>1</v>
      </c>
    </row>
    <row r="11" spans="1:30" s="1215" customFormat="1" ht="20.25">
      <c r="A11" s="2752"/>
      <c r="B11" s="2759" t="s">
        <v>2752</v>
      </c>
      <c r="C11" s="2746" t="s">
        <v>2643</v>
      </c>
      <c r="D11" s="253">
        <v>100</v>
      </c>
      <c r="E11" s="525" t="s">
        <v>2643</v>
      </c>
      <c r="F11" s="253">
        <f>SUMIF(77:77,E11,78:78)-SUMIF(77:77,C11,78:78)+100</f>
        <v>100</v>
      </c>
      <c r="G11" s="525" t="s">
        <v>923</v>
      </c>
      <c r="H11" s="253">
        <f>SUMIF(77:77,G11,78:78)-SUMIF(77:77,C11,78:78)+100</f>
        <v>98</v>
      </c>
      <c r="I11" s="525" t="s">
        <v>923</v>
      </c>
      <c r="J11" s="253">
        <f>SUMIF(77:77,I11,78:78)-SUMIF(77:77,C11,78:78)+100</f>
        <v>98</v>
      </c>
      <c r="K11" s="523"/>
      <c r="L11" s="2119"/>
      <c r="M11" s="2116"/>
      <c r="N11" s="2116"/>
      <c r="O11" s="2121"/>
      <c r="P11" s="3469" t="s">
        <v>535</v>
      </c>
      <c r="Q11" s="1146" t="str">
        <f t="shared" ref="Q11:Q17" si="6">B11</f>
        <v>用途</v>
      </c>
      <c r="R11" s="1553" t="s">
        <v>8</v>
      </c>
      <c r="S11" s="1554">
        <f t="shared" si="0"/>
        <v>100</v>
      </c>
      <c r="T11" s="1553" t="s">
        <v>8</v>
      </c>
      <c r="U11" s="1554">
        <f t="shared" si="1"/>
        <v>98</v>
      </c>
      <c r="V11" s="1553" t="s">
        <v>8</v>
      </c>
      <c r="W11" s="1554">
        <f t="shared" si="2"/>
        <v>98</v>
      </c>
      <c r="X11" s="1555"/>
      <c r="Y11" s="3413" t="s">
        <v>536</v>
      </c>
      <c r="Z11" s="1145" t="str">
        <f t="shared" ref="Z11:Z17" si="7">Q11</f>
        <v>用途</v>
      </c>
      <c r="AA11" s="1556">
        <f t="shared" si="3"/>
        <v>1</v>
      </c>
      <c r="AB11" s="1556">
        <f t="shared" si="4"/>
        <v>1.0204081632653061</v>
      </c>
      <c r="AC11" s="1556">
        <f t="shared" si="5"/>
        <v>1.0204081632653061</v>
      </c>
    </row>
    <row r="12" spans="1:30" s="1333" customFormat="1" ht="27">
      <c r="A12" s="2753"/>
      <c r="B12" s="2758" t="s">
        <v>2753</v>
      </c>
      <c r="C12" s="909">
        <v>70</v>
      </c>
      <c r="D12" s="254">
        <v>100</v>
      </c>
      <c r="E12" s="528" t="s">
        <v>3231</v>
      </c>
      <c r="F12" s="254">
        <f>ROUND(100/'数据-取费表'!G16,0)</f>
        <v>100</v>
      </c>
      <c r="G12" s="529" t="s">
        <v>3231</v>
      </c>
      <c r="H12" s="254">
        <f>ROUND(100/'数据-取费表'!G16,0)</f>
        <v>100</v>
      </c>
      <c r="I12" s="529" t="s">
        <v>3231</v>
      </c>
      <c r="J12" s="254">
        <f>ROUND(100/'数据-取费表'!G16,0)</f>
        <v>100</v>
      </c>
      <c r="K12" s="530"/>
      <c r="L12" s="2122"/>
      <c r="M12" s="2116"/>
      <c r="N12" s="2116"/>
      <c r="O12" s="2123"/>
      <c r="P12" s="3469"/>
      <c r="Q12" s="1146" t="str">
        <f t="shared" si="6"/>
        <v>土地使用年限（年）</v>
      </c>
      <c r="R12" s="1553" t="s">
        <v>8</v>
      </c>
      <c r="S12" s="1554">
        <f t="shared" si="0"/>
        <v>100</v>
      </c>
      <c r="T12" s="1553" t="s">
        <v>8</v>
      </c>
      <c r="U12" s="1554">
        <f t="shared" si="1"/>
        <v>100</v>
      </c>
      <c r="V12" s="1553" t="s">
        <v>8</v>
      </c>
      <c r="W12" s="1554">
        <f t="shared" si="2"/>
        <v>100</v>
      </c>
      <c r="X12" s="1555"/>
      <c r="Y12" s="3413"/>
      <c r="Z12" s="1145" t="str">
        <f t="shared" si="7"/>
        <v>土地使用年限（年）</v>
      </c>
      <c r="AA12" s="1556">
        <f t="shared" si="3"/>
        <v>1</v>
      </c>
      <c r="AB12" s="1556">
        <f t="shared" si="4"/>
        <v>1</v>
      </c>
      <c r="AC12" s="1556">
        <f t="shared" si="5"/>
        <v>1</v>
      </c>
    </row>
    <row r="13" spans="1:30" ht="20.25">
      <c r="A13" s="2754"/>
      <c r="B13" s="2758" t="s">
        <v>2754</v>
      </c>
      <c r="C13" s="533">
        <f>'数据-汇总表'!I7</f>
        <v>1.9</v>
      </c>
      <c r="D13" s="254">
        <v>100</v>
      </c>
      <c r="E13" s="532">
        <f>土地一级开发成本!I9</f>
        <v>1.84</v>
      </c>
      <c r="F13" s="254">
        <f>LOOKUP(E13,82:82,83:83)-LOOKUP(C13,82:82,83:83)+100</f>
        <v>100</v>
      </c>
      <c r="G13" s="533">
        <f>土地一级开发成本!I11</f>
        <v>2.5</v>
      </c>
      <c r="H13" s="254">
        <f>LOOKUP(G13,82:82,83:83)-LOOKUP(C13,82:82,83:83)+100</f>
        <v>98</v>
      </c>
      <c r="I13" s="532">
        <f>土地一级开发成本!I13</f>
        <v>2.5</v>
      </c>
      <c r="J13" s="254">
        <f>LOOKUP(I13,82:82,83:83)-LOOKUP(C13,82:82,83:83)+100</f>
        <v>98</v>
      </c>
      <c r="K13" s="534">
        <v>2</v>
      </c>
      <c r="L13" s="2124"/>
      <c r="M13" s="2116"/>
      <c r="N13" s="2116"/>
      <c r="O13" s="2125"/>
      <c r="P13" s="3469"/>
      <c r="Q13" s="1146" t="str">
        <f t="shared" si="6"/>
        <v>容积率</v>
      </c>
      <c r="R13" s="1553" t="s">
        <v>8</v>
      </c>
      <c r="S13" s="1554">
        <f t="shared" si="0"/>
        <v>100</v>
      </c>
      <c r="T13" s="1553" t="s">
        <v>8</v>
      </c>
      <c r="U13" s="1554">
        <f t="shared" si="1"/>
        <v>98</v>
      </c>
      <c r="V13" s="1553" t="s">
        <v>8</v>
      </c>
      <c r="W13" s="1554">
        <f t="shared" si="2"/>
        <v>98</v>
      </c>
      <c r="X13" s="1555"/>
      <c r="Y13" s="3413"/>
      <c r="Z13" s="1145" t="str">
        <f t="shared" si="7"/>
        <v>容积率</v>
      </c>
      <c r="AA13" s="1556">
        <f t="shared" si="3"/>
        <v>1</v>
      </c>
      <c r="AB13" s="1556">
        <f t="shared" si="4"/>
        <v>1.0204081632653061</v>
      </c>
      <c r="AC13" s="1556">
        <f t="shared" si="5"/>
        <v>1.0204081632653061</v>
      </c>
    </row>
    <row r="14" spans="1:30" s="1215" customFormat="1" ht="20.25">
      <c r="A14" s="2751"/>
      <c r="B14" s="2760" t="s">
        <v>2755</v>
      </c>
      <c r="C14" s="2747"/>
      <c r="D14" s="537">
        <v>100</v>
      </c>
      <c r="E14" s="1369"/>
      <c r="F14" s="254">
        <f>SUMIF(84:84,E14,85:85)-SUMIF(84:84,C14,85:85)+100</f>
        <v>100</v>
      </c>
      <c r="G14" s="529"/>
      <c r="H14" s="254">
        <f>SUMIF(84:84,G14,85:85)-SUMIF(84:84,C14,85:85)+100</f>
        <v>100</v>
      </c>
      <c r="I14" s="528"/>
      <c r="J14" s="254">
        <f>SUMIF(84:84,I14,85:85)-SUMIF(84:84,C14,85:85)+100</f>
        <v>100</v>
      </c>
      <c r="K14" s="530"/>
      <c r="L14" s="2119"/>
      <c r="M14" s="2116"/>
      <c r="N14" s="2116"/>
      <c r="O14" s="2121"/>
      <c r="P14" s="3469"/>
      <c r="Q14" s="1146" t="str">
        <f t="shared" si="6"/>
        <v>配建</v>
      </c>
      <c r="R14" s="1553" t="s">
        <v>8</v>
      </c>
      <c r="S14" s="1554">
        <f t="shared" si="0"/>
        <v>100</v>
      </c>
      <c r="T14" s="1553" t="s">
        <v>8</v>
      </c>
      <c r="U14" s="1554">
        <f t="shared" si="1"/>
        <v>100</v>
      </c>
      <c r="V14" s="1553" t="s">
        <v>8</v>
      </c>
      <c r="W14" s="1554">
        <f t="shared" si="2"/>
        <v>100</v>
      </c>
      <c r="X14" s="1555"/>
      <c r="Y14" s="3413"/>
      <c r="Z14" s="1145" t="str">
        <f t="shared" si="7"/>
        <v>配建</v>
      </c>
      <c r="AA14" s="1556">
        <f>D14/F14</f>
        <v>1</v>
      </c>
      <c r="AB14" s="1556">
        <f>D14/H14</f>
        <v>1</v>
      </c>
      <c r="AC14" s="1556">
        <f>D14/J14</f>
        <v>1</v>
      </c>
    </row>
    <row r="15" spans="1:30" ht="20.25">
      <c r="A15" s="2755"/>
      <c r="B15" s="2761">
        <v>111</v>
      </c>
      <c r="C15" s="911"/>
      <c r="D15" s="539">
        <v>100</v>
      </c>
      <c r="E15" s="540"/>
      <c r="F15" s="254">
        <f>SUMIF(86:86,E15,87:87)-SUMIF(86:86,C15,87:87)+100</f>
        <v>100</v>
      </c>
      <c r="G15" s="541"/>
      <c r="H15" s="539">
        <f>SUMIF(86:86,G15,87:87)-SUMIF(86:86,C15,87:87)+100</f>
        <v>100</v>
      </c>
      <c r="I15" s="541"/>
      <c r="J15" s="539">
        <f>SUMIF(86:86,I15,87:87)-SUMIF(86:86,C15,87:87)+100</f>
        <v>100</v>
      </c>
      <c r="K15" s="530"/>
      <c r="L15" s="2126"/>
      <c r="M15" s="2116"/>
      <c r="N15" s="2116"/>
      <c r="O15" s="2125"/>
      <c r="P15" s="3469"/>
      <c r="Q15" s="1146">
        <f t="shared" si="6"/>
        <v>111</v>
      </c>
      <c r="R15" s="1553" t="s">
        <v>8</v>
      </c>
      <c r="S15" s="1554">
        <f t="shared" si="0"/>
        <v>100</v>
      </c>
      <c r="T15" s="1553" t="s">
        <v>8</v>
      </c>
      <c r="U15" s="1554">
        <f t="shared" si="1"/>
        <v>100</v>
      </c>
      <c r="V15" s="1553" t="s">
        <v>8</v>
      </c>
      <c r="W15" s="1554">
        <f t="shared" si="2"/>
        <v>100</v>
      </c>
      <c r="X15" s="1555"/>
      <c r="Y15" s="3413"/>
      <c r="Z15" s="1145">
        <f t="shared" si="7"/>
        <v>111</v>
      </c>
      <c r="AA15" s="1556">
        <f>D15/F15</f>
        <v>1</v>
      </c>
      <c r="AB15" s="1556">
        <f>D15/H15</f>
        <v>1</v>
      </c>
      <c r="AC15" s="1556">
        <f>D15/J15</f>
        <v>1</v>
      </c>
    </row>
    <row r="16" spans="1:30" ht="21" thickBot="1">
      <c r="A16" s="2756"/>
      <c r="B16" s="2762">
        <v>111</v>
      </c>
      <c r="C16" s="914"/>
      <c r="D16" s="545">
        <v>100</v>
      </c>
      <c r="E16" s="540"/>
      <c r="F16" s="545">
        <f>SUMIF(88:88,E16,89:89)-SUMIF(88:88,C16,89:89)+100</f>
        <v>100</v>
      </c>
      <c r="G16" s="541"/>
      <c r="H16" s="545">
        <f>SUMIF(88:88,G16,89:89)-SUMIF(88:88,C16,89:89)+100</f>
        <v>100</v>
      </c>
      <c r="I16" s="541"/>
      <c r="J16" s="545">
        <f>SUMIF(88:88,I16,89:89)-SUMIF(88:88,C16,89:89)+100</f>
        <v>100</v>
      </c>
      <c r="K16" s="530"/>
      <c r="L16" s="2126"/>
      <c r="M16" s="2116"/>
      <c r="N16" s="2116"/>
      <c r="O16" s="2125"/>
      <c r="P16" s="3469"/>
      <c r="Q16" s="1146">
        <f t="shared" si="6"/>
        <v>111</v>
      </c>
      <c r="R16" s="1553" t="s">
        <v>8</v>
      </c>
      <c r="S16" s="1554">
        <f t="shared" si="0"/>
        <v>100</v>
      </c>
      <c r="T16" s="1553" t="s">
        <v>8</v>
      </c>
      <c r="U16" s="1554">
        <f t="shared" si="1"/>
        <v>100</v>
      </c>
      <c r="V16" s="1553" t="s">
        <v>8</v>
      </c>
      <c r="W16" s="1554">
        <f t="shared" si="2"/>
        <v>100</v>
      </c>
      <c r="X16" s="1555"/>
      <c r="Y16" s="3413"/>
      <c r="Z16" s="1145">
        <f t="shared" si="7"/>
        <v>111</v>
      </c>
      <c r="AA16" s="1556">
        <f>D16/F16</f>
        <v>1</v>
      </c>
      <c r="AB16" s="1556">
        <f>D16/H16</f>
        <v>1</v>
      </c>
      <c r="AC16" s="1556">
        <f>D16/J16</f>
        <v>1</v>
      </c>
    </row>
    <row r="17" spans="1:29" ht="99.75">
      <c r="A17" s="2748" t="s">
        <v>2750</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c r="L17" s="2126"/>
      <c r="M17" s="2116"/>
      <c r="N17" s="2116"/>
      <c r="O17" s="2125"/>
      <c r="P17" s="3472" t="s">
        <v>540</v>
      </c>
      <c r="Q17" s="1557" t="str">
        <f t="shared" si="6"/>
        <v>居住社区成熟度</v>
      </c>
      <c r="R17" s="1558" t="s">
        <v>8</v>
      </c>
      <c r="S17" s="1559">
        <f t="shared" si="0"/>
        <v>100</v>
      </c>
      <c r="T17" s="1558" t="s">
        <v>8</v>
      </c>
      <c r="U17" s="1559">
        <f t="shared" si="1"/>
        <v>100</v>
      </c>
      <c r="V17" s="1558" t="s">
        <v>8</v>
      </c>
      <c r="W17" s="1559">
        <f t="shared" si="2"/>
        <v>100</v>
      </c>
      <c r="X17" s="1552"/>
      <c r="Y17" s="3472" t="s">
        <v>540</v>
      </c>
      <c r="Z17" s="1560" t="str">
        <f t="shared" si="7"/>
        <v>居住社区成熟度</v>
      </c>
      <c r="AA17" s="1561">
        <f t="shared" si="3"/>
        <v>1</v>
      </c>
      <c r="AB17" s="1561">
        <f t="shared" si="4"/>
        <v>1</v>
      </c>
      <c r="AC17" s="1561">
        <f t="shared" si="5"/>
        <v>1</v>
      </c>
    </row>
    <row r="18" spans="1:29" ht="20.25">
      <c r="A18" s="531"/>
      <c r="B18" s="552"/>
      <c r="C18" s="553" t="s">
        <v>3016</v>
      </c>
      <c r="D18" s="556"/>
      <c r="E18" s="553" t="s">
        <v>3016</v>
      </c>
      <c r="F18" s="554"/>
      <c r="G18" s="553" t="s">
        <v>3016</v>
      </c>
      <c r="H18" s="558"/>
      <c r="I18" s="553" t="s">
        <v>3016</v>
      </c>
      <c r="J18" s="554"/>
      <c r="K18" s="530"/>
      <c r="L18" s="2126"/>
      <c r="M18" s="2116"/>
      <c r="N18" s="2116"/>
      <c r="O18" s="2125"/>
      <c r="P18" s="3473"/>
      <c r="Q18" s="1557"/>
      <c r="R18" s="1558"/>
      <c r="S18" s="1559"/>
      <c r="T18" s="1558"/>
      <c r="U18" s="1559"/>
      <c r="V18" s="1558"/>
      <c r="W18" s="1559"/>
      <c r="X18" s="1552"/>
      <c r="Y18" s="3473"/>
      <c r="Z18" s="1560"/>
      <c r="AA18" s="1561">
        <v>1</v>
      </c>
      <c r="AB18" s="1561">
        <v>1</v>
      </c>
      <c r="AC18" s="1561">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26"/>
      <c r="M19" s="2116"/>
      <c r="N19" s="2116"/>
      <c r="O19" s="2125"/>
      <c r="P19" s="3473"/>
      <c r="Q19" s="1557" t="str">
        <f>B19</f>
        <v>商业繁华度</v>
      </c>
      <c r="R19" s="1558" t="s">
        <v>8</v>
      </c>
      <c r="S19" s="1559">
        <f>F19</f>
        <v>100</v>
      </c>
      <c r="T19" s="1558" t="s">
        <v>8</v>
      </c>
      <c r="U19" s="1559">
        <f>H19</f>
        <v>100</v>
      </c>
      <c r="V19" s="1558" t="s">
        <v>8</v>
      </c>
      <c r="W19" s="1559">
        <f>J19</f>
        <v>100</v>
      </c>
      <c r="X19" s="1552"/>
      <c r="Y19" s="3473"/>
      <c r="Z19" s="1560" t="str">
        <f>Q19</f>
        <v>商业繁华度</v>
      </c>
      <c r="AA19" s="1561">
        <f t="shared" si="3"/>
        <v>1</v>
      </c>
      <c r="AB19" s="1561">
        <f t="shared" si="4"/>
        <v>1</v>
      </c>
      <c r="AC19" s="1561">
        <f t="shared" si="5"/>
        <v>1</v>
      </c>
    </row>
    <row r="20" spans="1:29" ht="20.25">
      <c r="A20" s="531"/>
      <c r="B20" s="565"/>
      <c r="C20" s="566"/>
      <c r="D20" s="562"/>
      <c r="E20" s="568"/>
      <c r="F20" s="558"/>
      <c r="G20" s="567"/>
      <c r="H20" s="554"/>
      <c r="I20" s="568"/>
      <c r="J20" s="554"/>
      <c r="K20" s="530"/>
      <c r="L20" s="2126"/>
      <c r="M20" s="2116"/>
      <c r="N20" s="2116"/>
      <c r="O20" s="2125"/>
      <c r="P20" s="3473"/>
      <c r="Q20" s="1557"/>
      <c r="R20" s="1558"/>
      <c r="S20" s="1559"/>
      <c r="T20" s="1558"/>
      <c r="U20" s="1559"/>
      <c r="V20" s="1558"/>
      <c r="W20" s="1559"/>
      <c r="X20" s="1552"/>
      <c r="Y20" s="3473"/>
      <c r="Z20" s="1560"/>
      <c r="AA20" s="1561">
        <v>1</v>
      </c>
      <c r="AB20" s="1561">
        <v>1</v>
      </c>
      <c r="AC20" s="1561">
        <v>1</v>
      </c>
    </row>
    <row r="21" spans="1:29" ht="71.25">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6"/>
      <c r="M21" s="2116"/>
      <c r="N21" s="2116"/>
      <c r="O21" s="2125"/>
      <c r="P21" s="3473"/>
      <c r="Q21" s="1557" t="str">
        <f>B21</f>
        <v>办公集聚程度</v>
      </c>
      <c r="R21" s="1558" t="s">
        <v>8</v>
      </c>
      <c r="S21" s="1559">
        <f>F21</f>
        <v>100</v>
      </c>
      <c r="T21" s="1558" t="s">
        <v>8</v>
      </c>
      <c r="U21" s="1559">
        <f>H21</f>
        <v>100</v>
      </c>
      <c r="V21" s="1558" t="s">
        <v>8</v>
      </c>
      <c r="W21" s="1559">
        <f>J21</f>
        <v>100</v>
      </c>
      <c r="X21" s="1552"/>
      <c r="Y21" s="3473"/>
      <c r="Z21" s="1560" t="str">
        <f>Q21</f>
        <v>办公集聚程度</v>
      </c>
      <c r="AA21" s="1561">
        <f t="shared" si="3"/>
        <v>1</v>
      </c>
      <c r="AB21" s="1561">
        <f t="shared" si="4"/>
        <v>1</v>
      </c>
      <c r="AC21" s="1561">
        <f t="shared" si="5"/>
        <v>1</v>
      </c>
    </row>
    <row r="22" spans="1:29" ht="20.25">
      <c r="A22" s="531"/>
      <c r="B22" s="565"/>
      <c r="C22" s="553"/>
      <c r="D22" s="556"/>
      <c r="E22" s="557"/>
      <c r="F22" s="554"/>
      <c r="G22" s="555"/>
      <c r="H22" s="554"/>
      <c r="I22" s="557"/>
      <c r="J22" s="554"/>
      <c r="K22" s="530"/>
      <c r="L22" s="2126"/>
      <c r="M22" s="2116"/>
      <c r="N22" s="2116"/>
      <c r="O22" s="2125"/>
      <c r="P22" s="3473"/>
      <c r="Q22" s="1557"/>
      <c r="R22" s="1558"/>
      <c r="S22" s="1559"/>
      <c r="T22" s="1558"/>
      <c r="U22" s="1559"/>
      <c r="V22" s="1558"/>
      <c r="W22" s="1559"/>
      <c r="X22" s="1552"/>
      <c r="Y22" s="3473"/>
      <c r="Z22" s="1560"/>
      <c r="AA22" s="1561">
        <v>1</v>
      </c>
      <c r="AB22" s="1561">
        <v>1</v>
      </c>
      <c r="AC22" s="1561">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c r="L23" s="2126"/>
      <c r="M23" s="2116"/>
      <c r="N23" s="2116"/>
      <c r="O23" s="2125"/>
      <c r="P23" s="3473"/>
      <c r="Q23" s="1557" t="str">
        <f>B23</f>
        <v>交通便捷度</v>
      </c>
      <c r="R23" s="1558" t="s">
        <v>8</v>
      </c>
      <c r="S23" s="1559">
        <f>F23</f>
        <v>100</v>
      </c>
      <c r="T23" s="1558" t="s">
        <v>8</v>
      </c>
      <c r="U23" s="1559">
        <f>H23</f>
        <v>100</v>
      </c>
      <c r="V23" s="1558" t="s">
        <v>8</v>
      </c>
      <c r="W23" s="1559">
        <f>J23</f>
        <v>100</v>
      </c>
      <c r="X23" s="1552"/>
      <c r="Y23" s="3473"/>
      <c r="Z23" s="1560" t="str">
        <f>Q23</f>
        <v>交通便捷度</v>
      </c>
      <c r="AA23" s="1561">
        <f t="shared" si="3"/>
        <v>1</v>
      </c>
      <c r="AB23" s="1561">
        <f t="shared" si="4"/>
        <v>1</v>
      </c>
      <c r="AC23" s="1561">
        <f t="shared" si="5"/>
        <v>1</v>
      </c>
    </row>
    <row r="24" spans="1:29" ht="20.25">
      <c r="A24" s="531"/>
      <c r="B24" s="577"/>
      <c r="C24" s="553"/>
      <c r="D24" s="556"/>
      <c r="E24" s="557"/>
      <c r="F24" s="554"/>
      <c r="G24" s="555"/>
      <c r="H24" s="554"/>
      <c r="I24" s="557"/>
      <c r="J24" s="554"/>
      <c r="K24" s="530"/>
      <c r="L24" s="2126"/>
      <c r="M24" s="2116"/>
      <c r="N24" s="2116"/>
      <c r="O24" s="2125"/>
      <c r="P24" s="3473"/>
      <c r="Q24" s="1557"/>
      <c r="R24" s="1558"/>
      <c r="S24" s="1559"/>
      <c r="T24" s="1558"/>
      <c r="U24" s="1559"/>
      <c r="V24" s="1558"/>
      <c r="W24" s="1559"/>
      <c r="X24" s="1552"/>
      <c r="Y24" s="3473"/>
      <c r="Z24" s="1560"/>
      <c r="AA24" s="1561">
        <v>1</v>
      </c>
      <c r="AB24" s="1561">
        <v>1</v>
      </c>
      <c r="AC24" s="1561">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c r="L25" s="2126"/>
      <c r="M25" s="2116"/>
      <c r="N25" s="2116"/>
      <c r="O25" s="2125"/>
      <c r="P25" s="3473"/>
      <c r="Q25" s="1557" t="str">
        <f t="shared" ref="Q25:Q39" si="8">B25</f>
        <v>区域土地利用方向</v>
      </c>
      <c r="R25" s="1558" t="s">
        <v>8</v>
      </c>
      <c r="S25" s="1559">
        <f>F25</f>
        <v>100</v>
      </c>
      <c r="T25" s="1558" t="s">
        <v>8</v>
      </c>
      <c r="U25" s="1559">
        <f>H25</f>
        <v>100</v>
      </c>
      <c r="V25" s="1558" t="s">
        <v>8</v>
      </c>
      <c r="W25" s="1559">
        <f>J25</f>
        <v>100</v>
      </c>
      <c r="X25" s="1552"/>
      <c r="Y25" s="3473"/>
      <c r="Z25" s="1560" t="str">
        <f>Q25</f>
        <v>区域土地利用方向</v>
      </c>
      <c r="AA25" s="1561">
        <f t="shared" si="3"/>
        <v>1</v>
      </c>
      <c r="AB25" s="1561">
        <f t="shared" si="4"/>
        <v>1</v>
      </c>
      <c r="AC25" s="1561">
        <f t="shared" si="5"/>
        <v>1</v>
      </c>
    </row>
    <row r="26" spans="1:29" ht="20.25">
      <c r="A26" s="514"/>
      <c r="B26" s="1006"/>
      <c r="C26" s="553"/>
      <c r="D26" s="556"/>
      <c r="E26" s="557"/>
      <c r="F26" s="554"/>
      <c r="G26" s="555"/>
      <c r="H26" s="554"/>
      <c r="I26" s="557"/>
      <c r="J26" s="554"/>
      <c r="K26" s="530"/>
      <c r="L26" s="2126"/>
      <c r="M26" s="2116"/>
      <c r="N26" s="2116"/>
      <c r="O26" s="2125"/>
      <c r="P26" s="3473"/>
      <c r="Q26" s="1557"/>
      <c r="R26" s="1558"/>
      <c r="S26" s="1559"/>
      <c r="T26" s="1558"/>
      <c r="U26" s="1559"/>
      <c r="V26" s="1558"/>
      <c r="W26" s="1559"/>
      <c r="X26" s="1552"/>
      <c r="Y26" s="3473"/>
      <c r="Z26" s="1560"/>
      <c r="AA26" s="1561"/>
      <c r="AB26" s="1561"/>
      <c r="AC26" s="1561"/>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c r="L27" s="2126"/>
      <c r="M27" s="2116"/>
      <c r="N27" s="2116"/>
      <c r="O27" s="2125"/>
      <c r="P27" s="3473"/>
      <c r="Q27" s="1557" t="str">
        <f t="shared" si="8"/>
        <v>自然及人文环境状况</v>
      </c>
      <c r="R27" s="1558" t="s">
        <v>8</v>
      </c>
      <c r="S27" s="1559">
        <f>F27</f>
        <v>100</v>
      </c>
      <c r="T27" s="1558" t="s">
        <v>8</v>
      </c>
      <c r="U27" s="1559">
        <f>H27</f>
        <v>100</v>
      </c>
      <c r="V27" s="1558" t="s">
        <v>8</v>
      </c>
      <c r="W27" s="1559">
        <f>J27</f>
        <v>100</v>
      </c>
      <c r="X27" s="1552"/>
      <c r="Y27" s="3473"/>
      <c r="Z27" s="1560" t="str">
        <f>Q27</f>
        <v>自然及人文环境状况</v>
      </c>
      <c r="AA27" s="1561">
        <f t="shared" si="3"/>
        <v>1</v>
      </c>
      <c r="AB27" s="1561">
        <f t="shared" si="4"/>
        <v>1</v>
      </c>
      <c r="AC27" s="1561">
        <f t="shared" si="5"/>
        <v>1</v>
      </c>
    </row>
    <row r="28" spans="1:29" ht="20.25">
      <c r="A28" s="514"/>
      <c r="B28" s="565"/>
      <c r="C28" s="553"/>
      <c r="D28" s="556"/>
      <c r="E28" s="575"/>
      <c r="F28" s="554"/>
      <c r="G28" s="553"/>
      <c r="H28" s="554"/>
      <c r="I28" s="575"/>
      <c r="J28" s="554"/>
      <c r="K28" s="530"/>
      <c r="L28" s="2126"/>
      <c r="M28" s="2116"/>
      <c r="N28" s="2116"/>
      <c r="O28" s="2125"/>
      <c r="P28" s="3473"/>
      <c r="Q28" s="1557"/>
      <c r="R28" s="1558"/>
      <c r="S28" s="1559"/>
      <c r="T28" s="1558"/>
      <c r="U28" s="1559"/>
      <c r="V28" s="1558"/>
      <c r="W28" s="1559"/>
      <c r="X28" s="1552"/>
      <c r="Y28" s="3473"/>
      <c r="Z28" s="1560"/>
      <c r="AA28" s="1561">
        <v>1</v>
      </c>
      <c r="AB28" s="1561">
        <v>1</v>
      </c>
      <c r="AC28" s="1561">
        <v>1</v>
      </c>
    </row>
    <row r="29" spans="1:29" s="1215" customFormat="1" ht="42.75">
      <c r="A29" s="576"/>
      <c r="B29" s="2554" t="s">
        <v>2545</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c r="L29" s="2119"/>
      <c r="M29" s="2116"/>
      <c r="N29" s="2116"/>
      <c r="O29" s="2121"/>
      <c r="P29" s="3473"/>
      <c r="Q29" s="1146" t="str">
        <f t="shared" si="8"/>
        <v>公共配套设施</v>
      </c>
      <c r="R29" s="1553" t="s">
        <v>8</v>
      </c>
      <c r="S29" s="1554">
        <f>F29</f>
        <v>100</v>
      </c>
      <c r="T29" s="1553" t="s">
        <v>8</v>
      </c>
      <c r="U29" s="1554">
        <f>H29</f>
        <v>100</v>
      </c>
      <c r="V29" s="1553" t="s">
        <v>8</v>
      </c>
      <c r="W29" s="1554">
        <f>J29</f>
        <v>100</v>
      </c>
      <c r="X29" s="1555"/>
      <c r="Y29" s="3473"/>
      <c r="Z29" s="1145" t="str">
        <f>Q29</f>
        <v>公共配套设施</v>
      </c>
      <c r="AA29" s="1561">
        <f>D29/F29</f>
        <v>1</v>
      </c>
      <c r="AB29" s="1561">
        <f>D29/H29</f>
        <v>1</v>
      </c>
      <c r="AC29" s="1561">
        <f>D29/J29</f>
        <v>1</v>
      </c>
    </row>
    <row r="30" spans="1:29" s="1215" customFormat="1" ht="20.25">
      <c r="A30" s="576"/>
      <c r="B30" s="565"/>
      <c r="C30" s="578"/>
      <c r="D30" s="556"/>
      <c r="E30" s="575"/>
      <c r="F30" s="554"/>
      <c r="G30" s="553"/>
      <c r="H30" s="554"/>
      <c r="I30" s="575"/>
      <c r="J30" s="554"/>
      <c r="K30" s="530"/>
      <c r="L30" s="2119"/>
      <c r="M30" s="2116"/>
      <c r="N30" s="2116"/>
      <c r="O30" s="2121"/>
      <c r="P30" s="3473"/>
      <c r="Q30" s="1146"/>
      <c r="R30" s="1553"/>
      <c r="S30" s="1554"/>
      <c r="T30" s="1553"/>
      <c r="U30" s="1554"/>
      <c r="V30" s="1553"/>
      <c r="W30" s="1554"/>
      <c r="X30" s="1555"/>
      <c r="Y30" s="3473"/>
      <c r="Z30" s="1145"/>
      <c r="AA30" s="1561">
        <v>1</v>
      </c>
      <c r="AB30" s="1561">
        <v>1</v>
      </c>
      <c r="AC30" s="1561">
        <v>1</v>
      </c>
    </row>
    <row r="31" spans="1:29" s="1215" customFormat="1" ht="28.5">
      <c r="A31" s="576"/>
      <c r="B31" s="2554" t="s">
        <v>2546</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19"/>
      <c r="M31" s="2116"/>
      <c r="N31" s="2116"/>
      <c r="O31" s="2121"/>
      <c r="P31" s="3473"/>
      <c r="Q31" s="2541" t="str">
        <f t="shared" ref="Q31" si="9">B31</f>
        <v>基础设施水平</v>
      </c>
      <c r="R31" s="1553" t="s">
        <v>8</v>
      </c>
      <c r="S31" s="1554">
        <f>F31</f>
        <v>100</v>
      </c>
      <c r="T31" s="1553" t="s">
        <v>8</v>
      </c>
      <c r="U31" s="1554">
        <f>H31</f>
        <v>100</v>
      </c>
      <c r="V31" s="1553" t="s">
        <v>8</v>
      </c>
      <c r="W31" s="1554">
        <f>J31</f>
        <v>100</v>
      </c>
      <c r="X31" s="1555"/>
      <c r="Y31" s="3473"/>
      <c r="Z31" s="2538" t="str">
        <f>Q31</f>
        <v>基础设施水平</v>
      </c>
      <c r="AA31" s="1561">
        <f>D31/F31</f>
        <v>1</v>
      </c>
      <c r="AB31" s="1561">
        <f>D31/H31</f>
        <v>1</v>
      </c>
      <c r="AC31" s="1561">
        <f>D31/J31</f>
        <v>1</v>
      </c>
    </row>
    <row r="32" spans="1:29" s="1215" customFormat="1" ht="20.25">
      <c r="A32" s="576"/>
      <c r="B32" s="565"/>
      <c r="C32" s="578"/>
      <c r="D32" s="556"/>
      <c r="E32" s="2555"/>
      <c r="F32" s="554"/>
      <c r="G32" s="578"/>
      <c r="H32" s="554"/>
      <c r="I32" s="578"/>
      <c r="J32" s="554"/>
      <c r="K32" s="530"/>
      <c r="L32" s="2119"/>
      <c r="M32" s="2116"/>
      <c r="N32" s="2116"/>
      <c r="O32" s="2121"/>
      <c r="P32" s="3473"/>
      <c r="Q32" s="2541"/>
      <c r="R32" s="1553"/>
      <c r="S32" s="1554"/>
      <c r="T32" s="1553"/>
      <c r="U32" s="1554"/>
      <c r="V32" s="1553"/>
      <c r="W32" s="1554"/>
      <c r="X32" s="1555"/>
      <c r="Y32" s="3473"/>
      <c r="Z32" s="2538"/>
      <c r="AA32" s="1561">
        <v>1</v>
      </c>
      <c r="AB32" s="1561">
        <v>1</v>
      </c>
      <c r="AC32" s="1561">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6"/>
      <c r="M33" s="2116"/>
      <c r="N33" s="2116"/>
      <c r="O33" s="2125"/>
      <c r="P33" s="3473"/>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73"/>
      <c r="Z33" s="1560" t="str">
        <f t="shared" ref="Z33:Z47" si="13">Q33</f>
        <v>临街状况</v>
      </c>
      <c r="AA33" s="1561">
        <f t="shared" si="3"/>
        <v>1</v>
      </c>
      <c r="AB33" s="1561">
        <f t="shared" si="4"/>
        <v>1</v>
      </c>
      <c r="AC33" s="1561">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6"/>
      <c r="M34" s="2116"/>
      <c r="N34" s="2116"/>
      <c r="O34" s="2125"/>
      <c r="P34" s="3473"/>
      <c r="Q34" s="1557" t="str">
        <f t="shared" si="8"/>
        <v>毗邻道路的类型与等级</v>
      </c>
      <c r="R34" s="1558" t="s">
        <v>8</v>
      </c>
      <c r="S34" s="1559">
        <f t="shared" si="10"/>
        <v>100</v>
      </c>
      <c r="T34" s="1558" t="s">
        <v>8</v>
      </c>
      <c r="U34" s="1559">
        <f t="shared" si="11"/>
        <v>100</v>
      </c>
      <c r="V34" s="1558" t="s">
        <v>8</v>
      </c>
      <c r="W34" s="1559">
        <f t="shared" si="12"/>
        <v>100</v>
      </c>
      <c r="X34" s="1552"/>
      <c r="Y34" s="3473"/>
      <c r="Z34" s="1560" t="str">
        <f t="shared" si="13"/>
        <v>毗邻道路的类型与等级</v>
      </c>
      <c r="AA34" s="1561">
        <f t="shared" si="3"/>
        <v>1</v>
      </c>
      <c r="AB34" s="1561">
        <f t="shared" si="4"/>
        <v>1</v>
      </c>
      <c r="AC34" s="1561">
        <f t="shared" si="5"/>
        <v>1</v>
      </c>
    </row>
    <row r="35" spans="1:29" ht="20.25">
      <c r="A35" s="531"/>
      <c r="B35" s="565"/>
      <c r="C35" s="553"/>
      <c r="D35" s="556"/>
      <c r="E35" s="575"/>
      <c r="F35" s="554"/>
      <c r="G35" s="553"/>
      <c r="H35" s="554"/>
      <c r="I35" s="575"/>
      <c r="J35" s="554"/>
      <c r="K35" s="580"/>
      <c r="L35" s="2126"/>
      <c r="M35" s="2116"/>
      <c r="N35" s="2116"/>
      <c r="O35" s="2125"/>
      <c r="P35" s="3473"/>
      <c r="Q35" s="1557"/>
      <c r="R35" s="1558"/>
      <c r="S35" s="1559"/>
      <c r="T35" s="1558"/>
      <c r="U35" s="1559"/>
      <c r="V35" s="1558"/>
      <c r="W35" s="1559"/>
      <c r="X35" s="1552"/>
      <c r="Y35" s="3473"/>
      <c r="Z35" s="1560"/>
      <c r="AA35" s="1561">
        <v>1</v>
      </c>
      <c r="AB35" s="1561">
        <v>1</v>
      </c>
      <c r="AC35" s="1561">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6"/>
      <c r="M36" s="2116"/>
      <c r="N36" s="2116"/>
      <c r="O36" s="2125"/>
      <c r="P36" s="3473"/>
      <c r="Q36" s="1557" t="str">
        <f t="shared" si="8"/>
        <v>土地级别</v>
      </c>
      <c r="R36" s="1558" t="s">
        <v>8</v>
      </c>
      <c r="S36" s="1559">
        <f t="shared" si="10"/>
        <v>100</v>
      </c>
      <c r="T36" s="1558" t="s">
        <v>8</v>
      </c>
      <c r="U36" s="1559">
        <f t="shared" si="11"/>
        <v>100</v>
      </c>
      <c r="V36" s="1558" t="s">
        <v>8</v>
      </c>
      <c r="W36" s="1559">
        <f t="shared" si="12"/>
        <v>100</v>
      </c>
      <c r="X36" s="1552"/>
      <c r="Y36" s="3473"/>
      <c r="Z36" s="1560" t="str">
        <f t="shared" si="13"/>
        <v>土地级别</v>
      </c>
      <c r="AA36" s="1561">
        <f t="shared" si="3"/>
        <v>1</v>
      </c>
      <c r="AB36" s="1561">
        <f t="shared" si="4"/>
        <v>1</v>
      </c>
      <c r="AC36" s="1561">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6"/>
      <c r="M37" s="2116"/>
      <c r="N37" s="2116"/>
      <c r="O37" s="2125"/>
      <c r="P37" s="3473"/>
      <c r="Q37" s="1557">
        <f t="shared" si="8"/>
        <v>111</v>
      </c>
      <c r="R37" s="1558" t="s">
        <v>8</v>
      </c>
      <c r="S37" s="1559">
        <f t="shared" si="10"/>
        <v>100</v>
      </c>
      <c r="T37" s="1558" t="s">
        <v>8</v>
      </c>
      <c r="U37" s="1559">
        <f t="shared" si="11"/>
        <v>100</v>
      </c>
      <c r="V37" s="1558" t="s">
        <v>8</v>
      </c>
      <c r="W37" s="1559">
        <f t="shared" si="12"/>
        <v>100</v>
      </c>
      <c r="X37" s="1552"/>
      <c r="Y37" s="3473"/>
      <c r="Z37" s="1560">
        <f t="shared" si="13"/>
        <v>111</v>
      </c>
      <c r="AA37" s="1561">
        <f t="shared" si="3"/>
        <v>1</v>
      </c>
      <c r="AB37" s="1561">
        <f t="shared" si="4"/>
        <v>1</v>
      </c>
      <c r="AC37" s="1561">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6"/>
      <c r="M38" s="2116"/>
      <c r="N38" s="2116"/>
      <c r="O38" s="2125"/>
      <c r="P38" s="3474" t="s">
        <v>550</v>
      </c>
      <c r="Q38" s="1557">
        <f t="shared" si="8"/>
        <v>111</v>
      </c>
      <c r="R38" s="1558" t="s">
        <v>8</v>
      </c>
      <c r="S38" s="1559">
        <f t="shared" si="10"/>
        <v>100</v>
      </c>
      <c r="T38" s="1558" t="s">
        <v>8</v>
      </c>
      <c r="U38" s="1559">
        <f t="shared" si="11"/>
        <v>100</v>
      </c>
      <c r="V38" s="1558" t="s">
        <v>8</v>
      </c>
      <c r="W38" s="1559">
        <f t="shared" si="12"/>
        <v>100</v>
      </c>
      <c r="X38" s="1552"/>
      <c r="Y38" s="3475" t="s">
        <v>550</v>
      </c>
      <c r="Z38" s="1560">
        <f t="shared" si="13"/>
        <v>111</v>
      </c>
      <c r="AA38" s="1561">
        <f t="shared" si="3"/>
        <v>1</v>
      </c>
      <c r="AB38" s="1561">
        <f t="shared" si="4"/>
        <v>1</v>
      </c>
      <c r="AC38" s="1561">
        <f t="shared" si="5"/>
        <v>1</v>
      </c>
    </row>
    <row r="39" spans="1:29" s="1334"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4"/>
      <c r="M39" s="2116"/>
      <c r="N39" s="2116"/>
      <c r="O39" s="2127"/>
      <c r="P39" s="3475"/>
      <c r="Q39" s="1557">
        <f t="shared" si="8"/>
        <v>111</v>
      </c>
      <c r="R39" s="1562" t="s">
        <v>8</v>
      </c>
      <c r="S39" s="1563">
        <f t="shared" si="10"/>
        <v>100</v>
      </c>
      <c r="T39" s="1562" t="s">
        <v>8</v>
      </c>
      <c r="U39" s="1563">
        <f t="shared" si="11"/>
        <v>100</v>
      </c>
      <c r="V39" s="1562" t="s">
        <v>8</v>
      </c>
      <c r="W39" s="1563">
        <f t="shared" si="12"/>
        <v>100</v>
      </c>
      <c r="X39" s="1564"/>
      <c r="Y39" s="3475"/>
      <c r="Z39" s="1565">
        <f t="shared" si="13"/>
        <v>111</v>
      </c>
      <c r="AA39" s="1561">
        <f t="shared" si="3"/>
        <v>1</v>
      </c>
      <c r="AB39" s="1561">
        <f t="shared" si="4"/>
        <v>1</v>
      </c>
      <c r="AC39" s="1561">
        <f t="shared" si="5"/>
        <v>1</v>
      </c>
    </row>
    <row r="40" spans="1:29" ht="20.25">
      <c r="A40" s="2745" t="s">
        <v>2751</v>
      </c>
      <c r="B40" s="594" t="s">
        <v>552</v>
      </c>
      <c r="C40" s="595">
        <f>'数据-基础表'!A3</f>
        <v>798900</v>
      </c>
      <c r="D40" s="596">
        <v>100</v>
      </c>
      <c r="E40" s="595">
        <f>土地一级开发成本!C9</f>
        <v>29550.2</v>
      </c>
      <c r="F40" s="596">
        <f>LOOKUP(E40,119:119,120:120)-LOOKUP(C40,119:119,120:120)+100</f>
        <v>112</v>
      </c>
      <c r="G40" s="595">
        <f>土地一级开发成本!C11</f>
        <v>69229.279999999999</v>
      </c>
      <c r="H40" s="596">
        <f>LOOKUP(G40,119:119,120:120)-LOOKUP(C40,119:119,120:120)+100</f>
        <v>108</v>
      </c>
      <c r="I40" s="597">
        <f>土地一级开发成本!C13</f>
        <v>39199.449999999997</v>
      </c>
      <c r="J40" s="596">
        <f>LOOKUP(I40,119:119,120:120)-LOOKUP(C40,119:119,120:120)+100</f>
        <v>110</v>
      </c>
      <c r="K40" s="580"/>
      <c r="L40" s="2126"/>
      <c r="M40" s="2116"/>
      <c r="N40" s="2116"/>
      <c r="O40" s="2125"/>
      <c r="P40" s="3475"/>
      <c r="Q40" s="1557" t="str">
        <f>B40</f>
        <v>宗地面积</v>
      </c>
      <c r="R40" s="1558" t="s">
        <v>8</v>
      </c>
      <c r="S40" s="1559">
        <f t="shared" si="10"/>
        <v>112</v>
      </c>
      <c r="T40" s="1558" t="s">
        <v>8</v>
      </c>
      <c r="U40" s="1559">
        <f t="shared" si="11"/>
        <v>108</v>
      </c>
      <c r="V40" s="1558" t="s">
        <v>8</v>
      </c>
      <c r="W40" s="1559">
        <f t="shared" si="12"/>
        <v>110</v>
      </c>
      <c r="X40" s="1552"/>
      <c r="Y40" s="3475"/>
      <c r="Z40" s="1560" t="str">
        <f t="shared" si="13"/>
        <v>宗地面积</v>
      </c>
      <c r="AA40" s="1561">
        <f t="shared" si="3"/>
        <v>0.8928571428571429</v>
      </c>
      <c r="AB40" s="1561">
        <f t="shared" si="4"/>
        <v>0.92592592592592593</v>
      </c>
      <c r="AC40" s="1561">
        <f t="shared" si="5"/>
        <v>0.90909090909090906</v>
      </c>
    </row>
    <row r="41" spans="1:29" ht="20.25">
      <c r="A41" s="593"/>
      <c r="B41" s="526" t="s">
        <v>553</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c r="L41" s="2126"/>
      <c r="M41" s="2116"/>
      <c r="N41" s="2116"/>
      <c r="O41" s="2125"/>
      <c r="P41" s="3475"/>
      <c r="Q41" s="1557" t="str">
        <f t="shared" ref="Q41:Q47" si="14">B41</f>
        <v>宗地形状</v>
      </c>
      <c r="R41" s="1558" t="s">
        <v>8</v>
      </c>
      <c r="S41" s="1559">
        <f t="shared" si="10"/>
        <v>100</v>
      </c>
      <c r="T41" s="1558" t="s">
        <v>8</v>
      </c>
      <c r="U41" s="1559">
        <f t="shared" si="11"/>
        <v>100</v>
      </c>
      <c r="V41" s="1558" t="s">
        <v>8</v>
      </c>
      <c r="W41" s="1559">
        <f t="shared" si="12"/>
        <v>100</v>
      </c>
      <c r="X41" s="1552"/>
      <c r="Y41" s="3475"/>
      <c r="Z41" s="1560" t="str">
        <f t="shared" si="13"/>
        <v>宗地形状</v>
      </c>
      <c r="AA41" s="1561">
        <f t="shared" si="3"/>
        <v>1</v>
      </c>
      <c r="AB41" s="1561">
        <f t="shared" si="4"/>
        <v>1</v>
      </c>
      <c r="AC41" s="1561">
        <f t="shared" si="5"/>
        <v>1</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6"/>
      <c r="M42" s="2116"/>
      <c r="N42" s="2116"/>
      <c r="O42" s="2125"/>
      <c r="P42" s="3475"/>
      <c r="Q42" s="1557" t="str">
        <f t="shared" si="14"/>
        <v>临街宽度及深度</v>
      </c>
      <c r="R42" s="1558" t="s">
        <v>8</v>
      </c>
      <c r="S42" s="1559">
        <f t="shared" si="10"/>
        <v>100</v>
      </c>
      <c r="T42" s="1558" t="s">
        <v>8</v>
      </c>
      <c r="U42" s="1559">
        <f t="shared" si="11"/>
        <v>100</v>
      </c>
      <c r="V42" s="1558" t="s">
        <v>8</v>
      </c>
      <c r="W42" s="1559">
        <f t="shared" si="12"/>
        <v>100</v>
      </c>
      <c r="X42" s="1552"/>
      <c r="Y42" s="3475"/>
      <c r="Z42" s="1560" t="str">
        <f t="shared" si="13"/>
        <v>临街宽度及深度</v>
      </c>
      <c r="AA42" s="1561">
        <f t="shared" si="3"/>
        <v>1</v>
      </c>
      <c r="AB42" s="1561">
        <f t="shared" si="4"/>
        <v>1</v>
      </c>
      <c r="AC42" s="1561">
        <f t="shared" si="5"/>
        <v>1</v>
      </c>
    </row>
    <row r="43" spans="1:29" s="1215" customFormat="1" ht="20.25">
      <c r="A43" s="599"/>
      <c r="B43" s="1879" t="s">
        <v>2421</v>
      </c>
      <c r="C43" s="600"/>
      <c r="D43" s="254">
        <v>100</v>
      </c>
      <c r="E43" s="600"/>
      <c r="F43" s="539">
        <f>SUMIF(125:125,E43,126:126)-SUMIF(125:125,C43,126:126)+100</f>
        <v>100</v>
      </c>
      <c r="G43" s="600"/>
      <c r="H43" s="539">
        <f>SUMIF(125:125,G43,126:126)-SUMIF(125:125,C43,126:126)+100</f>
        <v>100</v>
      </c>
      <c r="I43" s="600"/>
      <c r="J43" s="539">
        <f>SUMIF(125:125,I43,126:126)-SUMIF(125:125,C43,126:126)+100</f>
        <v>100</v>
      </c>
      <c r="K43" s="583"/>
      <c r="L43" s="2119"/>
      <c r="M43" s="2116"/>
      <c r="N43" s="2116"/>
      <c r="O43" s="2121"/>
      <c r="P43" s="3475"/>
      <c r="Q43" s="1557" t="str">
        <f t="shared" si="14"/>
        <v>宗地开发程度</v>
      </c>
      <c r="R43" s="1553" t="s">
        <v>8</v>
      </c>
      <c r="S43" s="1554">
        <f t="shared" si="10"/>
        <v>100</v>
      </c>
      <c r="T43" s="1553" t="s">
        <v>8</v>
      </c>
      <c r="U43" s="1554">
        <f t="shared" si="11"/>
        <v>100</v>
      </c>
      <c r="V43" s="1553" t="s">
        <v>8</v>
      </c>
      <c r="W43" s="1554">
        <f t="shared" si="12"/>
        <v>100</v>
      </c>
      <c r="X43" s="1555"/>
      <c r="Y43" s="3475"/>
      <c r="Z43" s="1145" t="str">
        <f t="shared" si="13"/>
        <v>宗地开发程度</v>
      </c>
      <c r="AA43" s="1556">
        <f t="shared" si="3"/>
        <v>1</v>
      </c>
      <c r="AB43" s="1556">
        <f t="shared" si="4"/>
        <v>1</v>
      </c>
      <c r="AC43" s="1556">
        <f t="shared" si="5"/>
        <v>1</v>
      </c>
    </row>
    <row r="44" spans="1:29" ht="20.25">
      <c r="A44" s="593"/>
      <c r="B44" s="526" t="s">
        <v>555</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26"/>
      <c r="M44" s="2116"/>
      <c r="N44" s="2116"/>
      <c r="O44" s="2125"/>
      <c r="P44" s="3475" t="s">
        <v>550</v>
      </c>
      <c r="Q44" s="1557" t="str">
        <f t="shared" si="14"/>
        <v>工程地质条件</v>
      </c>
      <c r="R44" s="1558" t="s">
        <v>8</v>
      </c>
      <c r="S44" s="1559">
        <f t="shared" si="10"/>
        <v>100</v>
      </c>
      <c r="T44" s="1558" t="s">
        <v>8</v>
      </c>
      <c r="U44" s="1559">
        <f t="shared" si="11"/>
        <v>100</v>
      </c>
      <c r="V44" s="1558" t="s">
        <v>8</v>
      </c>
      <c r="W44" s="1559">
        <f t="shared" si="12"/>
        <v>100</v>
      </c>
      <c r="X44" s="1552"/>
      <c r="Y44" s="3475" t="s">
        <v>550</v>
      </c>
      <c r="Z44" s="1560" t="str">
        <f t="shared" si="13"/>
        <v>工程地质条件</v>
      </c>
      <c r="AA44" s="1561">
        <f t="shared" si="3"/>
        <v>1</v>
      </c>
      <c r="AB44" s="1561">
        <f t="shared" si="4"/>
        <v>1</v>
      </c>
      <c r="AC44" s="1561">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6"/>
      <c r="M45" s="2116"/>
      <c r="N45" s="2116"/>
      <c r="O45" s="2125"/>
      <c r="P45" s="3475"/>
      <c r="Q45" s="1557">
        <f t="shared" si="14"/>
        <v>111</v>
      </c>
      <c r="R45" s="1558" t="s">
        <v>8</v>
      </c>
      <c r="S45" s="1559">
        <f t="shared" si="10"/>
        <v>100</v>
      </c>
      <c r="T45" s="1558" t="s">
        <v>8</v>
      </c>
      <c r="U45" s="1559">
        <f t="shared" si="11"/>
        <v>100</v>
      </c>
      <c r="V45" s="1558" t="s">
        <v>8</v>
      </c>
      <c r="W45" s="1559">
        <f t="shared" si="12"/>
        <v>100</v>
      </c>
      <c r="X45" s="1552"/>
      <c r="Y45" s="3475"/>
      <c r="Z45" s="1560">
        <f t="shared" si="13"/>
        <v>111</v>
      </c>
      <c r="AA45" s="1561">
        <f t="shared" si="3"/>
        <v>1</v>
      </c>
      <c r="AB45" s="1561">
        <f t="shared" si="4"/>
        <v>1</v>
      </c>
      <c r="AC45" s="1561">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6"/>
      <c r="M46" s="2116"/>
      <c r="N46" s="2116"/>
      <c r="O46" s="2125"/>
      <c r="P46" s="3475"/>
      <c r="Q46" s="1557">
        <f t="shared" si="14"/>
        <v>111</v>
      </c>
      <c r="R46" s="1558" t="s">
        <v>8</v>
      </c>
      <c r="S46" s="1559">
        <f t="shared" si="10"/>
        <v>100</v>
      </c>
      <c r="T46" s="1558" t="s">
        <v>8</v>
      </c>
      <c r="U46" s="1559">
        <f t="shared" si="11"/>
        <v>100</v>
      </c>
      <c r="V46" s="1558" t="s">
        <v>8</v>
      </c>
      <c r="W46" s="1559">
        <f t="shared" si="12"/>
        <v>100</v>
      </c>
      <c r="X46" s="1552"/>
      <c r="Y46" s="3475"/>
      <c r="Z46" s="1560">
        <f t="shared" si="13"/>
        <v>111</v>
      </c>
      <c r="AA46" s="1561">
        <f t="shared" si="3"/>
        <v>1</v>
      </c>
      <c r="AB46" s="1561">
        <f t="shared" si="4"/>
        <v>1</v>
      </c>
      <c r="AC46" s="1561">
        <f t="shared" si="5"/>
        <v>1</v>
      </c>
    </row>
    <row r="47" spans="1:29" s="1334"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4"/>
      <c r="M47" s="2116"/>
      <c r="N47" s="2116"/>
      <c r="O47" s="2127"/>
      <c r="P47" s="3475"/>
      <c r="Q47" s="1557">
        <f t="shared" si="14"/>
        <v>111</v>
      </c>
      <c r="R47" s="1562" t="s">
        <v>8</v>
      </c>
      <c r="S47" s="1563">
        <f t="shared" si="10"/>
        <v>100</v>
      </c>
      <c r="T47" s="1562" t="s">
        <v>8</v>
      </c>
      <c r="U47" s="1563">
        <f t="shared" si="11"/>
        <v>100</v>
      </c>
      <c r="V47" s="1562" t="s">
        <v>8</v>
      </c>
      <c r="W47" s="1563">
        <f t="shared" si="12"/>
        <v>100</v>
      </c>
      <c r="X47" s="1564"/>
      <c r="Y47" s="3475"/>
      <c r="Z47" s="1565">
        <f t="shared" si="13"/>
        <v>111</v>
      </c>
      <c r="AA47" s="1561">
        <f t="shared" si="3"/>
        <v>1</v>
      </c>
      <c r="AB47" s="1561">
        <f t="shared" si="4"/>
        <v>1</v>
      </c>
      <c r="AC47" s="1561">
        <f t="shared" si="5"/>
        <v>1</v>
      </c>
    </row>
    <row r="48" spans="1:29" ht="20.25">
      <c r="A48" s="606" t="s">
        <v>556</v>
      </c>
      <c r="B48" s="607" t="s">
        <v>2931</v>
      </c>
      <c r="C48" s="608" t="s">
        <v>1</v>
      </c>
      <c r="D48" s="609"/>
      <c r="E48" s="610">
        <f>土地一级开发成本!L9</f>
        <v>15439.19</v>
      </c>
      <c r="F48" s="611"/>
      <c r="G48" s="612">
        <f>土地一级开发成本!L11</f>
        <v>14733.67</v>
      </c>
      <c r="H48" s="613"/>
      <c r="I48" s="610">
        <f>土地一级开发成本!L13</f>
        <v>16020.73</v>
      </c>
      <c r="J48" s="613"/>
      <c r="K48" s="1335"/>
      <c r="L48" s="2128"/>
      <c r="M48" s="2116"/>
      <c r="N48" s="2116"/>
      <c r="O48" s="2129"/>
      <c r="P48" s="3469" t="str">
        <f>A48</f>
        <v>成交单价</v>
      </c>
      <c r="Q48" s="3469"/>
      <c r="R48" s="3471">
        <f>E48</f>
        <v>15439.19</v>
      </c>
      <c r="S48" s="3471"/>
      <c r="T48" s="3471">
        <f>G48</f>
        <v>14733.67</v>
      </c>
      <c r="U48" s="3471"/>
      <c r="V48" s="3471">
        <f>I48</f>
        <v>16020.73</v>
      </c>
      <c r="W48" s="3471"/>
      <c r="X48" s="1544"/>
      <c r="Y48" s="1566"/>
      <c r="Z48" s="1544"/>
      <c r="AA48" s="1544"/>
      <c r="AB48" s="1544"/>
      <c r="AC48" s="1544"/>
    </row>
    <row r="49" spans="1:29" ht="21" thickBot="1">
      <c r="A49" s="614" t="s">
        <v>2689</v>
      </c>
      <c r="B49" s="615"/>
      <c r="C49" s="616">
        <f>R50</f>
        <v>14582</v>
      </c>
      <c r="D49" s="617"/>
      <c r="E49" s="616">
        <f>R49</f>
        <v>13924</v>
      </c>
      <c r="F49" s="618"/>
      <c r="G49" s="619">
        <f>T49</f>
        <v>14348</v>
      </c>
      <c r="H49" s="617"/>
      <c r="I49" s="616">
        <f>V49</f>
        <v>15474</v>
      </c>
      <c r="J49" s="617"/>
      <c r="K49" s="1336"/>
      <c r="L49" s="2128"/>
      <c r="M49" s="2116"/>
      <c r="N49" s="2116"/>
      <c r="O49" s="2129"/>
      <c r="P49" s="3469" t="str">
        <f>A49</f>
        <v>比较价格（元/平方米）</v>
      </c>
      <c r="Q49" s="3469"/>
      <c r="R49" s="3470">
        <f>ROUND(PRODUCT(R48,AA9:AA47),0)</f>
        <v>13924</v>
      </c>
      <c r="S49" s="3470"/>
      <c r="T49" s="3470">
        <f>ROUND(PRODUCT(T48,AB9:AB47),0)</f>
        <v>14348</v>
      </c>
      <c r="U49" s="3470"/>
      <c r="V49" s="3470">
        <f>ROUND(PRODUCT(V48,AC9:AC47),0)</f>
        <v>15474</v>
      </c>
      <c r="W49" s="3470"/>
      <c r="X49" s="1544"/>
      <c r="Y49" s="1544"/>
      <c r="Z49" s="1544"/>
      <c r="AA49" s="1544"/>
      <c r="AB49" s="1544"/>
      <c r="AC49" s="1544"/>
    </row>
    <row r="50" spans="1:29" ht="21" thickBot="1">
      <c r="A50" s="620" t="s">
        <v>2932</v>
      </c>
      <c r="B50" s="621"/>
      <c r="C50" s="622">
        <f>R50</f>
        <v>14582</v>
      </c>
      <c r="D50" s="622"/>
      <c r="E50" s="622"/>
      <c r="F50" s="622"/>
      <c r="G50" s="622"/>
      <c r="H50" s="622"/>
      <c r="I50" s="622"/>
      <c r="J50" s="622"/>
      <c r="K50" s="1337"/>
      <c r="L50" s="2128"/>
      <c r="M50" s="2116"/>
      <c r="N50" s="2116"/>
      <c r="O50" s="2129"/>
      <c r="P50" s="3466" t="str">
        <f>A50</f>
        <v>估价对象XX用房的比较价格（楼面单价，元/平方米）</v>
      </c>
      <c r="Q50" s="3467"/>
      <c r="R50" s="3468">
        <f>ROUND(AVERAGE(R49:V49),0)</f>
        <v>14582</v>
      </c>
      <c r="S50" s="3468"/>
      <c r="T50" s="3468"/>
      <c r="U50" s="3468"/>
      <c r="V50" s="3468"/>
      <c r="W50" s="3468"/>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f>IF(E48&lt;E49,E49/E48-1,E48/E49-1)</f>
        <v>0.10881858661304222</v>
      </c>
      <c r="F53" s="626" t="str">
        <f>IF(OR(E53&gt;=0.3,E53&lt;=-0.3),"超过30%","")</f>
        <v/>
      </c>
      <c r="G53" s="625">
        <f>IF(G48&lt;G49,G49/G48-1,G48/G49-1)</f>
        <v>2.6879704488430356E-2</v>
      </c>
      <c r="H53" s="626" t="str">
        <f>IF(OR(G53&gt;=0.3,G53&lt;=-0.3),"超过30%","")</f>
        <v/>
      </c>
      <c r="I53" s="625">
        <f>IF(I48&lt;I49,I49/I48-1,I48/I49-1)</f>
        <v>3.5332170091766812E-2</v>
      </c>
      <c r="J53" s="626"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f>IF(E49&lt;G49,G49/E49-1,E49/G49-1)</f>
        <v>3.0451019821890357E-2</v>
      </c>
      <c r="F54" s="626" t="str">
        <f>IF(OR(E54&gt;=0.2,E54&lt;=-0.2),"超过20%","")</f>
        <v/>
      </c>
      <c r="G54" s="625">
        <f>IF(G49&lt;I49,I49/G49-1,G49/I49-1)</f>
        <v>7.8477836632283138E-2</v>
      </c>
      <c r="H54" s="626" t="str">
        <f>IF(OR(G54&gt;=0.2,G54&lt;=-0.2),"超过20%","")</f>
        <v/>
      </c>
      <c r="I54" s="625">
        <f>IF(I49&lt;E49,E49/I49-1,I49/E49-1)</f>
        <v>0.11131858661304217</v>
      </c>
      <c r="J54" s="626"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f>IF(E48&lt;G48,G48/E48-1,E48/G48-1)</f>
        <v>4.7884878648700502E-2</v>
      </c>
      <c r="F55" s="626" t="str">
        <f>IF(OR(E55&gt;=0.3,E55&lt;=-0.3),"超过30%","")</f>
        <v/>
      </c>
      <c r="G55" s="625">
        <f>IF(G48&lt;I48,I48/G48-1,G48/I48-1)</f>
        <v>8.7355017453221162E-2</v>
      </c>
      <c r="H55" s="626" t="str">
        <f>IF(OR(G55&gt;=0.3,G55&lt;=-0.3),"超过30%","")</f>
        <v/>
      </c>
      <c r="I55" s="625">
        <f>IF(I48&lt;E48,E48/I48-1,I48/E48-1)</f>
        <v>3.7666483798696637E-2</v>
      </c>
      <c r="J55" s="626"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0"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8" t="s">
        <v>560</v>
      </c>
      <c r="B57" s="629" t="s">
        <v>561</v>
      </c>
      <c r="C57" s="1545" t="s">
        <v>1724</v>
      </c>
      <c r="D57" s="2211" t="s">
        <v>2290</v>
      </c>
      <c r="E57" s="630" t="s">
        <v>562</v>
      </c>
      <c r="F57" s="631" t="s">
        <v>563</v>
      </c>
      <c r="G57" s="3561" t="s">
        <v>2279</v>
      </c>
      <c r="H57" s="3562"/>
      <c r="I57" s="1540" t="s">
        <v>1722</v>
      </c>
      <c r="J57" s="1540">
        <f>项目基本情况!F41</f>
        <v>0</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2.75">
      <c r="A58" s="632" t="s">
        <v>564</v>
      </c>
      <c r="B58" s="633">
        <f>C50</f>
        <v>14582</v>
      </c>
      <c r="C58" s="634">
        <v>1</v>
      </c>
      <c r="D58" s="2212">
        <v>1</v>
      </c>
      <c r="E58" s="634">
        <f>'数据-汇总表'!E8+'数据-汇总表'!E9</f>
        <v>1383047.99</v>
      </c>
      <c r="F58" s="635">
        <f t="shared" ref="F58:F67" si="15">ROUND(B58*E58/10000,0)</f>
        <v>2016761</v>
      </c>
      <c r="G58" s="3563"/>
      <c r="H58" s="3564"/>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565</v>
      </c>
      <c r="B59" s="637">
        <f>ROUND($C$50*C59*D59,0)</f>
        <v>2552</v>
      </c>
      <c r="C59" s="377">
        <f t="shared" ref="C59:C67" si="16">IF($C$57="北京市系数",I59,J59)</f>
        <v>0.7</v>
      </c>
      <c r="D59" s="2213">
        <v>0.25</v>
      </c>
      <c r="E59" s="638">
        <v>0</v>
      </c>
      <c r="F59" s="635">
        <f t="shared" si="15"/>
        <v>0</v>
      </c>
      <c r="G59" s="3565" t="s">
        <v>2280</v>
      </c>
      <c r="H59" s="1932" t="str">
        <f>项目基本情况!B43</f>
        <v>七级</v>
      </c>
      <c r="I59" s="1541">
        <f>SUMIF(修正!$A$45:$A$56,H59,修正!B45:B56)</f>
        <v>0.7</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566</v>
      </c>
      <c r="B60" s="637">
        <f t="shared" ref="B60:B67" si="17">ROUND($C$50*C60*D60,0)</f>
        <v>1458</v>
      </c>
      <c r="C60" s="377">
        <f t="shared" si="16"/>
        <v>0.4</v>
      </c>
      <c r="D60" s="2213">
        <v>0.25</v>
      </c>
      <c r="E60" s="638">
        <v>0</v>
      </c>
      <c r="F60" s="635">
        <f t="shared" si="15"/>
        <v>0</v>
      </c>
      <c r="G60" s="3565"/>
      <c r="H60" s="1932" t="str">
        <f>项目基本情况!B43</f>
        <v>七级</v>
      </c>
      <c r="I60" s="1541">
        <f>SUMIF(修正!$A$45:$A$56,H60,修正!C45:C56)</f>
        <v>0.4</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567</v>
      </c>
      <c r="B61" s="637">
        <f t="shared" si="17"/>
        <v>1021</v>
      </c>
      <c r="C61" s="377">
        <f t="shared" si="16"/>
        <v>0.28000000000000003</v>
      </c>
      <c r="D61" s="2213">
        <v>0.25</v>
      </c>
      <c r="E61" s="638">
        <v>0</v>
      </c>
      <c r="F61" s="635">
        <f t="shared" si="15"/>
        <v>0</v>
      </c>
      <c r="G61" s="3565"/>
      <c r="H61" s="1932" t="str">
        <f>项目基本情况!B43</f>
        <v>七级</v>
      </c>
      <c r="I61" s="1541">
        <f>SUMIF(修正!$A$45:$A$56,H61,修正!D45:D56)</f>
        <v>0.28000000000000003</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2.75">
      <c r="A62" s="636" t="s">
        <v>568</v>
      </c>
      <c r="B62" s="637">
        <f t="shared" si="17"/>
        <v>911</v>
      </c>
      <c r="C62" s="377">
        <f t="shared" si="16"/>
        <v>0.25</v>
      </c>
      <c r="D62" s="2213">
        <v>0.25</v>
      </c>
      <c r="E62" s="638">
        <v>0</v>
      </c>
      <c r="F62" s="635">
        <f t="shared" si="15"/>
        <v>0</v>
      </c>
      <c r="G62" s="3565"/>
      <c r="H62" s="1932" t="str">
        <f>项目基本情况!B43</f>
        <v>七级</v>
      </c>
      <c r="I62" s="1541">
        <f>SUMIF(修正!$A$45:$A$56,H62,修正!E45:E56)</f>
        <v>0.25</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2.75">
      <c r="A63" s="2315" t="s">
        <v>2325</v>
      </c>
      <c r="B63" s="637">
        <f t="shared" si="17"/>
        <v>911</v>
      </c>
      <c r="C63" s="377">
        <f t="shared" si="16"/>
        <v>0.25</v>
      </c>
      <c r="D63" s="2213">
        <v>0.25</v>
      </c>
      <c r="E63" s="640">
        <f>'数据-汇总表'!E11</f>
        <v>0</v>
      </c>
      <c r="F63" s="635">
        <f t="shared" si="15"/>
        <v>0</v>
      </c>
      <c r="G63" s="1929" t="s">
        <v>2281</v>
      </c>
      <c r="H63" s="1932" t="str">
        <f>项目基本情况!C43</f>
        <v>七级</v>
      </c>
      <c r="I63" s="1541">
        <f>SUMIF(修正!$A$45:$A$56,H63,修正!F45:F56)</f>
        <v>0.25</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2.75">
      <c r="A64" s="636" t="s">
        <v>569</v>
      </c>
      <c r="B64" s="637">
        <f t="shared" si="17"/>
        <v>911</v>
      </c>
      <c r="C64" s="377">
        <f t="shared" si="16"/>
        <v>0.25</v>
      </c>
      <c r="D64" s="2213">
        <v>0.25</v>
      </c>
      <c r="E64" s="640">
        <f>'数据-汇总表'!E12</f>
        <v>415000</v>
      </c>
      <c r="F64" s="635">
        <f t="shared" si="15"/>
        <v>37807</v>
      </c>
      <c r="G64" s="1930" t="s">
        <v>1677</v>
      </c>
      <c r="H64" s="1928" t="str">
        <f>IF(G64="商业",项目基本情况!B43,IF(G64="办公",项目基本情况!C43,IF(G64="住宅",项目基本情况!D43,项目基本情况!E43)))</f>
        <v>七级</v>
      </c>
      <c r="I64" s="1541">
        <f>SUMIF(修正!$A$45:$A$56,H64,修正!G45:G56)</f>
        <v>0.25</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2.75">
      <c r="A65" s="636" t="s">
        <v>570</v>
      </c>
      <c r="B65" s="637">
        <f t="shared" si="17"/>
        <v>729</v>
      </c>
      <c r="C65" s="377">
        <f t="shared" si="16"/>
        <v>0.2</v>
      </c>
      <c r="D65" s="2213">
        <v>0.25</v>
      </c>
      <c r="E65" s="640">
        <f>'数据-汇总表'!E13</f>
        <v>415000</v>
      </c>
      <c r="F65" s="635">
        <f t="shared" si="15"/>
        <v>30254</v>
      </c>
      <c r="G65" s="1930" t="s">
        <v>923</v>
      </c>
      <c r="H65" s="1928" t="str">
        <f>IF(G65="商业",项目基本情况!B43,IF(G65="办公",项目基本情况!C43,IF(G65="住宅",项目基本情况!D43,项目基本情况!E43)))</f>
        <v>七级</v>
      </c>
      <c r="I65" s="1541">
        <f>SUMIF(修正!$A$45:$A$56,H65,修正!H45:H56)</f>
        <v>0.2</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2.75">
      <c r="A66" s="636" t="s">
        <v>571</v>
      </c>
      <c r="B66" s="637">
        <f t="shared" si="17"/>
        <v>729</v>
      </c>
      <c r="C66" s="377">
        <f t="shared" si="16"/>
        <v>0.2</v>
      </c>
      <c r="D66" s="2213">
        <v>0.25</v>
      </c>
      <c r="E66" s="640">
        <f>'数据-汇总表'!E14</f>
        <v>0</v>
      </c>
      <c r="F66" s="635">
        <f t="shared" si="15"/>
        <v>0</v>
      </c>
      <c r="G66" s="1929" t="s">
        <v>2280</v>
      </c>
      <c r="H66" s="1932" t="str">
        <f>项目基本情况!B43</f>
        <v>七级</v>
      </c>
      <c r="I66" s="1541">
        <f>SUMIF(修正!$A$45:$A$56,H66,修正!H45:H56)</f>
        <v>0.2</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ht="13.5" thickBot="1">
      <c r="A67" s="636" t="s">
        <v>572</v>
      </c>
      <c r="B67" s="637">
        <f t="shared" si="17"/>
        <v>729</v>
      </c>
      <c r="C67" s="377">
        <f t="shared" si="16"/>
        <v>0.2</v>
      </c>
      <c r="D67" s="2213">
        <v>0.25</v>
      </c>
      <c r="E67" s="640">
        <f>'数据-汇总表'!E15</f>
        <v>0</v>
      </c>
      <c r="F67" s="635">
        <f t="shared" si="15"/>
        <v>0</v>
      </c>
      <c r="G67" s="1931" t="s">
        <v>2281</v>
      </c>
      <c r="H67" s="1933" t="str">
        <f>项目基本情况!C43</f>
        <v>七级</v>
      </c>
      <c r="I67" s="1541">
        <f>SUMIF(修正!$A$45:$A$56,H67,修正!H45:H56)</f>
        <v>0.2</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ht="13.5" thickBot="1">
      <c r="A68" s="641" t="s">
        <v>573</v>
      </c>
      <c r="B68" s="642" t="s">
        <v>17</v>
      </c>
      <c r="C68" s="642" t="s">
        <v>18</v>
      </c>
      <c r="D68" s="642" t="s">
        <v>2291</v>
      </c>
      <c r="E68" s="642">
        <f>IF(B48="楼面地价",SUM(E58:E67),'数据-汇总表'!D3)</f>
        <v>798900</v>
      </c>
      <c r="F68" s="643">
        <f>IF(B48="楼面地价",SUM(F58:F67),ROUND(C50*E68/10000,0))</f>
        <v>1164956</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637" t="str">
        <f>YEAR(C9)&amp;"-"&amp;MONTH(C9)&amp;"-1"</f>
        <v>2020-9-1</v>
      </c>
      <c r="D70" s="2637">
        <f>EDATE(C70,-3)</f>
        <v>43983</v>
      </c>
      <c r="E70" s="2637">
        <f t="shared" ref="E70:N70" si="18">EDATE(D70,-3)</f>
        <v>43891</v>
      </c>
      <c r="F70" s="2637">
        <f t="shared" si="18"/>
        <v>43800</v>
      </c>
      <c r="G70" s="2637">
        <f t="shared" si="18"/>
        <v>43709</v>
      </c>
      <c r="H70" s="2637">
        <f t="shared" si="18"/>
        <v>43617</v>
      </c>
      <c r="I70" s="2637">
        <f t="shared" si="18"/>
        <v>43525</v>
      </c>
      <c r="J70" s="2637">
        <f t="shared" si="18"/>
        <v>43435</v>
      </c>
      <c r="K70" s="2637">
        <f t="shared" si="18"/>
        <v>43344</v>
      </c>
      <c r="L70" s="2637">
        <f t="shared" si="18"/>
        <v>43252</v>
      </c>
      <c r="M70" s="2637">
        <f t="shared" si="18"/>
        <v>43160</v>
      </c>
      <c r="N70" s="2637">
        <f t="shared" si="18"/>
        <v>43070</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2" customFormat="1" ht="15">
      <c r="A72" s="2531" t="s">
        <v>2529</v>
      </c>
      <c r="B72" s="2532"/>
      <c r="C72" s="2634" t="str">
        <f>YEAR(C70)&amp;"-"&amp;ROUNDUP(MONTH(C70)/3,0)</f>
        <v>2020-3</v>
      </c>
      <c r="D72" s="2639" t="str">
        <f>YEAR(D70)&amp;"-"&amp;ROUNDUP(MONTH(D70)/3,0)</f>
        <v>2020-2</v>
      </c>
      <c r="E72" s="2639" t="str">
        <f t="shared" ref="E72:N72" si="19">YEAR(E70)&amp;"-"&amp;ROUNDUP(MONTH(E70)/3,0)</f>
        <v>2020-1</v>
      </c>
      <c r="F72" s="2639" t="str">
        <f t="shared" si="19"/>
        <v>2019-4</v>
      </c>
      <c r="G72" s="2639" t="str">
        <f t="shared" si="19"/>
        <v>2019-3</v>
      </c>
      <c r="H72" s="2639" t="str">
        <f t="shared" si="19"/>
        <v>2019-2</v>
      </c>
      <c r="I72" s="2639" t="str">
        <f t="shared" si="19"/>
        <v>2019-1</v>
      </c>
      <c r="J72" s="2639" t="str">
        <f t="shared" si="19"/>
        <v>2018-4</v>
      </c>
      <c r="K72" s="2639" t="str">
        <f t="shared" si="19"/>
        <v>2018-3</v>
      </c>
      <c r="L72" s="2639" t="str">
        <f t="shared" si="19"/>
        <v>2018-2</v>
      </c>
      <c r="M72" s="2639" t="str">
        <f t="shared" si="19"/>
        <v>2018-1</v>
      </c>
      <c r="N72" s="2639" t="str">
        <f t="shared" si="19"/>
        <v>2017-4</v>
      </c>
      <c r="O72" s="2143"/>
      <c r="P72" s="2144"/>
      <c r="Q72" s="2145"/>
      <c r="R72" s="2145"/>
      <c r="S72" s="2145"/>
      <c r="T72" s="2145"/>
      <c r="U72" s="2145"/>
      <c r="V72" s="2145"/>
      <c r="W72" s="2145"/>
      <c r="X72" s="2145"/>
      <c r="Y72" s="2145"/>
      <c r="Z72" s="2145"/>
      <c r="AA72" s="2145"/>
      <c r="AB72" s="2145"/>
      <c r="AC72" s="2145"/>
    </row>
    <row r="73" spans="1:29" s="1215" customFormat="1" ht="27" customHeight="1">
      <c r="A73" s="2644" t="s">
        <v>2643</v>
      </c>
      <c r="B73" s="478" t="str">
        <f>"北京市平均增长率"&amp;TEXT(SUMIF('基准地价-住宅'!N21:N25,A73,'基准地价-住宅'!P21:P25),"0.00%")</f>
        <v>北京市平均增长率1.79%</v>
      </c>
      <c r="C73" s="893">
        <v>100</v>
      </c>
      <c r="D73" s="729">
        <v>100</v>
      </c>
      <c r="E73" s="729">
        <v>100</v>
      </c>
      <c r="F73" s="729">
        <v>99</v>
      </c>
      <c r="G73" s="729">
        <v>99</v>
      </c>
      <c r="H73" s="729">
        <v>99</v>
      </c>
      <c r="I73" s="729">
        <v>99</v>
      </c>
      <c r="J73" s="729">
        <v>98</v>
      </c>
      <c r="K73" s="729">
        <v>98</v>
      </c>
      <c r="L73" s="729">
        <v>98</v>
      </c>
      <c r="M73" s="2632">
        <v>98</v>
      </c>
      <c r="N73" s="2633">
        <v>97</v>
      </c>
      <c r="O73" s="2146"/>
      <c r="P73" s="2142"/>
      <c r="Q73" s="1977"/>
      <c r="R73" s="1977"/>
      <c r="S73" s="1977"/>
      <c r="T73" s="1977"/>
      <c r="U73" s="1977"/>
      <c r="V73" s="1977"/>
      <c r="W73" s="1977"/>
      <c r="X73" s="1977"/>
      <c r="Y73" s="1977"/>
      <c r="Z73" s="1977"/>
      <c r="AA73" s="1977"/>
      <c r="AB73" s="1977"/>
      <c r="AC73" s="1977"/>
    </row>
    <row r="74" spans="1:29" s="1215" customFormat="1" ht="15" customHeight="1" thickBot="1">
      <c r="A74" s="2635" t="s">
        <v>2642</v>
      </c>
      <c r="B74" s="2643"/>
      <c r="C74" s="2630"/>
      <c r="D74" s="2631"/>
      <c r="E74" s="2631"/>
      <c r="F74" s="2631"/>
      <c r="G74" s="2631"/>
      <c r="H74" s="2631"/>
      <c r="I74" s="2631"/>
      <c r="J74" s="2631"/>
      <c r="K74" s="2631"/>
      <c r="L74" s="2631"/>
      <c r="M74" s="2631"/>
      <c r="N74" s="2631"/>
      <c r="O74" s="2146"/>
      <c r="P74" s="2142"/>
      <c r="Q74" s="2142"/>
      <c r="R74" s="1977"/>
      <c r="S74" s="1977"/>
      <c r="T74" s="1977"/>
      <c r="U74" s="1977"/>
      <c r="V74" s="1977"/>
      <c r="W74" s="1977"/>
      <c r="X74" s="1977"/>
      <c r="Y74" s="1977"/>
      <c r="Z74" s="1977"/>
      <c r="AA74" s="1977"/>
      <c r="AB74" s="1977"/>
      <c r="AC74" s="1977"/>
    </row>
    <row r="75" spans="1:29" s="1215" customFormat="1" ht="15">
      <c r="A75" s="658" t="s">
        <v>531</v>
      </c>
      <c r="B75" s="647"/>
      <c r="C75" s="659" t="s">
        <v>576</v>
      </c>
      <c r="D75" s="660"/>
      <c r="E75" s="660"/>
      <c r="F75" s="660"/>
      <c r="G75" s="660"/>
      <c r="H75" s="660"/>
      <c r="I75" s="660"/>
      <c r="J75" s="660"/>
      <c r="K75" s="660"/>
      <c r="L75" s="661"/>
      <c r="M75" s="662"/>
      <c r="N75" s="2146"/>
      <c r="O75" s="2146"/>
      <c r="P75" s="2147"/>
      <c r="Q75" s="2142"/>
      <c r="R75" s="1977"/>
      <c r="S75" s="1977"/>
      <c r="T75" s="1977"/>
      <c r="U75" s="1977"/>
      <c r="V75" s="1977"/>
      <c r="W75" s="1977"/>
      <c r="X75" s="1977"/>
      <c r="Y75" s="1977"/>
      <c r="Z75" s="1977"/>
      <c r="AA75" s="1977"/>
      <c r="AB75" s="1977"/>
      <c r="AC75" s="1977"/>
    </row>
    <row r="76" spans="1:29" s="1215" customFormat="1" ht="15.75" thickBot="1">
      <c r="A76" s="658"/>
      <c r="B76" s="647"/>
      <c r="C76" s="648">
        <v>100</v>
      </c>
      <c r="D76" s="649"/>
      <c r="E76" s="649"/>
      <c r="F76" s="649"/>
      <c r="G76" s="649"/>
      <c r="H76" s="649"/>
      <c r="I76" s="649"/>
      <c r="J76" s="649"/>
      <c r="K76" s="649"/>
      <c r="L76" s="649"/>
      <c r="M76" s="651"/>
      <c r="N76" s="2146"/>
      <c r="O76" s="2146"/>
      <c r="P76" s="2142"/>
      <c r="Q76" s="2142"/>
      <c r="R76" s="1977"/>
      <c r="S76" s="1977"/>
      <c r="T76" s="1977"/>
      <c r="U76" s="1977"/>
      <c r="V76" s="1977"/>
      <c r="W76" s="1977"/>
      <c r="X76" s="1977"/>
      <c r="Y76" s="1977"/>
      <c r="Z76" s="1977"/>
      <c r="AA76" s="1977"/>
      <c r="AB76" s="1977"/>
      <c r="AC76" s="1977"/>
    </row>
    <row r="77" spans="1:29">
      <c r="A77" s="663" t="s">
        <v>577</v>
      </c>
      <c r="B77" s="664" t="s">
        <v>534</v>
      </c>
      <c r="C77" s="3259" t="s">
        <v>3229</v>
      </c>
      <c r="D77" s="3259" t="s">
        <v>3230</v>
      </c>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0">
        <v>100</v>
      </c>
      <c r="D78" s="670">
        <v>102</v>
      </c>
      <c r="E78" s="670"/>
      <c r="F78" s="670"/>
      <c r="G78" s="670"/>
      <c r="H78" s="670"/>
      <c r="I78" s="670"/>
      <c r="J78" s="670"/>
      <c r="K78" s="670"/>
      <c r="L78" s="670"/>
      <c r="M78" s="671"/>
      <c r="N78" s="2150"/>
      <c r="O78" s="2150"/>
      <c r="P78" s="2149"/>
      <c r="Q78" s="2142"/>
      <c r="R78" s="2129"/>
      <c r="S78" s="2129"/>
      <c r="T78" s="2129"/>
      <c r="U78" s="2129"/>
      <c r="V78" s="2129"/>
      <c r="W78" s="2129"/>
      <c r="X78" s="2129"/>
      <c r="Y78" s="2129"/>
      <c r="Z78" s="2129"/>
      <c r="AA78" s="2129"/>
      <c r="AB78" s="2129"/>
      <c r="AC78" s="2129"/>
    </row>
    <row r="79" spans="1:29" ht="27.75" thickTop="1">
      <c r="A79" s="668"/>
      <c r="B79" s="672" t="s">
        <v>537</v>
      </c>
      <c r="C79" s="673"/>
      <c r="D79" s="673"/>
      <c r="E79" s="673"/>
      <c r="F79" s="673"/>
      <c r="G79" s="673"/>
      <c r="H79" s="673"/>
      <c r="I79" s="673"/>
      <c r="J79" s="673"/>
      <c r="K79" s="674"/>
      <c r="L79" s="675"/>
      <c r="M79" s="676"/>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c r="D80" s="678"/>
      <c r="E80" s="678"/>
      <c r="F80" s="678"/>
      <c r="G80" s="678"/>
      <c r="H80" s="678"/>
      <c r="I80" s="678"/>
      <c r="J80" s="678"/>
      <c r="K80" s="678"/>
      <c r="L80" s="678"/>
      <c r="M80" s="679"/>
      <c r="N80" s="2150"/>
      <c r="O80" s="2150"/>
      <c r="P80" s="2149"/>
      <c r="Q80" s="2142"/>
      <c r="R80" s="2129"/>
      <c r="S80" s="2129"/>
      <c r="T80" s="2129"/>
      <c r="U80" s="2129"/>
      <c r="V80" s="2129"/>
      <c r="W80" s="2129"/>
      <c r="X80" s="2129"/>
      <c r="Y80" s="2129"/>
      <c r="Z80" s="2129"/>
      <c r="AA80" s="2129"/>
      <c r="AB80" s="2129"/>
      <c r="AC80" s="2129"/>
    </row>
    <row r="81" spans="1:29" ht="15.75" thickTop="1">
      <c r="A81" s="668"/>
      <c r="B81" s="680" t="s">
        <v>538</v>
      </c>
      <c r="C81" s="681" t="str">
        <f>C82&amp;"（含）"&amp;"-"&amp;D82</f>
        <v>1（含）-2</v>
      </c>
      <c r="D81" s="681" t="str">
        <f t="shared" ref="D81:L81" si="20">D82&amp;"（含）"&amp;"-"&amp;E82</f>
        <v>2（含）-3</v>
      </c>
      <c r="E81" s="681" t="str">
        <f t="shared" si="20"/>
        <v>3（含）-4</v>
      </c>
      <c r="F81" s="681" t="str">
        <f t="shared" si="20"/>
        <v>4（含）-5</v>
      </c>
      <c r="G81" s="681" t="str">
        <f t="shared" si="20"/>
        <v>5（含）-</v>
      </c>
      <c r="H81" s="681" t="str">
        <f t="shared" si="20"/>
        <v>（含）-</v>
      </c>
      <c r="I81" s="681" t="str">
        <f t="shared" si="20"/>
        <v>（含）-</v>
      </c>
      <c r="J81" s="681" t="str">
        <f t="shared" si="20"/>
        <v>（含）-</v>
      </c>
      <c r="K81" s="681" t="str">
        <f t="shared" si="20"/>
        <v>（含）-</v>
      </c>
      <c r="L81" s="681" t="str">
        <f t="shared" si="20"/>
        <v>（含）-</v>
      </c>
      <c r="M81" s="554"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8"/>
      <c r="B82" s="682"/>
      <c r="C82" s="540">
        <v>1</v>
      </c>
      <c r="D82" s="540">
        <v>2</v>
      </c>
      <c r="E82" s="540">
        <v>3</v>
      </c>
      <c r="F82" s="540">
        <v>4</v>
      </c>
      <c r="G82" s="540">
        <v>5</v>
      </c>
      <c r="H82" s="540"/>
      <c r="I82" s="540"/>
      <c r="J82" s="540"/>
      <c r="K82" s="683"/>
      <c r="L82" s="684"/>
      <c r="M82" s="685"/>
      <c r="N82" s="2148"/>
      <c r="O82" s="2148"/>
      <c r="P82" s="2149"/>
      <c r="Q82" s="2142"/>
      <c r="R82" s="2129"/>
      <c r="S82" s="2129"/>
      <c r="T82" s="2129"/>
      <c r="U82" s="2129"/>
      <c r="V82" s="2129"/>
      <c r="W82" s="2129"/>
      <c r="X82" s="2129"/>
      <c r="Y82" s="2129"/>
      <c r="Z82" s="2129"/>
      <c r="AA82" s="2129"/>
      <c r="AB82" s="2129"/>
      <c r="AC82" s="2129"/>
    </row>
    <row r="83" spans="1:29" ht="15.75" thickBot="1">
      <c r="A83" s="668"/>
      <c r="B83" s="669"/>
      <c r="C83" s="678">
        <v>100</v>
      </c>
      <c r="D83" s="678">
        <f>IF($B$48="单位面积地价",C83+$K13,C83-$K13)</f>
        <v>98</v>
      </c>
      <c r="E83" s="678">
        <f t="shared" ref="E83:M83" si="21">IF($B$48="单位面积地价",D83+$K13,D83-$K13)</f>
        <v>96</v>
      </c>
      <c r="F83" s="678">
        <f t="shared" si="21"/>
        <v>94</v>
      </c>
      <c r="G83" s="678">
        <f t="shared" si="21"/>
        <v>92</v>
      </c>
      <c r="H83" s="678">
        <f t="shared" si="21"/>
        <v>90</v>
      </c>
      <c r="I83" s="678">
        <f t="shared" si="21"/>
        <v>88</v>
      </c>
      <c r="J83" s="678">
        <f t="shared" si="21"/>
        <v>86</v>
      </c>
      <c r="K83" s="678">
        <f t="shared" si="21"/>
        <v>84</v>
      </c>
      <c r="L83" s="678">
        <f t="shared" si="21"/>
        <v>82</v>
      </c>
      <c r="M83" s="678">
        <f t="shared" si="21"/>
        <v>80</v>
      </c>
      <c r="N83" s="2150"/>
      <c r="O83" s="2150"/>
      <c r="P83" s="2149"/>
      <c r="Q83" s="2142"/>
      <c r="R83" s="2129"/>
      <c r="S83" s="2129"/>
      <c r="T83" s="2129"/>
      <c r="U83" s="2129"/>
      <c r="V83" s="2129"/>
      <c r="W83" s="2129"/>
      <c r="X83" s="2129"/>
      <c r="Y83" s="2129"/>
      <c r="Z83" s="2129"/>
      <c r="AA83" s="2129"/>
      <c r="AB83" s="2129"/>
      <c r="AC83" s="2129"/>
    </row>
    <row r="84" spans="1:29" s="1334" customFormat="1" ht="15.75" thickTop="1">
      <c r="A84" s="686"/>
      <c r="B84" s="672" t="str">
        <f>B14</f>
        <v>配建</v>
      </c>
      <c r="C84" s="687"/>
      <c r="D84" s="1370"/>
      <c r="E84" s="1371"/>
      <c r="F84" s="687"/>
      <c r="G84" s="687"/>
      <c r="H84" s="688"/>
      <c r="I84" s="688"/>
      <c r="J84" s="688"/>
      <c r="K84" s="688"/>
      <c r="L84" s="689"/>
      <c r="M84" s="6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c r="D85" s="670"/>
      <c r="E85" s="670"/>
      <c r="F85" s="670"/>
      <c r="G85" s="670"/>
      <c r="H85" s="670"/>
      <c r="I85" s="670"/>
      <c r="J85" s="670"/>
      <c r="K85" s="670"/>
      <c r="L85" s="670"/>
      <c r="M85" s="671"/>
      <c r="N85" s="2150"/>
      <c r="O85" s="2150"/>
      <c r="P85" s="2152"/>
      <c r="Q85" s="2153"/>
      <c r="R85" s="2154"/>
      <c r="S85" s="2154"/>
      <c r="T85" s="2154"/>
      <c r="U85" s="2154"/>
      <c r="V85" s="2154"/>
      <c r="W85" s="2154"/>
      <c r="X85" s="2154"/>
      <c r="Y85" s="2154"/>
      <c r="Z85" s="2154"/>
      <c r="AA85" s="2154"/>
      <c r="AB85" s="2154"/>
      <c r="AC85" s="2154"/>
    </row>
    <row r="86" spans="1:29" s="1334" customFormat="1" ht="15.75" thickTop="1">
      <c r="A86" s="686"/>
      <c r="B86" s="672">
        <f>B15</f>
        <v>111</v>
      </c>
      <c r="C86" s="687"/>
      <c r="D86" s="687"/>
      <c r="E86" s="687"/>
      <c r="F86" s="687"/>
      <c r="G86" s="687"/>
      <c r="H86" s="688"/>
      <c r="I86" s="688"/>
      <c r="J86" s="688"/>
      <c r="K86" s="688"/>
      <c r="L86" s="689"/>
      <c r="M86" s="690"/>
      <c r="N86" s="2151"/>
      <c r="O86" s="2151"/>
      <c r="P86" s="2155"/>
      <c r="Q86" s="2156"/>
      <c r="R86" s="2154"/>
      <c r="S86" s="2154"/>
      <c r="T86" s="2154"/>
      <c r="U86" s="2154"/>
      <c r="V86" s="2154"/>
      <c r="W86" s="2154"/>
      <c r="X86" s="2154"/>
      <c r="Y86" s="2154"/>
      <c r="Z86" s="2154"/>
      <c r="AA86" s="2154"/>
      <c r="AB86" s="2154"/>
      <c r="AC86" s="2154"/>
    </row>
    <row r="87" spans="1:29" s="1334" customFormat="1" ht="15.75" thickBot="1">
      <c r="A87" s="686"/>
      <c r="B87" s="677"/>
      <c r="C87" s="691"/>
      <c r="D87" s="691"/>
      <c r="E87" s="691"/>
      <c r="F87" s="691"/>
      <c r="G87" s="691"/>
      <c r="H87" s="692"/>
      <c r="I87" s="692"/>
      <c r="J87" s="692"/>
      <c r="K87" s="692"/>
      <c r="L87" s="692"/>
      <c r="M87" s="693"/>
      <c r="N87" s="2151"/>
      <c r="O87" s="2151"/>
      <c r="P87" s="2152"/>
      <c r="Q87" s="2153"/>
      <c r="R87" s="2154"/>
      <c r="S87" s="2154"/>
      <c r="T87" s="2154"/>
      <c r="U87" s="2154"/>
      <c r="V87" s="2154"/>
      <c r="W87" s="2154"/>
      <c r="X87" s="2154"/>
      <c r="Y87" s="2154"/>
      <c r="Z87" s="2154"/>
      <c r="AA87" s="2154"/>
      <c r="AB87" s="2154"/>
      <c r="AC87" s="2154"/>
    </row>
    <row r="88" spans="1:29" s="1334" customFormat="1" ht="15.75" thickTop="1">
      <c r="A88" s="686"/>
      <c r="B88" s="680">
        <f>B16</f>
        <v>111</v>
      </c>
      <c r="C88" s="660"/>
      <c r="D88" s="660"/>
      <c r="E88" s="660"/>
      <c r="F88" s="660"/>
      <c r="G88" s="660"/>
      <c r="H88" s="694"/>
      <c r="I88" s="694"/>
      <c r="J88" s="694"/>
      <c r="K88" s="694"/>
      <c r="L88" s="695"/>
      <c r="M88" s="696"/>
      <c r="N88" s="2151"/>
      <c r="O88" s="2151"/>
      <c r="P88" s="2157"/>
      <c r="Q88" s="2153"/>
      <c r="R88" s="2154"/>
      <c r="S88" s="2154"/>
      <c r="T88" s="2154"/>
      <c r="U88" s="2154"/>
      <c r="V88" s="2154"/>
      <c r="W88" s="2154"/>
      <c r="X88" s="2154"/>
      <c r="Y88" s="2154"/>
      <c r="Z88" s="2154"/>
      <c r="AA88" s="2154"/>
      <c r="AB88" s="2154"/>
      <c r="AC88" s="2154"/>
    </row>
    <row r="89" spans="1:29" s="1334" customFormat="1" ht="15.75" thickBot="1">
      <c r="A89" s="697"/>
      <c r="B89" s="698"/>
      <c r="C89" s="699"/>
      <c r="D89" s="699"/>
      <c r="E89" s="699"/>
      <c r="F89" s="699"/>
      <c r="G89" s="699"/>
      <c r="H89" s="700"/>
      <c r="I89" s="700"/>
      <c r="J89" s="700"/>
      <c r="K89" s="700"/>
      <c r="L89" s="700"/>
      <c r="M89" s="701"/>
      <c r="N89" s="2151"/>
      <c r="O89" s="2151"/>
      <c r="P89" s="2152"/>
      <c r="Q89" s="2153"/>
      <c r="R89" s="2154"/>
      <c r="S89" s="2154"/>
      <c r="T89" s="2154"/>
      <c r="U89" s="2154"/>
      <c r="V89" s="2154"/>
      <c r="W89" s="2154"/>
      <c r="X89" s="2154"/>
      <c r="Y89" s="2154"/>
      <c r="Z89" s="2154"/>
      <c r="AA89" s="2154"/>
      <c r="AB89" s="2154"/>
      <c r="AC89" s="2154"/>
    </row>
    <row r="90" spans="1:29">
      <c r="A90" s="663" t="s">
        <v>539</v>
      </c>
      <c r="B90" s="664" t="s">
        <v>578</v>
      </c>
      <c r="C90" s="702" t="s">
        <v>579</v>
      </c>
      <c r="D90" s="702" t="s">
        <v>580</v>
      </c>
      <c r="E90" s="702" t="s">
        <v>581</v>
      </c>
      <c r="F90" s="702" t="s">
        <v>582</v>
      </c>
      <c r="G90" s="702" t="s">
        <v>583</v>
      </c>
      <c r="H90" s="703"/>
      <c r="I90" s="703"/>
      <c r="J90" s="703"/>
      <c r="K90" s="704"/>
      <c r="L90" s="705"/>
      <c r="M90" s="706"/>
      <c r="N90" s="2148"/>
      <c r="O90" s="2148"/>
      <c r="P90" s="2158"/>
      <c r="Q90" s="2142"/>
      <c r="R90" s="2129"/>
      <c r="S90" s="2129"/>
      <c r="T90" s="2129"/>
      <c r="U90" s="2129"/>
      <c r="V90" s="2129"/>
      <c r="W90" s="2129"/>
      <c r="X90" s="2129"/>
      <c r="Y90" s="2129"/>
      <c r="Z90" s="2129"/>
      <c r="AA90" s="2129"/>
      <c r="AB90" s="2129"/>
      <c r="AC90" s="2129"/>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50"/>
      <c r="O91" s="2150"/>
      <c r="P91" s="2149"/>
      <c r="Q91" s="2142"/>
      <c r="R91" s="2129"/>
      <c r="S91" s="2129"/>
      <c r="T91" s="2129"/>
      <c r="U91" s="2129"/>
      <c r="V91" s="2129"/>
      <c r="W91" s="2129"/>
      <c r="X91" s="2129"/>
      <c r="Y91" s="2129"/>
      <c r="Z91" s="2129"/>
      <c r="AA91" s="2129"/>
      <c r="AB91" s="2129"/>
      <c r="AC91" s="2129"/>
    </row>
    <row r="92" spans="1:29" ht="15.75" thickTop="1">
      <c r="A92" s="668"/>
      <c r="B92" s="672" t="s">
        <v>584</v>
      </c>
      <c r="C92" s="707" t="s">
        <v>579</v>
      </c>
      <c r="D92" s="707" t="s">
        <v>580</v>
      </c>
      <c r="E92" s="707" t="s">
        <v>581</v>
      </c>
      <c r="F92" s="707" t="s">
        <v>582</v>
      </c>
      <c r="G92" s="707" t="s">
        <v>583</v>
      </c>
      <c r="H92" s="673"/>
      <c r="I92" s="673"/>
      <c r="J92" s="673"/>
      <c r="K92" s="674"/>
      <c r="L92" s="675"/>
      <c r="M92" s="676"/>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50"/>
      <c r="O93" s="2150"/>
      <c r="P93" s="2149"/>
      <c r="Q93" s="2142"/>
      <c r="R93" s="2129"/>
      <c r="S93" s="2129"/>
      <c r="T93" s="2129"/>
      <c r="U93" s="2129"/>
      <c r="V93" s="2129"/>
      <c r="W93" s="2129"/>
      <c r="X93" s="2129"/>
      <c r="Y93" s="2129"/>
      <c r="Z93" s="2129"/>
      <c r="AA93" s="2129"/>
      <c r="AB93" s="2129"/>
      <c r="AC93" s="2129"/>
    </row>
    <row r="94" spans="1:29" ht="15.75" thickTop="1">
      <c r="A94" s="668"/>
      <c r="B94" s="672" t="s">
        <v>585</v>
      </c>
      <c r="C94" s="707" t="s">
        <v>579</v>
      </c>
      <c r="D94" s="707" t="s">
        <v>580</v>
      </c>
      <c r="E94" s="707" t="s">
        <v>581</v>
      </c>
      <c r="F94" s="707" t="s">
        <v>582</v>
      </c>
      <c r="G94" s="707" t="s">
        <v>583</v>
      </c>
      <c r="H94" s="673"/>
      <c r="I94" s="673"/>
      <c r="J94" s="673"/>
      <c r="K94" s="674"/>
      <c r="L94" s="675"/>
      <c r="M94" s="676"/>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50"/>
      <c r="O95" s="2150"/>
      <c r="P95" s="2149"/>
      <c r="Q95" s="2142"/>
      <c r="R95" s="2129"/>
      <c r="S95" s="2129"/>
      <c r="T95" s="2129"/>
      <c r="U95" s="2129"/>
      <c r="V95" s="2129"/>
      <c r="W95" s="2129"/>
      <c r="X95" s="2129"/>
      <c r="Y95" s="2129"/>
      <c r="Z95" s="2129"/>
      <c r="AA95" s="2129"/>
      <c r="AB95" s="2129"/>
      <c r="AC95" s="2129"/>
    </row>
    <row r="96" spans="1:29" ht="15.75" thickTop="1">
      <c r="A96" s="668"/>
      <c r="B96" s="672" t="s">
        <v>586</v>
      </c>
      <c r="C96" s="707" t="s">
        <v>579</v>
      </c>
      <c r="D96" s="707" t="s">
        <v>580</v>
      </c>
      <c r="E96" s="707" t="s">
        <v>581</v>
      </c>
      <c r="F96" s="707" t="s">
        <v>582</v>
      </c>
      <c r="G96" s="707" t="s">
        <v>583</v>
      </c>
      <c r="H96" s="673"/>
      <c r="I96" s="673"/>
      <c r="J96" s="673"/>
      <c r="K96" s="674"/>
      <c r="L96" s="675"/>
      <c r="M96" s="676"/>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50"/>
      <c r="O97" s="2150"/>
      <c r="P97" s="2149"/>
      <c r="Q97" s="2142"/>
      <c r="R97" s="2129"/>
      <c r="S97" s="2129"/>
      <c r="T97" s="2129"/>
      <c r="U97" s="2129"/>
      <c r="V97" s="2129"/>
      <c r="W97" s="2129"/>
      <c r="X97" s="2129"/>
      <c r="Y97" s="2129"/>
      <c r="Z97" s="2129"/>
      <c r="AA97" s="2129"/>
      <c r="AB97" s="2129"/>
      <c r="AC97" s="2129"/>
    </row>
    <row r="98" spans="1:29" s="1215" customFormat="1" ht="27.75" thickTop="1">
      <c r="A98" s="708"/>
      <c r="B98" s="672" t="s">
        <v>587</v>
      </c>
      <c r="C98" s="707" t="s">
        <v>579</v>
      </c>
      <c r="D98" s="707" t="s">
        <v>580</v>
      </c>
      <c r="E98" s="707" t="s">
        <v>581</v>
      </c>
      <c r="F98" s="707" t="s">
        <v>582</v>
      </c>
      <c r="G98" s="707" t="s">
        <v>583</v>
      </c>
      <c r="H98" s="707"/>
      <c r="I98" s="707"/>
      <c r="J98" s="707"/>
      <c r="K98" s="707"/>
      <c r="L98" s="709"/>
      <c r="M98" s="710"/>
      <c r="N98" s="2146"/>
      <c r="O98" s="2146"/>
      <c r="P98" s="2149"/>
      <c r="Q98" s="2142"/>
      <c r="R98" s="1977"/>
      <c r="S98" s="1977"/>
      <c r="T98" s="1977"/>
      <c r="U98" s="1977"/>
      <c r="V98" s="1977"/>
      <c r="W98" s="1977"/>
      <c r="X98" s="1977"/>
      <c r="Y98" s="1977"/>
      <c r="Z98" s="1977"/>
      <c r="AA98" s="1977"/>
      <c r="AB98" s="1977"/>
      <c r="AC98" s="1977"/>
    </row>
    <row r="99" spans="1:29" s="1215" customFormat="1" ht="15.75" thickBot="1">
      <c r="A99" s="708"/>
      <c r="B99" s="677"/>
      <c r="C99" s="711">
        <v>100</v>
      </c>
      <c r="D99" s="678">
        <f>C99-$K25</f>
        <v>100</v>
      </c>
      <c r="E99" s="678">
        <f>D99-$K25</f>
        <v>100</v>
      </c>
      <c r="F99" s="678">
        <f>E99-$K25</f>
        <v>100</v>
      </c>
      <c r="G99" s="678">
        <f>F99-$K25</f>
        <v>100</v>
      </c>
      <c r="H99" s="678"/>
      <c r="I99" s="678"/>
      <c r="J99" s="678"/>
      <c r="K99" s="678"/>
      <c r="L99" s="678"/>
      <c r="M99" s="679"/>
      <c r="N99" s="2150"/>
      <c r="O99" s="2150"/>
      <c r="P99" s="2149"/>
      <c r="Q99" s="2142"/>
      <c r="R99" s="1977"/>
      <c r="S99" s="1977"/>
      <c r="T99" s="1977"/>
      <c r="U99" s="1977"/>
      <c r="V99" s="1977"/>
      <c r="W99" s="1977"/>
      <c r="X99" s="1977"/>
      <c r="Y99" s="1977"/>
      <c r="Z99" s="1977"/>
      <c r="AA99" s="1977"/>
      <c r="AB99" s="1977"/>
      <c r="AC99" s="1977"/>
    </row>
    <row r="100" spans="1:29" s="1215" customFormat="1" ht="27.75" thickTop="1">
      <c r="A100" s="708"/>
      <c r="B100" s="672" t="s">
        <v>588</v>
      </c>
      <c r="C100" s="702" t="s">
        <v>579</v>
      </c>
      <c r="D100" s="702" t="s">
        <v>580</v>
      </c>
      <c r="E100" s="702" t="s">
        <v>581</v>
      </c>
      <c r="F100" s="702" t="s">
        <v>582</v>
      </c>
      <c r="G100" s="702" t="s">
        <v>583</v>
      </c>
      <c r="H100" s="707"/>
      <c r="I100" s="707"/>
      <c r="J100" s="707"/>
      <c r="K100" s="707"/>
      <c r="L100" s="707"/>
      <c r="M100" s="710"/>
      <c r="N100" s="2146"/>
      <c r="O100" s="2146"/>
      <c r="P100" s="2149"/>
      <c r="Q100" s="2142"/>
      <c r="R100" s="1977"/>
      <c r="S100" s="1977"/>
      <c r="T100" s="1977"/>
      <c r="U100" s="1977"/>
      <c r="V100" s="1977"/>
      <c r="W100" s="1977"/>
      <c r="X100" s="1977"/>
      <c r="Y100" s="1977"/>
      <c r="Z100" s="1977"/>
      <c r="AA100" s="1977"/>
      <c r="AB100" s="1977"/>
      <c r="AC100" s="1977"/>
    </row>
    <row r="101" spans="1:29" s="1215" customFormat="1" ht="15.75" thickBot="1">
      <c r="A101" s="708"/>
      <c r="B101" s="677"/>
      <c r="C101" s="678">
        <v>100</v>
      </c>
      <c r="D101" s="678">
        <f>C101-$K27</f>
        <v>100</v>
      </c>
      <c r="E101" s="678">
        <f>D101-$K27</f>
        <v>100</v>
      </c>
      <c r="F101" s="678">
        <f>E101-$K27</f>
        <v>100</v>
      </c>
      <c r="G101" s="678">
        <f>F101-$K27</f>
        <v>100</v>
      </c>
      <c r="H101" s="678"/>
      <c r="I101" s="678"/>
      <c r="J101" s="678"/>
      <c r="K101" s="678"/>
      <c r="L101" s="678"/>
      <c r="M101" s="679"/>
      <c r="N101" s="2150"/>
      <c r="O101" s="2150"/>
      <c r="P101" s="2149"/>
      <c r="Q101" s="2142"/>
      <c r="R101" s="1977"/>
      <c r="S101" s="1977"/>
      <c r="T101" s="1977"/>
      <c r="U101" s="1977"/>
      <c r="V101" s="1977"/>
      <c r="W101" s="1977"/>
      <c r="X101" s="1977"/>
      <c r="Y101" s="1977"/>
      <c r="Z101" s="1977"/>
      <c r="AA101" s="1977"/>
      <c r="AB101" s="1977"/>
      <c r="AC101" s="1977"/>
    </row>
    <row r="102" spans="1:29" s="1334" customFormat="1" ht="15.75" thickTop="1">
      <c r="A102" s="686"/>
      <c r="B102" s="1880" t="s">
        <v>2545</v>
      </c>
      <c r="C102" s="702" t="s">
        <v>579</v>
      </c>
      <c r="D102" s="702" t="s">
        <v>580</v>
      </c>
      <c r="E102" s="702" t="s">
        <v>581</v>
      </c>
      <c r="F102" s="702" t="s">
        <v>582</v>
      </c>
      <c r="G102" s="702" t="s">
        <v>583</v>
      </c>
      <c r="H102" s="712"/>
      <c r="I102" s="712"/>
      <c r="J102" s="712"/>
      <c r="K102" s="712"/>
      <c r="L102" s="713"/>
      <c r="M102" s="714"/>
      <c r="N102" s="2151"/>
      <c r="O102" s="2151"/>
      <c r="P102" s="2152"/>
      <c r="Q102" s="2153"/>
      <c r="R102" s="2154"/>
      <c r="S102" s="2154"/>
      <c r="T102" s="2154"/>
      <c r="U102" s="2154"/>
      <c r="V102" s="2154"/>
      <c r="W102" s="2154"/>
      <c r="X102" s="2154"/>
      <c r="Y102" s="2154"/>
      <c r="Z102" s="2154"/>
      <c r="AA102" s="2154"/>
      <c r="AB102" s="2154"/>
      <c r="AC102" s="2154"/>
    </row>
    <row r="103" spans="1:29" s="1334" customFormat="1" ht="15.75" thickBot="1">
      <c r="A103" s="686"/>
      <c r="B103" s="677"/>
      <c r="C103" s="678">
        <v>100</v>
      </c>
      <c r="D103" s="678">
        <f>C103-$K29</f>
        <v>100</v>
      </c>
      <c r="E103" s="678">
        <f>D103-$K29</f>
        <v>100</v>
      </c>
      <c r="F103" s="678">
        <f>E103-$K29</f>
        <v>100</v>
      </c>
      <c r="G103" s="678">
        <f>F103-$K29</f>
        <v>100</v>
      </c>
      <c r="H103" s="715"/>
      <c r="I103" s="715"/>
      <c r="J103" s="715"/>
      <c r="K103" s="715"/>
      <c r="L103" s="715"/>
      <c r="M103" s="716"/>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Top="1">
      <c r="A104" s="686"/>
      <c r="B104" s="2560" t="s">
        <v>2547</v>
      </c>
      <c r="C104" s="2561" t="s">
        <v>2548</v>
      </c>
      <c r="D104" s="2561" t="s">
        <v>2549</v>
      </c>
      <c r="E104" s="2561" t="s">
        <v>2550</v>
      </c>
      <c r="F104" s="2561" t="s">
        <v>2551</v>
      </c>
      <c r="G104" s="2561" t="s">
        <v>2552</v>
      </c>
      <c r="H104" s="712"/>
      <c r="I104" s="712"/>
      <c r="J104" s="712"/>
      <c r="K104" s="712"/>
      <c r="L104" s="712"/>
      <c r="M104" s="714"/>
      <c r="N104" s="2151"/>
      <c r="O104" s="2151"/>
      <c r="P104" s="2152"/>
      <c r="Q104" s="2153"/>
      <c r="R104" s="2154"/>
      <c r="S104" s="2154"/>
      <c r="T104" s="2154"/>
      <c r="U104" s="2154"/>
      <c r="V104" s="2154"/>
      <c r="W104" s="2154"/>
      <c r="X104" s="2154"/>
      <c r="Y104" s="2154"/>
      <c r="Z104" s="2154"/>
      <c r="AA104" s="2154"/>
      <c r="AB104" s="2154"/>
      <c r="AC104" s="2154"/>
    </row>
    <row r="105" spans="1:29" s="1334" customFormat="1" ht="15.75" thickBot="1">
      <c r="A105" s="686"/>
      <c r="B105" s="680"/>
      <c r="C105" s="678">
        <v>100</v>
      </c>
      <c r="D105" s="678">
        <f>C105-$K31</f>
        <v>100</v>
      </c>
      <c r="E105" s="678">
        <f>D105-$K31</f>
        <v>100</v>
      </c>
      <c r="F105" s="678">
        <f>E105-$K31</f>
        <v>100</v>
      </c>
      <c r="G105" s="678">
        <f>F105-$K31</f>
        <v>100</v>
      </c>
      <c r="H105" s="682"/>
      <c r="I105" s="682"/>
      <c r="J105" s="682"/>
      <c r="K105" s="682"/>
      <c r="L105" s="682"/>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8"/>
      <c r="O106" s="2148"/>
      <c r="P106" s="2149"/>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8"/>
      <c r="B108" s="672" t="s">
        <v>548</v>
      </c>
      <c r="C108" s="687"/>
      <c r="D108" s="687"/>
      <c r="E108" s="687"/>
      <c r="F108" s="687"/>
      <c r="G108" s="687"/>
      <c r="H108" s="717"/>
      <c r="I108" s="717"/>
      <c r="J108" s="717"/>
      <c r="K108" s="718"/>
      <c r="L108" s="719"/>
      <c r="M108" s="720"/>
      <c r="N108" s="2148"/>
      <c r="O108" s="2148"/>
      <c r="P108" s="2149"/>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C109-$K34</f>
        <v>100</v>
      </c>
      <c r="E109" s="678">
        <f t="shared" ref="E109:M109" si="23">D109-$K34</f>
        <v>100</v>
      </c>
      <c r="F109" s="678">
        <f t="shared" si="23"/>
        <v>100</v>
      </c>
      <c r="G109" s="678">
        <f t="shared" si="23"/>
        <v>100</v>
      </c>
      <c r="H109" s="678">
        <f t="shared" si="23"/>
        <v>100</v>
      </c>
      <c r="I109" s="678">
        <f t="shared" si="23"/>
        <v>100</v>
      </c>
      <c r="J109" s="678">
        <f t="shared" si="23"/>
        <v>100</v>
      </c>
      <c r="K109" s="678">
        <f t="shared" si="23"/>
        <v>100</v>
      </c>
      <c r="L109" s="678">
        <f t="shared" si="23"/>
        <v>100</v>
      </c>
      <c r="M109" s="678">
        <f t="shared" si="23"/>
        <v>100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8"/>
      <c r="B110" s="672" t="s">
        <v>549</v>
      </c>
      <c r="C110" s="717"/>
      <c r="D110" s="717"/>
      <c r="E110" s="717"/>
      <c r="F110" s="717"/>
      <c r="G110" s="717"/>
      <c r="H110" s="717"/>
      <c r="I110" s="717"/>
      <c r="J110" s="717"/>
      <c r="K110" s="718"/>
      <c r="L110" s="719"/>
      <c r="M110" s="72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8"/>
      <c r="B112" s="680">
        <f>B37</f>
        <v>111</v>
      </c>
      <c r="C112" s="687"/>
      <c r="D112" s="687"/>
      <c r="E112" s="687"/>
      <c r="F112" s="687"/>
      <c r="G112" s="721"/>
      <c r="H112" s="721"/>
      <c r="I112" s="721"/>
      <c r="J112" s="721"/>
      <c r="K112" s="722"/>
      <c r="L112" s="723"/>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98"/>
      <c r="C113" s="691"/>
      <c r="D113" s="691"/>
      <c r="E113" s="691"/>
      <c r="F113" s="691"/>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ht="15" thickTop="1">
      <c r="A114" s="586"/>
      <c r="B114" s="672">
        <f>B38</f>
        <v>111</v>
      </c>
      <c r="C114" s="660"/>
      <c r="D114" s="660"/>
      <c r="E114" s="660"/>
      <c r="F114" s="660"/>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99"/>
      <c r="D115" s="699"/>
      <c r="E115" s="699"/>
      <c r="F115" s="699"/>
      <c r="G115" s="670"/>
      <c r="H115" s="670"/>
      <c r="I115" s="670"/>
      <c r="J115" s="670"/>
      <c r="K115" s="670"/>
      <c r="L115" s="670"/>
      <c r="M115" s="671"/>
      <c r="N115" s="2150"/>
      <c r="O115" s="2150"/>
      <c r="P115" s="2149"/>
      <c r="Q115" s="2142"/>
      <c r="R115" s="2129"/>
      <c r="S115" s="2129"/>
      <c r="T115" s="2129"/>
      <c r="U115" s="2129"/>
      <c r="V115" s="2129"/>
      <c r="W115" s="2129"/>
      <c r="X115" s="2129"/>
      <c r="Y115" s="2129"/>
      <c r="Z115" s="2129"/>
      <c r="AA115" s="2129"/>
      <c r="AB115" s="2129"/>
      <c r="AC115" s="2129"/>
    </row>
    <row r="116" spans="1:29" s="1334" customFormat="1" ht="15" thickTop="1">
      <c r="A116" s="727"/>
      <c r="B116" s="728">
        <f>B39</f>
        <v>111</v>
      </c>
      <c r="C116" s="729"/>
      <c r="D116" s="729"/>
      <c r="E116" s="729"/>
      <c r="F116" s="729"/>
      <c r="G116" s="729"/>
      <c r="H116" s="729"/>
      <c r="I116" s="729"/>
      <c r="J116" s="730"/>
      <c r="K116" s="730"/>
      <c r="L116" s="731"/>
      <c r="M116" s="732"/>
      <c r="N116" s="2151"/>
      <c r="O116" s="2151"/>
      <c r="P116" s="2152"/>
      <c r="Q116" s="2153"/>
      <c r="R116" s="2154"/>
      <c r="S116" s="2154"/>
      <c r="T116" s="2154"/>
      <c r="U116" s="2154"/>
      <c r="V116" s="2154"/>
      <c r="W116" s="2154"/>
      <c r="X116" s="2154"/>
      <c r="Y116" s="2154"/>
      <c r="Z116" s="2154"/>
      <c r="AA116" s="2154"/>
      <c r="AB116" s="2154"/>
      <c r="AC116" s="2154"/>
    </row>
    <row r="117" spans="1:29" s="1334" customFormat="1" ht="15.75" thickBot="1">
      <c r="A117" s="686"/>
      <c r="B117" s="680"/>
      <c r="C117" s="649"/>
      <c r="D117" s="591"/>
      <c r="E117" s="591"/>
      <c r="F117" s="591"/>
      <c r="G117" s="591"/>
      <c r="H117" s="591"/>
      <c r="I117" s="591"/>
      <c r="J117" s="591"/>
      <c r="K117" s="591"/>
      <c r="L117" s="591"/>
      <c r="M117" s="733"/>
      <c r="N117" s="2150"/>
      <c r="O117" s="2150"/>
      <c r="P117" s="2152"/>
      <c r="Q117" s="2153"/>
      <c r="R117" s="2154"/>
      <c r="S117" s="2154"/>
      <c r="T117" s="2154"/>
      <c r="U117" s="2154"/>
      <c r="V117" s="2154"/>
      <c r="W117" s="2154"/>
      <c r="X117" s="2154"/>
      <c r="Y117" s="2154"/>
      <c r="Z117" s="2154"/>
      <c r="AA117" s="2154"/>
      <c r="AB117" s="2154"/>
      <c r="AC117" s="2154"/>
    </row>
    <row r="118" spans="1:29" ht="28.5">
      <c r="A118" s="663" t="s">
        <v>551</v>
      </c>
      <c r="B118" s="664" t="s">
        <v>593</v>
      </c>
      <c r="C118" s="703" t="str">
        <f t="shared" ref="C118:L118" si="25">C119&amp;"(含)"&amp;"-"&amp;D119</f>
        <v>0(含)-30000</v>
      </c>
      <c r="D118" s="703" t="str">
        <f t="shared" si="25"/>
        <v>30000(含)-60000</v>
      </c>
      <c r="E118" s="703" t="str">
        <f t="shared" si="25"/>
        <v>60000(含)-90000</v>
      </c>
      <c r="F118" s="703" t="str">
        <f t="shared" si="25"/>
        <v>90000(含)-120000</v>
      </c>
      <c r="G118" s="703" t="str">
        <f t="shared" si="25"/>
        <v>120000(含)-150000</v>
      </c>
      <c r="H118" s="703" t="str">
        <f t="shared" si="25"/>
        <v>150000(含)-180000</v>
      </c>
      <c r="I118" s="703" t="str">
        <f t="shared" si="25"/>
        <v>180000(含)-</v>
      </c>
      <c r="J118" s="2920" t="str">
        <f t="shared" si="25"/>
        <v>(含)-</v>
      </c>
      <c r="K118" s="2920" t="str">
        <f t="shared" si="25"/>
        <v>(含)-</v>
      </c>
      <c r="L118" s="2921" t="str">
        <f t="shared" si="25"/>
        <v>(含)-</v>
      </c>
      <c r="M118" s="2922"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8"/>
      <c r="B119" s="680"/>
      <c r="C119" s="729">
        <v>0</v>
      </c>
      <c r="D119" s="729">
        <v>30000</v>
      </c>
      <c r="E119" s="729">
        <v>60000</v>
      </c>
      <c r="F119" s="729">
        <v>90000</v>
      </c>
      <c r="G119" s="729">
        <v>120000</v>
      </c>
      <c r="H119" s="729">
        <v>150000</v>
      </c>
      <c r="I119" s="729">
        <v>180000</v>
      </c>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8"/>
      <c r="B120" s="677"/>
      <c r="C120" s="699">
        <v>100</v>
      </c>
      <c r="D120" s="725">
        <v>98</v>
      </c>
      <c r="E120" s="725">
        <v>96</v>
      </c>
      <c r="F120" s="725">
        <v>94</v>
      </c>
      <c r="G120" s="725">
        <v>92</v>
      </c>
      <c r="H120" s="725">
        <v>90</v>
      </c>
      <c r="I120" s="725">
        <v>88</v>
      </c>
      <c r="J120" s="725"/>
      <c r="K120" s="725"/>
      <c r="L120" s="725"/>
      <c r="M120" s="726"/>
      <c r="N120" s="2150"/>
      <c r="O120" s="2150"/>
      <c r="P120" s="2149"/>
      <c r="Q120" s="2142"/>
      <c r="R120" s="2129"/>
      <c r="S120" s="2129"/>
      <c r="T120" s="2129"/>
      <c r="U120" s="2129"/>
      <c r="V120" s="2129"/>
      <c r="W120" s="2129"/>
      <c r="X120" s="2129"/>
      <c r="Y120" s="2129"/>
      <c r="Z120" s="2129"/>
      <c r="AA120" s="2129"/>
      <c r="AB120" s="2129"/>
      <c r="AC120" s="2129"/>
    </row>
    <row r="121" spans="1:29" ht="15" thickTop="1">
      <c r="A121" s="734"/>
      <c r="B121" s="672" t="s">
        <v>594</v>
      </c>
      <c r="C121" s="717"/>
      <c r="D121" s="717"/>
      <c r="E121" s="717"/>
      <c r="F121" s="717"/>
      <c r="G121" s="717"/>
      <c r="H121" s="717"/>
      <c r="I121" s="717"/>
      <c r="J121" s="717"/>
      <c r="K121" s="718"/>
      <c r="L121" s="719"/>
      <c r="M121" s="720"/>
      <c r="N121" s="2148"/>
      <c r="O121" s="2148"/>
      <c r="P121" s="2149"/>
      <c r="Q121" s="2142"/>
      <c r="R121" s="2129"/>
      <c r="S121" s="2129"/>
      <c r="T121" s="2129"/>
      <c r="U121" s="2129"/>
      <c r="V121" s="2129"/>
      <c r="W121" s="2129"/>
      <c r="X121" s="2129"/>
      <c r="Y121" s="2129"/>
      <c r="Z121" s="2129"/>
      <c r="AA121" s="2129"/>
      <c r="AB121" s="2129"/>
      <c r="AC121" s="2129"/>
    </row>
    <row r="122" spans="1:29" ht="15.75" thickBot="1">
      <c r="A122" s="668"/>
      <c r="B122" s="677"/>
      <c r="C122" s="678">
        <v>100</v>
      </c>
      <c r="D122" s="678">
        <f t="shared" ref="D122:M122" si="26">C122-$K41</f>
        <v>100</v>
      </c>
      <c r="E122" s="678">
        <f t="shared" si="26"/>
        <v>100</v>
      </c>
      <c r="F122" s="678">
        <f t="shared" si="26"/>
        <v>100</v>
      </c>
      <c r="G122" s="678">
        <f t="shared" si="26"/>
        <v>100</v>
      </c>
      <c r="H122" s="678">
        <f t="shared" si="26"/>
        <v>100</v>
      </c>
      <c r="I122" s="678">
        <f t="shared" si="26"/>
        <v>100</v>
      </c>
      <c r="J122" s="678">
        <f t="shared" si="26"/>
        <v>100</v>
      </c>
      <c r="K122" s="678">
        <f t="shared" si="26"/>
        <v>100</v>
      </c>
      <c r="L122" s="678">
        <f t="shared" si="26"/>
        <v>100</v>
      </c>
      <c r="M122" s="679">
        <f t="shared" si="26"/>
        <v>100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4"/>
      <c r="B123" s="672" t="s">
        <v>595</v>
      </c>
      <c r="C123" s="687"/>
      <c r="D123" s="687"/>
      <c r="E123" s="687"/>
      <c r="F123" s="717"/>
      <c r="G123" s="717"/>
      <c r="H123" s="717"/>
      <c r="I123" s="717"/>
      <c r="J123" s="717"/>
      <c r="K123" s="718"/>
      <c r="L123" s="719"/>
      <c r="M123" s="720"/>
      <c r="N123" s="2148"/>
      <c r="O123" s="2148"/>
      <c r="P123" s="2149"/>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7"/>
      <c r="B125" s="1880" t="s">
        <v>2422</v>
      </c>
      <c r="C125" s="1370"/>
      <c r="D125" s="1370"/>
      <c r="E125" s="1370"/>
      <c r="F125" s="1370"/>
      <c r="G125" s="1370"/>
      <c r="H125" s="717"/>
      <c r="I125" s="717"/>
      <c r="J125" s="717"/>
      <c r="K125" s="718"/>
      <c r="L125" s="719"/>
      <c r="M125" s="720"/>
      <c r="N125" s="2151"/>
      <c r="O125" s="2151"/>
      <c r="P125" s="2152"/>
      <c r="Q125" s="2153"/>
      <c r="R125" s="2154"/>
      <c r="S125" s="2154"/>
      <c r="T125" s="2154"/>
      <c r="U125" s="2154"/>
      <c r="V125" s="2154"/>
      <c r="W125" s="2154"/>
      <c r="X125" s="2154"/>
      <c r="Y125" s="2154"/>
      <c r="Z125" s="2154"/>
      <c r="AA125" s="2154"/>
      <c r="AB125" s="2154"/>
      <c r="AC125" s="2154"/>
    </row>
    <row r="126" spans="1:29" s="1334" customFormat="1" ht="15.75" thickBot="1">
      <c r="A126" s="686"/>
      <c r="B126" s="677"/>
      <c r="C126" s="678">
        <v>100</v>
      </c>
      <c r="D126" s="678">
        <f>C126-$K43</f>
        <v>100</v>
      </c>
      <c r="E126" s="678">
        <f t="shared" ref="E126:M126" si="28">D126-$K43</f>
        <v>100</v>
      </c>
      <c r="F126" s="678">
        <f t="shared" si="28"/>
        <v>100</v>
      </c>
      <c r="G126" s="678">
        <f t="shared" si="28"/>
        <v>100</v>
      </c>
      <c r="H126" s="678">
        <f t="shared" si="28"/>
        <v>100</v>
      </c>
      <c r="I126" s="678">
        <f t="shared" si="28"/>
        <v>100</v>
      </c>
      <c r="J126" s="678">
        <f t="shared" si="28"/>
        <v>100</v>
      </c>
      <c r="K126" s="678">
        <f t="shared" si="28"/>
        <v>100</v>
      </c>
      <c r="L126" s="678">
        <f t="shared" si="28"/>
        <v>100</v>
      </c>
      <c r="M126" s="679">
        <f t="shared" si="28"/>
        <v>100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4"/>
      <c r="B127" s="672" t="s">
        <v>596</v>
      </c>
      <c r="C127" s="687"/>
      <c r="D127" s="687"/>
      <c r="E127" s="717"/>
      <c r="F127" s="717"/>
      <c r="G127" s="717"/>
      <c r="H127" s="717"/>
      <c r="I127" s="717"/>
      <c r="J127" s="717"/>
      <c r="K127" s="718"/>
      <c r="L127" s="719"/>
      <c r="M127" s="720"/>
      <c r="N127" s="2148"/>
      <c r="O127" s="2148"/>
      <c r="P127" s="2149"/>
      <c r="Q127" s="2142"/>
      <c r="R127" s="2129"/>
      <c r="S127" s="2129"/>
      <c r="T127" s="2129"/>
      <c r="U127" s="2129"/>
      <c r="V127" s="2129"/>
      <c r="W127" s="2129"/>
      <c r="X127" s="2129"/>
      <c r="Y127" s="2129"/>
      <c r="Z127" s="2129"/>
      <c r="AA127" s="2129"/>
      <c r="AB127" s="2129"/>
      <c r="AC127" s="2129"/>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4"/>
      <c r="B129" s="672">
        <f>B45</f>
        <v>111</v>
      </c>
      <c r="C129" s="687"/>
      <c r="D129" s="687"/>
      <c r="E129" s="687"/>
      <c r="F129" s="687"/>
      <c r="G129" s="687"/>
      <c r="H129" s="717"/>
      <c r="I129" s="717"/>
      <c r="J129" s="717"/>
      <c r="K129" s="718"/>
      <c r="L129" s="719"/>
      <c r="M129" s="720"/>
      <c r="N129" s="2148"/>
      <c r="O129" s="2148"/>
      <c r="P129" s="2149"/>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49"/>
      <c r="Q130" s="2142"/>
      <c r="R130" s="2129"/>
      <c r="S130" s="2129"/>
      <c r="T130" s="2129"/>
      <c r="U130" s="2129"/>
      <c r="V130" s="2129"/>
      <c r="W130" s="2129"/>
      <c r="X130" s="2129"/>
      <c r="Y130" s="2129"/>
      <c r="Z130" s="2129"/>
      <c r="AA130" s="2129"/>
      <c r="AB130" s="2129"/>
      <c r="AC130" s="2129"/>
    </row>
    <row r="131" spans="1:29" ht="15" thickTop="1">
      <c r="A131" s="734"/>
      <c r="B131" s="672">
        <f>B46</f>
        <v>111</v>
      </c>
      <c r="C131" s="660"/>
      <c r="D131" s="660"/>
      <c r="E131" s="660"/>
      <c r="F131" s="660"/>
      <c r="G131" s="717"/>
      <c r="H131" s="717"/>
      <c r="I131" s="717"/>
      <c r="J131" s="717"/>
      <c r="K131" s="718"/>
      <c r="L131" s="719"/>
      <c r="M131" s="720"/>
      <c r="N131" s="2148"/>
      <c r="O131" s="2148"/>
      <c r="P131" s="2149"/>
      <c r="Q131" s="2142"/>
      <c r="R131" s="2129"/>
      <c r="S131" s="2129"/>
      <c r="T131" s="2129"/>
      <c r="U131" s="2129"/>
      <c r="V131" s="2129"/>
      <c r="W131" s="2129"/>
      <c r="X131" s="2129"/>
      <c r="Y131" s="2129"/>
      <c r="Z131" s="2129"/>
      <c r="AA131" s="2129"/>
      <c r="AB131" s="2129"/>
      <c r="AC131" s="2129"/>
    </row>
    <row r="132" spans="1:29" ht="15.75" thickBot="1">
      <c r="A132" s="668"/>
      <c r="B132" s="677"/>
      <c r="C132" s="699"/>
      <c r="D132" s="699"/>
      <c r="E132" s="699"/>
      <c r="F132" s="699"/>
      <c r="G132" s="670"/>
      <c r="H132" s="670"/>
      <c r="I132" s="670"/>
      <c r="J132" s="670"/>
      <c r="K132" s="670"/>
      <c r="L132" s="670"/>
      <c r="M132" s="671"/>
      <c r="N132" s="2150"/>
      <c r="O132" s="2150"/>
      <c r="P132" s="2149"/>
      <c r="Q132" s="2142"/>
      <c r="R132" s="2129"/>
      <c r="S132" s="2129"/>
      <c r="T132" s="2129"/>
      <c r="U132" s="2129"/>
      <c r="V132" s="2129"/>
      <c r="W132" s="2129"/>
      <c r="X132" s="2129"/>
      <c r="Y132" s="2129"/>
      <c r="Z132" s="2129"/>
      <c r="AA132" s="2129"/>
      <c r="AB132" s="2129"/>
      <c r="AC132" s="2129"/>
    </row>
    <row r="133" spans="1:29" s="1334" customFormat="1" ht="15" thickTop="1">
      <c r="A133" s="727"/>
      <c r="B133" s="672">
        <f>B47</f>
        <v>111</v>
      </c>
      <c r="C133" s="660"/>
      <c r="D133" s="660"/>
      <c r="E133" s="660"/>
      <c r="F133" s="660"/>
      <c r="G133" s="688"/>
      <c r="H133" s="688"/>
      <c r="I133" s="688"/>
      <c r="J133" s="688"/>
      <c r="K133" s="688"/>
      <c r="L133" s="689"/>
      <c r="M133" s="690"/>
      <c r="N133" s="2151"/>
      <c r="O133" s="2151"/>
      <c r="P133" s="2152"/>
      <c r="Q133" s="2153"/>
      <c r="R133" s="2154"/>
      <c r="S133" s="2154"/>
      <c r="T133" s="2154"/>
      <c r="U133" s="2154"/>
      <c r="V133" s="2154"/>
      <c r="W133" s="2154"/>
      <c r="X133" s="2154"/>
      <c r="Y133" s="2154"/>
      <c r="Z133" s="2154"/>
      <c r="AA133" s="2154"/>
      <c r="AB133" s="2154"/>
      <c r="AC133" s="2154"/>
    </row>
    <row r="134" spans="1:29" s="1334" customFormat="1" ht="15.75" thickBot="1">
      <c r="A134" s="697"/>
      <c r="B134" s="735"/>
      <c r="C134" s="699"/>
      <c r="D134" s="699"/>
      <c r="E134" s="699"/>
      <c r="F134" s="699"/>
      <c r="G134" s="725"/>
      <c r="H134" s="725"/>
      <c r="I134" s="725"/>
      <c r="J134" s="725"/>
      <c r="K134" s="725"/>
      <c r="L134" s="725"/>
      <c r="M134" s="726"/>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 priority="14" stopIfTrue="1" operator="containsText" text="超过">
      <formula>NOT(ISERROR(SEARCH("超过",F53)))</formula>
    </cfRule>
  </conditionalFormatting>
  <conditionalFormatting sqref="J55">
    <cfRule type="containsText" dxfId="12" priority="13" stopIfTrue="1" operator="containsText" text="超过">
      <formula>NOT(ISERROR(SEARCH("超过",J55)))</formula>
    </cfRule>
  </conditionalFormatting>
  <conditionalFormatting sqref="H55">
    <cfRule type="containsText" dxfId="11" priority="12" stopIfTrue="1" operator="containsText" text="超过">
      <formula>NOT(ISERROR(SEARCH("超过",H55)))</formula>
    </cfRule>
  </conditionalFormatting>
  <conditionalFormatting sqref="F55">
    <cfRule type="containsText" dxfId="10" priority="11" stopIfTrue="1" operator="containsText" text="超过">
      <formula>NOT(ISERROR(SEARCH("超过",F55)))</formula>
    </cfRule>
  </conditionalFormatting>
  <conditionalFormatting sqref="F54 H54 J54">
    <cfRule type="containsText" dxfId="9" priority="10" stopIfTrue="1" operator="containsText" text="超过">
      <formula>NOT(ISERROR(SEARCH("超过",F54)))</formula>
    </cfRule>
  </conditionalFormatting>
  <conditionalFormatting sqref="E53">
    <cfRule type="expression" dxfId="8" priority="9" stopIfTrue="1">
      <formula>$F$53="超过30%"</formula>
    </cfRule>
  </conditionalFormatting>
  <conditionalFormatting sqref="G55">
    <cfRule type="expression" dxfId="7" priority="8" stopIfTrue="1">
      <formula>$H$55="超过30%"</formula>
    </cfRule>
  </conditionalFormatting>
  <conditionalFormatting sqref="E54">
    <cfRule type="expression" dxfId="6" priority="7" stopIfTrue="1">
      <formula>$F$54="超过20%"</formula>
    </cfRule>
  </conditionalFormatting>
  <conditionalFormatting sqref="E55">
    <cfRule type="expression" dxfId="5" priority="6" stopIfTrue="1">
      <formula>$F$55="超过30%"</formula>
    </cfRule>
  </conditionalFormatting>
  <conditionalFormatting sqref="G53">
    <cfRule type="expression" dxfId="4" priority="5" stopIfTrue="1">
      <formula>$H$55+$H$53="超过30%"</formula>
    </cfRule>
  </conditionalFormatting>
  <conditionalFormatting sqref="G54">
    <cfRule type="expression" dxfId="3" priority="4" stopIfTrue="1">
      <formula>$H$54="超过20%"</formula>
    </cfRule>
  </conditionalFormatting>
  <conditionalFormatting sqref="I53">
    <cfRule type="expression" dxfId="2" priority="3" stopIfTrue="1">
      <formula>$J$53="超过30%"</formula>
    </cfRule>
  </conditionalFormatting>
  <conditionalFormatting sqref="I54">
    <cfRule type="expression" dxfId="1" priority="2" stopIfTrue="1">
      <formula>$J$54="超过20%"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L20" sqref="L20"/>
    </sheetView>
  </sheetViews>
  <sheetFormatPr defaultColWidth="9" defaultRowHeight="12.75"/>
  <cols>
    <col min="1" max="1" width="9" style="3074"/>
    <col min="2" max="6" width="9" style="3074" customWidth="1"/>
    <col min="7" max="7" width="9" style="3113" customWidth="1"/>
    <col min="8" max="12" width="9" style="3074" customWidth="1"/>
    <col min="13" max="13" width="2.25" style="3074" customWidth="1"/>
    <col min="14" max="14" width="9" style="3113" customWidth="1"/>
    <col min="15" max="17" width="9" style="3074" customWidth="1"/>
    <col min="18" max="18" width="2.375" style="3074" customWidth="1"/>
    <col min="19" max="19" width="7.125" style="3113" customWidth="1"/>
    <col min="20" max="22" width="7.125" style="3074" customWidth="1"/>
    <col min="23" max="23" width="24" style="3074" customWidth="1"/>
    <col min="24" max="25" width="9" style="3074"/>
    <col min="26" max="27" width="11.625" style="3074" customWidth="1"/>
    <col min="28" max="28" width="9" style="3074"/>
    <col min="29" max="29" width="2" style="3074" customWidth="1"/>
    <col min="30" max="16384" width="9" style="3074"/>
  </cols>
  <sheetData>
    <row r="1" spans="1:34" s="3052" customFormat="1">
      <c r="B1" s="3568" t="s">
        <v>2572</v>
      </c>
      <c r="C1" s="3568"/>
      <c r="D1" s="3568"/>
      <c r="E1" s="3568"/>
      <c r="F1" s="3568"/>
      <c r="G1" s="3567" t="s">
        <v>2573</v>
      </c>
      <c r="H1" s="3567"/>
      <c r="I1" s="3567"/>
      <c r="J1" s="3567"/>
      <c r="K1" s="3567"/>
      <c r="L1" s="3567"/>
      <c r="N1" s="3567" t="s">
        <v>2574</v>
      </c>
      <c r="O1" s="3567"/>
      <c r="P1" s="3567"/>
      <c r="Q1" s="3567"/>
      <c r="S1" s="3567" t="s">
        <v>2575</v>
      </c>
      <c r="T1" s="3567"/>
      <c r="U1" s="3567"/>
      <c r="V1" s="3567"/>
      <c r="X1" s="3566" t="s">
        <v>2635</v>
      </c>
      <c r="Y1" s="3567"/>
      <c r="Z1" s="3567"/>
      <c r="AA1" s="3567"/>
      <c r="AB1" s="3567"/>
      <c r="AD1" s="3566" t="s">
        <v>2639</v>
      </c>
      <c r="AE1" s="3567"/>
      <c r="AF1" s="3567"/>
      <c r="AG1" s="3567"/>
      <c r="AH1" s="3567"/>
    </row>
    <row r="2" spans="1:34" s="3053" customFormat="1" ht="14.25" thickBot="1">
      <c r="B2" s="3054" t="s">
        <v>2576</v>
      </c>
      <c r="C2" s="3054" t="s">
        <v>2637</v>
      </c>
      <c r="D2" s="3055" t="s">
        <v>1644</v>
      </c>
      <c r="E2" s="3055" t="s">
        <v>1947</v>
      </c>
      <c r="F2" s="3054" t="s">
        <v>2638</v>
      </c>
      <c r="G2" s="3056"/>
      <c r="I2" s="3054" t="s">
        <v>2952</v>
      </c>
      <c r="J2" s="3055" t="s">
        <v>2954</v>
      </c>
      <c r="K2" s="3055" t="s">
        <v>2955</v>
      </c>
      <c r="L2" s="3054" t="s">
        <v>2956</v>
      </c>
      <c r="N2" s="3054" t="s">
        <v>2576</v>
      </c>
      <c r="O2" s="3055" t="s">
        <v>2953</v>
      </c>
      <c r="P2" s="3055" t="s">
        <v>1947</v>
      </c>
      <c r="Q2" s="3054" t="s">
        <v>2638</v>
      </c>
      <c r="S2" s="3054" t="s">
        <v>2576</v>
      </c>
      <c r="T2" s="3055" t="s">
        <v>2953</v>
      </c>
      <c r="U2" s="3055" t="s">
        <v>1947</v>
      </c>
      <c r="V2" s="3054" t="s">
        <v>2638</v>
      </c>
      <c r="X2" s="3054" t="s">
        <v>2576</v>
      </c>
      <c r="Y2" s="3054" t="s">
        <v>2637</v>
      </c>
      <c r="Z2" s="3055" t="s">
        <v>1644</v>
      </c>
      <c r="AA2" s="3055" t="s">
        <v>1947</v>
      </c>
      <c r="AB2" s="3054" t="s">
        <v>2638</v>
      </c>
      <c r="AD2" s="3054" t="s">
        <v>2576</v>
      </c>
      <c r="AE2" s="3054" t="s">
        <v>2637</v>
      </c>
      <c r="AF2" s="3055" t="s">
        <v>1644</v>
      </c>
      <c r="AG2" s="3055" t="s">
        <v>1947</v>
      </c>
      <c r="AH2" s="3054" t="s">
        <v>2638</v>
      </c>
    </row>
    <row r="3" spans="1:34" s="3063" customFormat="1" ht="14.25">
      <c r="A3" s="3057" t="s">
        <v>2965</v>
      </c>
      <c r="B3" s="3058"/>
      <c r="C3" s="3058"/>
      <c r="D3" s="3059"/>
      <c r="E3" s="3059"/>
      <c r="F3" s="3058"/>
      <c r="G3" s="3060"/>
      <c r="H3" s="3061"/>
      <c r="I3" s="3062">
        <f>ROUND(AVERAGE($I4:$I31),2)</f>
        <v>1.79</v>
      </c>
      <c r="J3" s="3062">
        <f>ROUND(AVERAGE($J4:$J31),2)</f>
        <v>1.2</v>
      </c>
      <c r="K3" s="3062">
        <f>ROUND(AVERAGE($K4:$K31),2)</f>
        <v>1.97</v>
      </c>
      <c r="L3" s="3062">
        <f>ROUND(AVERAGE($L4:$L31),2)</f>
        <v>1.27</v>
      </c>
      <c r="N3" s="3060"/>
      <c r="S3" s="3060"/>
      <c r="W3" s="3064"/>
      <c r="X3" s="3065">
        <f>ROUND(SUMPRODUCT(PRODUCT(1+N3:N$30)),4)</f>
        <v>1.5652999999999999</v>
      </c>
      <c r="Y3" s="3065">
        <f>ROUND(SUMPRODUCT(PRODUCT(1+O3:O$30)),4)</f>
        <v>1.3472</v>
      </c>
      <c r="Z3" s="3065">
        <f t="shared" ref="Z3" si="0">Y3</f>
        <v>1.3472</v>
      </c>
      <c r="AA3" s="3065">
        <f>ROUND(SUMPRODUCT(PRODUCT(1+P3:P$30)),4)</f>
        <v>1.6335999999999999</v>
      </c>
      <c r="AB3" s="3065">
        <f>ROUND(SUMPRODUCT(PRODUCT(1+Q3:Q$30)),4)</f>
        <v>1.3880999999999999</v>
      </c>
      <c r="AD3" s="3066">
        <f>ROUND(AVERAGE(I3:I$31)/100,4)</f>
        <v>1.7899999999999999E-2</v>
      </c>
      <c r="AE3" s="3066">
        <f>ROUND(AVERAGE(J3:J$31)/100,4)</f>
        <v>1.2E-2</v>
      </c>
      <c r="AF3" s="3066">
        <f t="shared" ref="AF3:AF29" si="1">AE3</f>
        <v>1.2E-2</v>
      </c>
      <c r="AG3" s="3066">
        <f>ROUND(AVERAGE(K3:K$31)/100,4)</f>
        <v>1.9699999999999999E-2</v>
      </c>
      <c r="AH3" s="3066">
        <f>ROUND(AVERAGE(L3:L$31)/100,4)</f>
        <v>1.2699999999999999E-2</v>
      </c>
    </row>
    <row r="4" spans="1:34" s="3067" customFormat="1" ht="14.25">
      <c r="B4" s="3068"/>
      <c r="C4" s="3068"/>
      <c r="D4" s="3069"/>
      <c r="E4" s="3069"/>
      <c r="F4" s="3068"/>
      <c r="G4" s="3070"/>
      <c r="H4" s="3071"/>
      <c r="I4" s="3072"/>
      <c r="J4" s="3072"/>
      <c r="K4" s="3072"/>
      <c r="L4" s="3072"/>
      <c r="N4" s="3070"/>
      <c r="S4" s="3070"/>
      <c r="W4" s="3073"/>
      <c r="X4" s="3074"/>
      <c r="Y4" s="3074"/>
      <c r="Z4" s="3074"/>
      <c r="AA4" s="3074"/>
      <c r="AB4" s="3074"/>
      <c r="AD4" s="3075"/>
      <c r="AE4" s="3075"/>
      <c r="AF4" s="3075"/>
      <c r="AG4" s="3075"/>
      <c r="AH4" s="3075"/>
    </row>
    <row r="5" spans="1:34" s="3080" customFormat="1">
      <c r="A5" s="3076" t="s">
        <v>2996</v>
      </c>
      <c r="B5" s="3077">
        <f>B6*(1+N5)</f>
        <v>481.4103506697644</v>
      </c>
      <c r="C5" s="3077">
        <f>C6*(1+O5)</f>
        <v>347.29066026648707</v>
      </c>
      <c r="D5" s="3077">
        <f t="shared" ref="D5" si="2">C5</f>
        <v>347.29066026648707</v>
      </c>
      <c r="E5" s="3077">
        <f>E6*(1+P5)</f>
        <v>690.85977273901995</v>
      </c>
      <c r="F5" s="3077">
        <f>F6*(1+Q5)</f>
        <v>319.13136737000184</v>
      </c>
      <c r="G5" s="3070">
        <v>2020</v>
      </c>
      <c r="H5" s="3078">
        <v>3</v>
      </c>
      <c r="I5" s="3079">
        <v>0</v>
      </c>
      <c r="J5" s="3079">
        <v>0</v>
      </c>
      <c r="K5" s="3079">
        <v>0</v>
      </c>
      <c r="L5" s="3079">
        <v>0</v>
      </c>
      <c r="N5" s="3081">
        <f t="shared" ref="N5" si="3">I5/100</f>
        <v>0</v>
      </c>
      <c r="O5" s="3081">
        <f t="shared" ref="O5" si="4">J5/100</f>
        <v>0</v>
      </c>
      <c r="P5" s="3081">
        <f t="shared" ref="P5" si="5">K5/100</f>
        <v>0</v>
      </c>
      <c r="Q5" s="3081">
        <f t="shared" ref="Q5" si="6">L5/100</f>
        <v>0</v>
      </c>
      <c r="S5" s="3082"/>
      <c r="W5" s="3083" t="s">
        <v>2966</v>
      </c>
      <c r="X5" s="3084">
        <f>ROUND(SUMPRODUCT(PRODUCT(1+N5:N$31)),4)</f>
        <v>1.6117999999999999</v>
      </c>
      <c r="Y5" s="3084">
        <f>ROUND(SUMPRODUCT(PRODUCT(1+O5:O$31)),4)</f>
        <v>1.3788</v>
      </c>
      <c r="Z5" s="3084">
        <f t="shared" ref="Z5" si="7">Y5</f>
        <v>1.3788</v>
      </c>
      <c r="AA5" s="3084">
        <f>ROUND(SUMPRODUCT(PRODUCT(1+P5:P$31)),4)</f>
        <v>1.6872</v>
      </c>
      <c r="AB5" s="3084">
        <f>ROUND(SUMPRODUCT(PRODUCT(1+Q5:Q$31)),4)</f>
        <v>1.4069</v>
      </c>
      <c r="AD5" s="3085">
        <f>ROUND(AVERAGE(I5:I$31)/100,4)</f>
        <v>1.7899999999999999E-2</v>
      </c>
      <c r="AE5" s="3085">
        <f>ROUND(AVERAGE(J5:J$31)/100,4)</f>
        <v>1.2E-2</v>
      </c>
      <c r="AF5" s="3085">
        <f t="shared" ref="AF5" si="8">AE5</f>
        <v>1.2E-2</v>
      </c>
      <c r="AG5" s="3085">
        <f>ROUND(AVERAGE(K5:K$31)/100,4)</f>
        <v>1.9699999999999999E-2</v>
      </c>
      <c r="AH5" s="3085">
        <f>ROUND(AVERAGE(L5:L$31)/100,4)</f>
        <v>1.2699999999999999E-2</v>
      </c>
    </row>
    <row r="6" spans="1:34" s="3093" customFormat="1">
      <c r="A6" s="3086" t="s">
        <v>2995</v>
      </c>
      <c r="B6" s="3087">
        <f t="shared" ref="B6" si="9">B7*(1+N6)</f>
        <v>481.4103506697644</v>
      </c>
      <c r="C6" s="3087">
        <f t="shared" ref="C6" si="10">C7*(1+O6)</f>
        <v>347.29066026648707</v>
      </c>
      <c r="D6" s="3087">
        <f t="shared" ref="D6" si="11">C6</f>
        <v>347.29066026648707</v>
      </c>
      <c r="E6" s="3087">
        <f t="shared" ref="E6" si="12">E7*(1+P6)</f>
        <v>690.85977273901995</v>
      </c>
      <c r="F6" s="3087">
        <f t="shared" ref="F6" si="13">F7*(1+Q6)</f>
        <v>319.13136737000184</v>
      </c>
      <c r="G6" s="3070">
        <v>2020</v>
      </c>
      <c r="H6" s="3088">
        <v>2</v>
      </c>
      <c r="I6" s="3050">
        <v>0.31</v>
      </c>
      <c r="J6" s="3050">
        <v>-0.78</v>
      </c>
      <c r="K6" s="3050">
        <v>0.5</v>
      </c>
      <c r="L6" s="3051">
        <v>0.47</v>
      </c>
      <c r="M6" s="3074"/>
      <c r="N6" s="3089">
        <f t="shared" ref="N6" si="14">I6/100</f>
        <v>3.0999999999999999E-3</v>
      </c>
      <c r="O6" s="3075">
        <f t="shared" ref="O6" si="15">J6/100</f>
        <v>-7.8000000000000005E-3</v>
      </c>
      <c r="P6" s="3075">
        <f t="shared" ref="P6" si="16">K6/100</f>
        <v>5.0000000000000001E-3</v>
      </c>
      <c r="Q6" s="3075">
        <f t="shared" ref="Q6" si="17">L6/100</f>
        <v>4.6999999999999993E-3</v>
      </c>
      <c r="R6" s="3090"/>
      <c r="S6" s="3091"/>
      <c r="T6" s="3092"/>
      <c r="U6" s="3092"/>
      <c r="V6" s="3092"/>
      <c r="W6" s="3074"/>
      <c r="X6" s="3074">
        <f>ROUND(SUMPRODUCT(PRODUCT(1+N6:N$31)),4)</f>
        <v>1.6117999999999999</v>
      </c>
      <c r="Y6" s="3074">
        <f>ROUND(SUMPRODUCT(PRODUCT(1+O6:O$31)),4)</f>
        <v>1.3788</v>
      </c>
      <c r="Z6" s="3074">
        <f t="shared" ref="Z6" si="18">Y6</f>
        <v>1.3788</v>
      </c>
      <c r="AA6" s="3074">
        <f>ROUND(SUMPRODUCT(PRODUCT(1+P6:P$31)),4)</f>
        <v>1.6872</v>
      </c>
      <c r="AB6" s="3074">
        <f>ROUND(SUMPRODUCT(PRODUCT(1+Q6:Q$31)),4)</f>
        <v>1.4069</v>
      </c>
      <c r="AC6" s="3074"/>
      <c r="AD6" s="3075">
        <f>ROUND(AVERAGE(I6:I$31)/100,4)</f>
        <v>1.8599999999999998E-2</v>
      </c>
      <c r="AE6" s="3075">
        <f>ROUND(AVERAGE(J6:J$31)/100,4)</f>
        <v>1.2500000000000001E-2</v>
      </c>
      <c r="AF6" s="3075">
        <f t="shared" ref="AF6" si="19">AE6</f>
        <v>1.2500000000000001E-2</v>
      </c>
      <c r="AG6" s="3075">
        <f>ROUND(AVERAGE(K6:K$31)/100,4)</f>
        <v>2.0400000000000001E-2</v>
      </c>
      <c r="AH6" s="3075">
        <f>ROUND(AVERAGE(L6:L$31)/100,4)</f>
        <v>1.32E-2</v>
      </c>
    </row>
    <row r="7" spans="1:34" s="3093" customFormat="1">
      <c r="A7" s="3086" t="s">
        <v>2994</v>
      </c>
      <c r="B7" s="3087">
        <f t="shared" ref="B7" si="20">B8*(1+N7)</f>
        <v>479.92259063878413</v>
      </c>
      <c r="C7" s="3087">
        <f t="shared" ref="C7" si="21">C8*(1+O7)</f>
        <v>350.02082268341775</v>
      </c>
      <c r="D7" s="3087">
        <f t="shared" ref="D7" si="22">C7</f>
        <v>350.02082268341775</v>
      </c>
      <c r="E7" s="3087">
        <f t="shared" ref="E7" si="23">E8*(1+P7)</f>
        <v>687.42265944181099</v>
      </c>
      <c r="F7" s="3087">
        <f t="shared" ref="F7" si="24">F8*(1+Q7)</f>
        <v>317.63846657708956</v>
      </c>
      <c r="G7" s="3070">
        <v>2020</v>
      </c>
      <c r="H7" s="3088">
        <v>1</v>
      </c>
      <c r="I7" s="3050">
        <v>0.12</v>
      </c>
      <c r="J7" s="3050">
        <v>-0.4</v>
      </c>
      <c r="K7" s="3050">
        <v>0.21</v>
      </c>
      <c r="L7" s="3051">
        <v>0.27</v>
      </c>
      <c r="M7" s="3074"/>
      <c r="N7" s="3089">
        <f t="shared" ref="N7" si="25">I7/100</f>
        <v>1.1999999999999999E-3</v>
      </c>
      <c r="O7" s="3075">
        <f t="shared" ref="O7" si="26">J7/100</f>
        <v>-4.0000000000000001E-3</v>
      </c>
      <c r="P7" s="3075">
        <f t="shared" ref="P7" si="27">K7/100</f>
        <v>2.0999999999999999E-3</v>
      </c>
      <c r="Q7" s="3075">
        <f t="shared" ref="Q7" si="28">L7/100</f>
        <v>2.7000000000000001E-3</v>
      </c>
      <c r="R7" s="3090"/>
      <c r="S7" s="3091">
        <f>B7/B8-1</f>
        <v>1.2000000000000899E-3</v>
      </c>
      <c r="T7" s="3092">
        <f>C7/C8-1</f>
        <v>-4.0000000000000036E-3</v>
      </c>
      <c r="U7" s="3092">
        <f>E7/E8-1</f>
        <v>2.0999999999999908E-3</v>
      </c>
      <c r="V7" s="3092">
        <f>F7/F8-1</f>
        <v>2.6999999999999247E-3</v>
      </c>
      <c r="W7" s="3074"/>
      <c r="X7" s="3074">
        <f>ROUND(SUMPRODUCT(PRODUCT(1+N7:N$31)),4)</f>
        <v>1.6068</v>
      </c>
      <c r="Y7" s="3074">
        <f>ROUND(SUMPRODUCT(PRODUCT(1+O7:O$31)),4)</f>
        <v>1.3895999999999999</v>
      </c>
      <c r="Z7" s="3074">
        <f t="shared" ref="Z7" si="29">Y7</f>
        <v>1.3895999999999999</v>
      </c>
      <c r="AA7" s="3074">
        <f>ROUND(SUMPRODUCT(PRODUCT(1+P7:P$31)),4)</f>
        <v>1.6788000000000001</v>
      </c>
      <c r="AB7" s="3074">
        <f>ROUND(SUMPRODUCT(PRODUCT(1+Q7:Q$31)),4)</f>
        <v>1.4004000000000001</v>
      </c>
      <c r="AC7" s="3074"/>
      <c r="AD7" s="3075">
        <f>ROUND(AVERAGE(I7:I$31)/100,4)</f>
        <v>1.9199999999999998E-2</v>
      </c>
      <c r="AE7" s="3075">
        <f>ROUND(AVERAGE(J7:J$31)/100,4)</f>
        <v>1.3299999999999999E-2</v>
      </c>
      <c r="AF7" s="3075">
        <f t="shared" ref="AF7" si="30">AE7</f>
        <v>1.3299999999999999E-2</v>
      </c>
      <c r="AG7" s="3075">
        <f>ROUND(AVERAGE(K7:K$31)/100,4)</f>
        <v>2.1100000000000001E-2</v>
      </c>
      <c r="AH7" s="3075">
        <f>ROUND(AVERAGE(L7:L$31)/100,4)</f>
        <v>1.3599999999999999E-2</v>
      </c>
    </row>
    <row r="8" spans="1:34" s="3093" customFormat="1">
      <c r="A8" s="3086" t="s">
        <v>2993</v>
      </c>
      <c r="B8" s="3087">
        <f t="shared" ref="B8" si="31">B9*(1+N8)</f>
        <v>479.34737379023579</v>
      </c>
      <c r="C8" s="3087">
        <f t="shared" ref="C8" si="32">C9*(1+O8)</f>
        <v>351.4265287986122</v>
      </c>
      <c r="D8" s="3087">
        <f t="shared" ref="D8" si="33">C8</f>
        <v>351.4265287986122</v>
      </c>
      <c r="E8" s="3087">
        <f t="shared" ref="E8" si="34">E9*(1+P8)</f>
        <v>685.98209703803116</v>
      </c>
      <c r="F8" s="3087">
        <f t="shared" ref="F8" si="35">F9*(1+Q8)</f>
        <v>316.78315206651001</v>
      </c>
      <c r="G8" s="3070">
        <v>2019</v>
      </c>
      <c r="H8" s="3088">
        <v>4</v>
      </c>
      <c r="I8" s="3088">
        <v>0.45</v>
      </c>
      <c r="J8" s="3088">
        <v>-0.12</v>
      </c>
      <c r="K8" s="3088">
        <v>0.54</v>
      </c>
      <c r="L8" s="3094">
        <v>0.48</v>
      </c>
      <c r="M8" s="3074"/>
      <c r="N8" s="3089">
        <f t="shared" ref="N8" si="36">I8/100</f>
        <v>4.5000000000000005E-3</v>
      </c>
      <c r="O8" s="3075">
        <f t="shared" ref="O8" si="37">J8/100</f>
        <v>-1.1999999999999999E-3</v>
      </c>
      <c r="P8" s="3075">
        <f t="shared" ref="P8" si="38">K8/100</f>
        <v>5.4000000000000003E-3</v>
      </c>
      <c r="Q8" s="3075">
        <f t="shared" ref="Q8" si="39">L8/100</f>
        <v>4.7999999999999996E-3</v>
      </c>
      <c r="R8" s="3090"/>
      <c r="S8" s="3091"/>
      <c r="T8" s="3092"/>
      <c r="U8" s="3092"/>
      <c r="V8" s="3092"/>
      <c r="W8" s="3074"/>
      <c r="X8" s="3074">
        <f>ROUND(SUMPRODUCT(PRODUCT(1+N8:N$31)),4)</f>
        <v>1.6049</v>
      </c>
      <c r="Y8" s="3074">
        <f>ROUND(SUMPRODUCT(PRODUCT(1+O8:O$31)),4)</f>
        <v>1.3952</v>
      </c>
      <c r="Z8" s="3074">
        <f t="shared" ref="Z8:Z11" si="40">Y8</f>
        <v>1.3952</v>
      </c>
      <c r="AA8" s="3074">
        <f>ROUND(SUMPRODUCT(PRODUCT(1+P8:P$31)),4)</f>
        <v>1.6753</v>
      </c>
      <c r="AB8" s="3074">
        <f>ROUND(SUMPRODUCT(PRODUCT(1+Q8:Q$31)),4)</f>
        <v>1.3966000000000001</v>
      </c>
      <c r="AC8" s="3074"/>
      <c r="AD8" s="3075">
        <f>ROUND(AVERAGE(I8:I$31)/100,4)</f>
        <v>0.02</v>
      </c>
      <c r="AE8" s="3075">
        <f>ROUND(AVERAGE(J8:J$31)/100,4)</f>
        <v>1.4E-2</v>
      </c>
      <c r="AF8" s="3075">
        <f t="shared" ref="AF8" si="41">AE8</f>
        <v>1.4E-2</v>
      </c>
      <c r="AG8" s="3075">
        <f>ROUND(AVERAGE(K8:K$31)/100,4)</f>
        <v>2.1899999999999999E-2</v>
      </c>
      <c r="AH8" s="3075">
        <f>ROUND(AVERAGE(L8:L$31)/100,4)</f>
        <v>1.4E-2</v>
      </c>
    </row>
    <row r="9" spans="1:34" s="3093" customFormat="1" ht="13.5" thickBot="1">
      <c r="A9" s="3086" t="s">
        <v>2989</v>
      </c>
      <c r="B9" s="3087">
        <f t="shared" ref="B9" si="42">B10*(1+N9)</f>
        <v>477.19997390765138</v>
      </c>
      <c r="C9" s="3087">
        <f t="shared" ref="C9" si="43">C10*(1+O9)</f>
        <v>351.84874729536665</v>
      </c>
      <c r="D9" s="3087">
        <f t="shared" ref="D9" si="44">C9</f>
        <v>351.84874729536665</v>
      </c>
      <c r="E9" s="3087">
        <f t="shared" ref="E9" si="45">E10*(1+P9)</f>
        <v>682.29768951465201</v>
      </c>
      <c r="F9" s="3087">
        <f t="shared" ref="F9" si="46">F10*(1+Q9)</f>
        <v>315.26985675409043</v>
      </c>
      <c r="G9" s="3070">
        <v>2019</v>
      </c>
      <c r="H9" s="3088">
        <v>3</v>
      </c>
      <c r="I9" s="3088">
        <v>0.61</v>
      </c>
      <c r="J9" s="3088">
        <v>0.67</v>
      </c>
      <c r="K9" s="3088">
        <v>0.6</v>
      </c>
      <c r="L9" s="3094">
        <v>1.03</v>
      </c>
      <c r="M9" s="3074"/>
      <c r="N9" s="3089">
        <f t="shared" ref="N9" si="47">I9/100</f>
        <v>6.0999999999999995E-3</v>
      </c>
      <c r="O9" s="3075">
        <f t="shared" ref="O9" si="48">J9/100</f>
        <v>6.7000000000000002E-3</v>
      </c>
      <c r="P9" s="3075">
        <f t="shared" ref="P9" si="49">K9/100</f>
        <v>6.0000000000000001E-3</v>
      </c>
      <c r="Q9" s="3075">
        <f t="shared" ref="Q9" si="50">L9/100</f>
        <v>1.03E-2</v>
      </c>
      <c r="R9" s="3090"/>
      <c r="S9" s="3091"/>
      <c r="T9" s="3092"/>
      <c r="U9" s="3092"/>
      <c r="V9" s="3092"/>
      <c r="W9" s="3074"/>
      <c r="X9" s="3074">
        <f>ROUND(SUMPRODUCT(PRODUCT(1+N9:N$31)),4)</f>
        <v>1.5976999999999999</v>
      </c>
      <c r="Y9" s="3074">
        <f>ROUND(SUMPRODUCT(PRODUCT(1+O9:O$31)),4)</f>
        <v>1.3969</v>
      </c>
      <c r="Z9" s="3074">
        <f t="shared" si="40"/>
        <v>1.3969</v>
      </c>
      <c r="AA9" s="3074">
        <f>ROUND(SUMPRODUCT(PRODUCT(1+P9:P$31)),4)</f>
        <v>1.6662999999999999</v>
      </c>
      <c r="AB9" s="3074">
        <f>ROUND(SUMPRODUCT(PRODUCT(1+Q9:Q$31)),4)</f>
        <v>1.3898999999999999</v>
      </c>
      <c r="AC9" s="3074"/>
      <c r="AD9" s="3075">
        <f>ROUND(AVERAGE(I9:I$31)/100,4)</f>
        <v>2.07E-2</v>
      </c>
      <c r="AE9" s="3075">
        <f>ROUND(AVERAGE(J9:J$31)/100,4)</f>
        <v>1.47E-2</v>
      </c>
      <c r="AF9" s="3075">
        <f t="shared" ref="AF9" si="51">AE9</f>
        <v>1.47E-2</v>
      </c>
      <c r="AG9" s="3075">
        <f>ROUND(AVERAGE(K9:K$31)/100,4)</f>
        <v>2.2599999999999999E-2</v>
      </c>
      <c r="AH9" s="3075">
        <f>ROUND(AVERAGE(L9:L$31)/100,4)</f>
        <v>1.44E-2</v>
      </c>
    </row>
    <row r="10" spans="1:34" s="3093" customFormat="1">
      <c r="A10" s="3086" t="s">
        <v>2986</v>
      </c>
      <c r="B10" s="3087">
        <f t="shared" ref="B10:B15" si="52">B11*(1+N10)</f>
        <v>474.30670301923408</v>
      </c>
      <c r="C10" s="3087">
        <f t="shared" ref="C10" si="53">C11*(1+O10)</f>
        <v>349.50705005996491</v>
      </c>
      <c r="D10" s="3087">
        <f t="shared" ref="D10" si="54">C10</f>
        <v>349.50705005996491</v>
      </c>
      <c r="E10" s="3087">
        <f t="shared" ref="E10" si="55">E11*(1+P10)</f>
        <v>678.22831959706957</v>
      </c>
      <c r="F10" s="3087">
        <f t="shared" ref="F10" si="56">F11*(1+Q10)</f>
        <v>312.0556832169558</v>
      </c>
      <c r="G10" s="3070">
        <v>2019</v>
      </c>
      <c r="H10" s="3095">
        <v>2</v>
      </c>
      <c r="I10" s="3095">
        <v>1.53</v>
      </c>
      <c r="J10" s="3095">
        <v>1.01</v>
      </c>
      <c r="K10" s="3095">
        <v>1.62</v>
      </c>
      <c r="L10" s="3096">
        <v>1.25</v>
      </c>
      <c r="M10" s="3074"/>
      <c r="N10" s="3089">
        <f t="shared" ref="N10" si="57">I10/100</f>
        <v>1.5300000000000001E-2</v>
      </c>
      <c r="O10" s="3075">
        <f t="shared" ref="O10" si="58">J10/100</f>
        <v>1.01E-2</v>
      </c>
      <c r="P10" s="3075">
        <f t="shared" ref="P10" si="59">K10/100</f>
        <v>1.6200000000000003E-2</v>
      </c>
      <c r="Q10" s="3075">
        <f t="shared" ref="Q10" si="60">L10/100</f>
        <v>1.2500000000000001E-2</v>
      </c>
      <c r="R10" s="3090"/>
      <c r="S10" s="3091"/>
      <c r="T10" s="3092"/>
      <c r="U10" s="3092"/>
      <c r="V10" s="3092"/>
      <c r="W10" s="3074"/>
      <c r="X10" s="3074">
        <f>ROUND(SUMPRODUCT(PRODUCT(1+N10:N$31)),4)</f>
        <v>1.5880000000000001</v>
      </c>
      <c r="Y10" s="3074">
        <f>ROUND(SUMPRODUCT(PRODUCT(1+O10:O$31)),4)</f>
        <v>1.3875999999999999</v>
      </c>
      <c r="Z10" s="3074">
        <f t="shared" si="40"/>
        <v>1.3875999999999999</v>
      </c>
      <c r="AA10" s="3074">
        <f>ROUND(SUMPRODUCT(PRODUCT(1+P10:P$31)),4)</f>
        <v>1.6563000000000001</v>
      </c>
      <c r="AB10" s="3074">
        <f>ROUND(SUMPRODUCT(PRODUCT(1+Q10:Q$31)),4)</f>
        <v>1.3756999999999999</v>
      </c>
      <c r="AC10" s="3074"/>
      <c r="AD10" s="3075">
        <f>ROUND(AVERAGE(I10:I$31)/100,4)</f>
        <v>2.1299999999999999E-2</v>
      </c>
      <c r="AE10" s="3075">
        <f>ROUND(AVERAGE(J10:J$31)/100,4)</f>
        <v>1.4999999999999999E-2</v>
      </c>
      <c r="AF10" s="3075">
        <f t="shared" ref="AF10" si="61">AE10</f>
        <v>1.4999999999999999E-2</v>
      </c>
      <c r="AG10" s="3075">
        <f>ROUND(AVERAGE(K10:K$31)/100,4)</f>
        <v>2.3300000000000001E-2</v>
      </c>
      <c r="AH10" s="3075">
        <f>ROUND(AVERAGE(L10:L$31)/100,4)</f>
        <v>1.46E-2</v>
      </c>
    </row>
    <row r="11" spans="1:34" s="3093" customFormat="1" ht="13.5" thickBot="1">
      <c r="A11" s="3086" t="s">
        <v>2985</v>
      </c>
      <c r="B11" s="3087">
        <f t="shared" si="52"/>
        <v>467.15916775261894</v>
      </c>
      <c r="C11" s="3087">
        <f t="shared" ref="C11" si="62">C12*(1+O11)</f>
        <v>346.01232557169084</v>
      </c>
      <c r="D11" s="3087">
        <f t="shared" ref="D11" si="63">C11</f>
        <v>346.01232557169084</v>
      </c>
      <c r="E11" s="3087">
        <f t="shared" ref="E11" si="64">E12*(1+P11)</f>
        <v>667.41617752122568</v>
      </c>
      <c r="F11" s="3087">
        <f t="shared" ref="F11" si="65">F12*(1+Q11)</f>
        <v>308.20314391798104</v>
      </c>
      <c r="G11" s="3070">
        <v>2019</v>
      </c>
      <c r="H11" s="3088">
        <v>1</v>
      </c>
      <c r="I11" s="3088">
        <v>0.6</v>
      </c>
      <c r="J11" s="3088">
        <v>0.37</v>
      </c>
      <c r="K11" s="3088">
        <v>0.63</v>
      </c>
      <c r="L11" s="3094">
        <v>1.1299999999999999</v>
      </c>
      <c r="M11" s="3074"/>
      <c r="N11" s="3089">
        <f t="shared" ref="N11" si="66">I11/100</f>
        <v>6.0000000000000001E-3</v>
      </c>
      <c r="O11" s="3075">
        <f t="shared" ref="O11" si="67">J11/100</f>
        <v>3.7000000000000002E-3</v>
      </c>
      <c r="P11" s="3075">
        <f t="shared" ref="P11" si="68">K11/100</f>
        <v>6.3E-3</v>
      </c>
      <c r="Q11" s="3075">
        <f t="shared" ref="Q11" si="69">L11/100</f>
        <v>1.1299999999999999E-2</v>
      </c>
      <c r="R11" s="3090"/>
      <c r="S11" s="3091">
        <f>B11/B12-1</f>
        <v>6.0000000000000053E-3</v>
      </c>
      <c r="T11" s="3092">
        <f>C11/C12-1</f>
        <v>3.7000000000000366E-3</v>
      </c>
      <c r="U11" s="3092">
        <f>E11/E12-1</f>
        <v>6.2999999999999723E-3</v>
      </c>
      <c r="V11" s="3092">
        <f>F11/F12-1</f>
        <v>1.1300000000000088E-2</v>
      </c>
      <c r="W11" s="3074"/>
      <c r="X11" s="3097">
        <f>ROUND(SUMPRODUCT(PRODUCT(1+N11:N$31)),4)</f>
        <v>1.5641</v>
      </c>
      <c r="Y11" s="3097">
        <f>ROUND(SUMPRODUCT(PRODUCT(1+O11:O$31)),4)</f>
        <v>1.3736999999999999</v>
      </c>
      <c r="Z11" s="3097">
        <f t="shared" si="40"/>
        <v>1.3736999999999999</v>
      </c>
      <c r="AA11" s="3097">
        <f>ROUND(SUMPRODUCT(PRODUCT(1+P11:P$31)),4)</f>
        <v>1.6298999999999999</v>
      </c>
      <c r="AB11" s="3097">
        <f>ROUND(SUMPRODUCT(PRODUCT(1+Q11:Q$31)),4)</f>
        <v>1.3588</v>
      </c>
      <c r="AC11" s="3074"/>
      <c r="AD11" s="3075">
        <f>ROUND(AVERAGE(I11:I$31)/100,4)</f>
        <v>2.1600000000000001E-2</v>
      </c>
      <c r="AE11" s="3075">
        <f>ROUND(AVERAGE(J11:J$31)/100,4)</f>
        <v>1.5299999999999999E-2</v>
      </c>
      <c r="AF11" s="3075">
        <f t="shared" ref="AF11" si="70">AE11</f>
        <v>1.5299999999999999E-2</v>
      </c>
      <c r="AG11" s="3075">
        <f>ROUND(AVERAGE(K11:K$31)/100,4)</f>
        <v>2.3699999999999999E-2</v>
      </c>
      <c r="AH11" s="3075">
        <f>ROUND(AVERAGE(L11:L$31)/100,4)</f>
        <v>1.47E-2</v>
      </c>
    </row>
    <row r="12" spans="1:34" s="3093" customFormat="1">
      <c r="A12" s="3086" t="s">
        <v>2982</v>
      </c>
      <c r="B12" s="3098">
        <f t="shared" si="52"/>
        <v>464.37293017158942</v>
      </c>
      <c r="C12" s="3098">
        <f t="shared" ref="C12" si="71">C13*(1+O12)</f>
        <v>344.73679941385956</v>
      </c>
      <c r="D12" s="3098">
        <f t="shared" ref="D12" si="72">C12</f>
        <v>344.73679941385956</v>
      </c>
      <c r="E12" s="3098">
        <f t="shared" ref="E12" si="73">E13*(1+P12)</f>
        <v>663.2377795103107</v>
      </c>
      <c r="F12" s="3099">
        <f t="shared" ref="F12" si="74">F13*(1+Q12)</f>
        <v>304.75936311478398</v>
      </c>
      <c r="G12" s="3570">
        <v>2018</v>
      </c>
      <c r="H12" s="3095">
        <v>4</v>
      </c>
      <c r="I12" s="3095">
        <v>0.96</v>
      </c>
      <c r="J12" s="3095">
        <v>1.03</v>
      </c>
      <c r="K12" s="3095">
        <v>0.92</v>
      </c>
      <c r="L12" s="3096">
        <v>1.29</v>
      </c>
      <c r="M12" s="3074"/>
      <c r="N12" s="3089">
        <f t="shared" ref="N12" si="75">I12/100</f>
        <v>9.5999999999999992E-3</v>
      </c>
      <c r="O12" s="3075">
        <f t="shared" ref="O12" si="76">J12/100</f>
        <v>1.03E-2</v>
      </c>
      <c r="P12" s="3075">
        <f t="shared" ref="P12" si="77">K12/100</f>
        <v>9.1999999999999998E-3</v>
      </c>
      <c r="Q12" s="3075">
        <f t="shared" ref="Q12" si="78">L12/100</f>
        <v>1.29E-2</v>
      </c>
      <c r="R12" s="3090"/>
      <c r="S12" s="3100"/>
      <c r="T12" s="3101"/>
      <c r="U12" s="3101"/>
      <c r="V12" s="3101"/>
      <c r="W12" s="3074"/>
      <c r="X12" s="3097">
        <f>ROUND(SUMPRODUCT(PRODUCT(1+N12:N$31)),4)</f>
        <v>1.5548</v>
      </c>
      <c r="Y12" s="3097">
        <f>ROUND(SUMPRODUCT(PRODUCT(1+O12:O$31)),4)</f>
        <v>1.3686</v>
      </c>
      <c r="Z12" s="3097">
        <f t="shared" ref="Z12:Z30" si="79">Y12</f>
        <v>1.3686</v>
      </c>
      <c r="AA12" s="3097">
        <f>ROUND(SUMPRODUCT(PRODUCT(1+P12:P$31)),4)</f>
        <v>1.6196999999999999</v>
      </c>
      <c r="AB12" s="3097">
        <f>ROUND(SUMPRODUCT(PRODUCT(1+Q12:Q$31)),4)</f>
        <v>1.3435999999999999</v>
      </c>
      <c r="AC12" s="3074"/>
      <c r="AD12" s="3075">
        <f>ROUND(AVERAGE(I12:I$31)/100,4)</f>
        <v>2.24E-2</v>
      </c>
      <c r="AE12" s="3075">
        <f>ROUND(AVERAGE(J12:J$31)/100,4)</f>
        <v>1.5800000000000002E-2</v>
      </c>
      <c r="AF12" s="3075">
        <f t="shared" ref="AF12" si="80">AE12</f>
        <v>1.5800000000000002E-2</v>
      </c>
      <c r="AG12" s="3075">
        <f>ROUND(AVERAGE(K12:K$31)/100,4)</f>
        <v>2.4500000000000001E-2</v>
      </c>
      <c r="AH12" s="3075">
        <f>ROUND(AVERAGE(L12:L$31)/100,4)</f>
        <v>1.49E-2</v>
      </c>
    </row>
    <row r="13" spans="1:34" s="3093" customFormat="1" ht="14.45" customHeight="1">
      <c r="A13" s="3086" t="s">
        <v>2975</v>
      </c>
      <c r="B13" s="3087">
        <f t="shared" si="52"/>
        <v>459.95733971036987</v>
      </c>
      <c r="C13" s="3087">
        <f t="shared" ref="C13" si="81">C14*(1+O13)</f>
        <v>341.22221064422405</v>
      </c>
      <c r="D13" s="3087">
        <f t="shared" ref="D13" si="82">C13</f>
        <v>341.22221064422405</v>
      </c>
      <c r="E13" s="3087">
        <f t="shared" ref="E13" si="83">E14*(1+P13)</f>
        <v>657.19161663724799</v>
      </c>
      <c r="F13" s="3087">
        <f t="shared" ref="F13" si="84">F14*(1+Q13)</f>
        <v>300.87803644464805</v>
      </c>
      <c r="G13" s="3570"/>
      <c r="H13" s="3088">
        <v>3</v>
      </c>
      <c r="I13" s="3088">
        <v>1.51</v>
      </c>
      <c r="J13" s="3088">
        <v>1.41</v>
      </c>
      <c r="K13" s="3088">
        <v>1.52</v>
      </c>
      <c r="L13" s="3094">
        <v>1.74</v>
      </c>
      <c r="M13" s="3074"/>
      <c r="N13" s="3089">
        <f t="shared" ref="N13" si="85">I13/100</f>
        <v>1.5100000000000001E-2</v>
      </c>
      <c r="O13" s="3075">
        <f t="shared" ref="O13" si="86">J13/100</f>
        <v>1.41E-2</v>
      </c>
      <c r="P13" s="3075">
        <f t="shared" ref="P13" si="87">K13/100</f>
        <v>1.52E-2</v>
      </c>
      <c r="Q13" s="3075">
        <f t="shared" ref="Q13" si="88">L13/100</f>
        <v>1.7399999999999999E-2</v>
      </c>
      <c r="R13" s="3090"/>
      <c r="S13" s="3089"/>
      <c r="T13" s="3075"/>
      <c r="U13" s="3075"/>
      <c r="V13" s="3075"/>
      <c r="W13" s="3074"/>
      <c r="X13" s="3097">
        <f>ROUND(SUMPRODUCT(PRODUCT(1+N13:N$31)),4)</f>
        <v>1.54</v>
      </c>
      <c r="Y13" s="3097">
        <f>ROUND(SUMPRODUCT(PRODUCT(1+O13:O$31)),4)</f>
        <v>1.3547</v>
      </c>
      <c r="Z13" s="3097">
        <f t="shared" si="79"/>
        <v>1.3547</v>
      </c>
      <c r="AA13" s="3097">
        <f>ROUND(SUMPRODUCT(PRODUCT(1+P13:P$31)),4)</f>
        <v>1.605</v>
      </c>
      <c r="AB13" s="3097">
        <f>ROUND(SUMPRODUCT(PRODUCT(1+Q13:Q$31)),4)</f>
        <v>1.3265</v>
      </c>
      <c r="AC13" s="3074"/>
      <c r="AD13" s="3075">
        <f>ROUND(AVERAGE(I13:I$31)/100,4)</f>
        <v>2.3099999999999999E-2</v>
      </c>
      <c r="AE13" s="3075">
        <f>ROUND(AVERAGE(J13:J$31)/100,4)</f>
        <v>1.61E-2</v>
      </c>
      <c r="AF13" s="3075">
        <f t="shared" ref="AF13" si="89">AE13</f>
        <v>1.61E-2</v>
      </c>
      <c r="AG13" s="3075">
        <f>ROUND(AVERAGE(K13:K$31)/100,4)</f>
        <v>2.53E-2</v>
      </c>
      <c r="AH13" s="3075">
        <f>ROUND(AVERAGE(L13:L$31)/100,4)</f>
        <v>1.4999999999999999E-2</v>
      </c>
    </row>
    <row r="14" spans="1:34" s="3093" customFormat="1" ht="14.45" customHeight="1">
      <c r="A14" s="3086" t="s">
        <v>2976</v>
      </c>
      <c r="B14" s="3087">
        <f t="shared" si="52"/>
        <v>453.11529869999993</v>
      </c>
      <c r="C14" s="3087">
        <f t="shared" ref="C14" si="90">C15*(1+O14)</f>
        <v>336.47787264000004</v>
      </c>
      <c r="D14" s="3087">
        <f t="shared" ref="D14" si="91">C14</f>
        <v>336.47787264000004</v>
      </c>
      <c r="E14" s="3087">
        <f t="shared" ref="E14" si="92">E15*(1+P14)</f>
        <v>647.35186823999993</v>
      </c>
      <c r="F14" s="3087">
        <f t="shared" ref="F14" si="93">F15*(1+Q14)</f>
        <v>295.73229452000004</v>
      </c>
      <c r="G14" s="3570"/>
      <c r="H14" s="3102">
        <v>2</v>
      </c>
      <c r="I14" s="3102">
        <v>1.49</v>
      </c>
      <c r="J14" s="3102">
        <v>0.96</v>
      </c>
      <c r="K14" s="3102">
        <v>1.58</v>
      </c>
      <c r="L14" s="3103">
        <v>2.44</v>
      </c>
      <c r="M14" s="3074"/>
      <c r="N14" s="3089">
        <f t="shared" ref="N14" si="94">I14/100</f>
        <v>1.49E-2</v>
      </c>
      <c r="O14" s="3075">
        <f t="shared" ref="O14" si="95">J14/100</f>
        <v>9.5999999999999992E-3</v>
      </c>
      <c r="P14" s="3075">
        <f t="shared" ref="P14" si="96">K14/100</f>
        <v>1.5800000000000002E-2</v>
      </c>
      <c r="Q14" s="3075">
        <f t="shared" ref="Q14" si="97">L14/100</f>
        <v>2.4399999999999998E-2</v>
      </c>
      <c r="R14" s="3090"/>
      <c r="S14" s="3089"/>
      <c r="T14" s="3075"/>
      <c r="U14" s="3075"/>
      <c r="V14" s="3075"/>
      <c r="W14" s="3074"/>
      <c r="X14" s="3097">
        <f>ROUND(SUMPRODUCT(PRODUCT(1+N14:N$31)),4)</f>
        <v>1.5170999999999999</v>
      </c>
      <c r="Y14" s="3097">
        <f>ROUND(SUMPRODUCT(PRODUCT(1+O14:O$31)),4)</f>
        <v>1.3358000000000001</v>
      </c>
      <c r="Z14" s="3097">
        <f t="shared" si="79"/>
        <v>1.3358000000000001</v>
      </c>
      <c r="AA14" s="3097">
        <f>ROUND(SUMPRODUCT(PRODUCT(1+P14:P$31)),4)</f>
        <v>1.5809</v>
      </c>
      <c r="AB14" s="3097">
        <f>ROUND(SUMPRODUCT(PRODUCT(1+Q14:Q$31)),4)</f>
        <v>1.3038000000000001</v>
      </c>
      <c r="AC14" s="3074"/>
      <c r="AD14" s="3075">
        <f>ROUND(AVERAGE(I14:I$31)/100,4)</f>
        <v>2.35E-2</v>
      </c>
      <c r="AE14" s="3075">
        <f>ROUND(AVERAGE(J14:J$31)/100,4)</f>
        <v>1.6199999999999999E-2</v>
      </c>
      <c r="AF14" s="3075">
        <f t="shared" ref="AF14" si="98">AE14</f>
        <v>1.6199999999999999E-2</v>
      </c>
      <c r="AG14" s="3075">
        <f>ROUND(AVERAGE(K14:K$31)/100,4)</f>
        <v>2.5899999999999999E-2</v>
      </c>
      <c r="AH14" s="3075">
        <f>ROUND(AVERAGE(L14:L$31)/100,4)</f>
        <v>1.49E-2</v>
      </c>
    </row>
    <row r="15" spans="1:34" s="3093" customFormat="1" ht="15" customHeight="1" thickBot="1">
      <c r="A15" s="3086" t="s">
        <v>2972</v>
      </c>
      <c r="B15" s="3087">
        <f t="shared" si="52"/>
        <v>446.46299999999997</v>
      </c>
      <c r="C15" s="3087">
        <f t="shared" ref="C15" si="99">C16*(1+O15)</f>
        <v>333.27840000000003</v>
      </c>
      <c r="D15" s="3087">
        <f t="shared" ref="D15:D20" si="100">C15</f>
        <v>333.27840000000003</v>
      </c>
      <c r="E15" s="3087">
        <f t="shared" ref="E15" si="101">E16*(1+P15)</f>
        <v>637.28279999999995</v>
      </c>
      <c r="F15" s="3087">
        <f t="shared" ref="F15" si="102">F16*(1+Q15)</f>
        <v>288.68830000000003</v>
      </c>
      <c r="G15" s="3576"/>
      <c r="H15" s="3088">
        <v>1</v>
      </c>
      <c r="I15" s="3088">
        <v>1.7</v>
      </c>
      <c r="J15" s="3088">
        <v>1.92</v>
      </c>
      <c r="K15" s="3088">
        <v>1.64</v>
      </c>
      <c r="L15" s="3094">
        <v>2.0099999999999998</v>
      </c>
      <c r="M15" s="3074"/>
      <c r="N15" s="3089">
        <f t="shared" ref="N15:N20" si="103">I15/100</f>
        <v>1.7000000000000001E-2</v>
      </c>
      <c r="O15" s="3075">
        <f t="shared" ref="O15" si="104">J15/100</f>
        <v>1.9199999999999998E-2</v>
      </c>
      <c r="P15" s="3075">
        <f t="shared" ref="P15" si="105">K15/100</f>
        <v>1.6399999999999998E-2</v>
      </c>
      <c r="Q15" s="3075">
        <f t="shared" ref="Q15" si="106">L15/100</f>
        <v>2.0099999999999996E-2</v>
      </c>
      <c r="R15" s="3090"/>
      <c r="S15" s="3091">
        <f>B15/B16-1</f>
        <v>1.6999999999999904E-2</v>
      </c>
      <c r="T15" s="3092">
        <f>C15/C16-1</f>
        <v>1.9200000000000106E-2</v>
      </c>
      <c r="U15" s="3092">
        <f>E15/E16-1</f>
        <v>1.639999999999997E-2</v>
      </c>
      <c r="V15" s="3092">
        <f>F15/F16-1</f>
        <v>2.0100000000000007E-2</v>
      </c>
      <c r="W15" s="3074"/>
      <c r="X15" s="3097">
        <f>ROUND(SUMPRODUCT(PRODUCT(1+N15:N$31)),4)</f>
        <v>1.4947999999999999</v>
      </c>
      <c r="Y15" s="3097">
        <f>ROUND(SUMPRODUCT(PRODUCT(1+O15:O$31)),4)</f>
        <v>1.3230999999999999</v>
      </c>
      <c r="Z15" s="3097">
        <f t="shared" si="79"/>
        <v>1.3230999999999999</v>
      </c>
      <c r="AA15" s="3097">
        <f>ROUND(SUMPRODUCT(PRODUCT(1+P15:P$31)),4)</f>
        <v>1.5564</v>
      </c>
      <c r="AB15" s="3097">
        <f>ROUND(SUMPRODUCT(PRODUCT(1+Q15:Q$31)),4)</f>
        <v>1.2726999999999999</v>
      </c>
      <c r="AC15" s="3074"/>
      <c r="AD15" s="3075">
        <f>ROUND(AVERAGE(I15:I$31)/100,4)</f>
        <v>2.4E-2</v>
      </c>
      <c r="AE15" s="3075">
        <f>ROUND(AVERAGE(J15:J$31)/100,4)</f>
        <v>1.66E-2</v>
      </c>
      <c r="AF15" s="3075">
        <f t="shared" ref="AF15" si="107">AE15</f>
        <v>1.66E-2</v>
      </c>
      <c r="AG15" s="3075">
        <f>ROUND(AVERAGE(K15:K$31)/100,4)</f>
        <v>2.6499999999999999E-2</v>
      </c>
      <c r="AH15" s="3075">
        <f>ROUND(AVERAGE(L15:L$31)/100,4)</f>
        <v>1.43E-2</v>
      </c>
    </row>
    <row r="16" spans="1:34">
      <c r="A16" s="3086" t="s">
        <v>2963</v>
      </c>
      <c r="B16" s="3104">
        <v>439</v>
      </c>
      <c r="C16" s="3104">
        <v>327</v>
      </c>
      <c r="D16" s="3104">
        <f t="shared" si="100"/>
        <v>327</v>
      </c>
      <c r="E16" s="3104">
        <v>627</v>
      </c>
      <c r="F16" s="3105">
        <v>283</v>
      </c>
      <c r="G16" s="3575">
        <v>2017</v>
      </c>
      <c r="H16" s="3095">
        <v>4</v>
      </c>
      <c r="I16" s="3095">
        <v>1.71</v>
      </c>
      <c r="J16" s="3095">
        <v>1.78</v>
      </c>
      <c r="K16" s="3095">
        <v>1.71</v>
      </c>
      <c r="L16" s="3096">
        <v>1.43</v>
      </c>
      <c r="N16" s="3106">
        <f t="shared" si="103"/>
        <v>1.7100000000000001E-2</v>
      </c>
      <c r="O16" s="3107">
        <f t="shared" ref="O16" si="108">J16/100</f>
        <v>1.78E-2</v>
      </c>
      <c r="P16" s="3107">
        <f t="shared" ref="P16" si="109">K16/100</f>
        <v>1.7100000000000001E-2</v>
      </c>
      <c r="Q16" s="3107">
        <f t="shared" ref="Q16" si="110">L16/100</f>
        <v>1.43E-2</v>
      </c>
      <c r="R16" s="3090"/>
      <c r="S16" s="3100"/>
      <c r="T16" s="3101"/>
      <c r="U16" s="3101"/>
      <c r="V16" s="3101"/>
      <c r="X16" s="3097">
        <f>ROUND(SUMPRODUCT(PRODUCT(1+N16:N$31)),4)</f>
        <v>1.4698</v>
      </c>
      <c r="Y16" s="3097">
        <f>ROUND(SUMPRODUCT(PRODUCT(1+O16:O$31)),4)</f>
        <v>1.2982</v>
      </c>
      <c r="Z16" s="3097">
        <f t="shared" si="79"/>
        <v>1.2982</v>
      </c>
      <c r="AA16" s="3097">
        <f>ROUND(SUMPRODUCT(PRODUCT(1+P16:P$31)),4)</f>
        <v>1.5311999999999999</v>
      </c>
      <c r="AB16" s="3097">
        <f>ROUND(SUMPRODUCT(PRODUCT(1+Q16:Q$31)),4)</f>
        <v>1.2476</v>
      </c>
      <c r="AD16" s="3075">
        <f>ROUND(AVERAGE(I16:I$31)/100,4)</f>
        <v>2.4500000000000001E-2</v>
      </c>
      <c r="AE16" s="3075">
        <f>ROUND(AVERAGE(J16:J$31)/100,4)</f>
        <v>1.6500000000000001E-2</v>
      </c>
      <c r="AF16" s="3075">
        <f t="shared" si="1"/>
        <v>1.6500000000000001E-2</v>
      </c>
      <c r="AG16" s="3075">
        <f>ROUND(AVERAGE(K16:K$31)/100,4)</f>
        <v>2.7099999999999999E-2</v>
      </c>
      <c r="AH16" s="3075">
        <f>ROUND(AVERAGE(L16:L$31)/100,4)</f>
        <v>1.3899999999999999E-2</v>
      </c>
    </row>
    <row r="17" spans="1:34" s="3093" customFormat="1" ht="14.45" customHeight="1">
      <c r="A17" s="3086" t="s">
        <v>2967</v>
      </c>
      <c r="B17" s="3087">
        <f t="shared" ref="B17:C19" si="111">B18*(1+N17)</f>
        <v>431.80730811680002</v>
      </c>
      <c r="C17" s="3087">
        <f t="shared" si="111"/>
        <v>320.57880516480003</v>
      </c>
      <c r="D17" s="3087">
        <f t="shared" si="100"/>
        <v>320.57880516480003</v>
      </c>
      <c r="E17" s="3087">
        <f t="shared" ref="E17:F19" si="112">E18*(1+P17)</f>
        <v>615.96110553196797</v>
      </c>
      <c r="F17" s="3087">
        <f t="shared" si="112"/>
        <v>279.46777300108801</v>
      </c>
      <c r="G17" s="3570"/>
      <c r="H17" s="3088">
        <v>3</v>
      </c>
      <c r="I17" s="3088">
        <v>2.98</v>
      </c>
      <c r="J17" s="3088">
        <v>2.11</v>
      </c>
      <c r="K17" s="3088">
        <v>3.24</v>
      </c>
      <c r="L17" s="3094">
        <v>1.72</v>
      </c>
      <c r="M17" s="3074"/>
      <c r="N17" s="3089">
        <f t="shared" si="103"/>
        <v>2.98E-2</v>
      </c>
      <c r="O17" s="3108">
        <f t="shared" ref="O17:O18" si="113">J17/100</f>
        <v>2.1099999999999997E-2</v>
      </c>
      <c r="P17" s="3108">
        <f t="shared" ref="P17:P18" si="114">K17/100</f>
        <v>3.2400000000000005E-2</v>
      </c>
      <c r="Q17" s="3108">
        <f t="shared" ref="Q17:Q18" si="115">L17/100</f>
        <v>1.72E-2</v>
      </c>
      <c r="R17" s="3090"/>
      <c r="S17" s="3089"/>
      <c r="T17" s="3075"/>
      <c r="U17" s="3075"/>
      <c r="V17" s="3075"/>
      <c r="W17" s="3074"/>
      <c r="X17" s="3097">
        <f>ROUND(SUMPRODUCT(PRODUCT(1+N17:N$31)),4)</f>
        <v>1.4451000000000001</v>
      </c>
      <c r="Y17" s="3097">
        <f>ROUND(SUMPRODUCT(PRODUCT(1+O17:O$31)),4)</f>
        <v>1.2755000000000001</v>
      </c>
      <c r="Z17" s="3097">
        <f t="shared" si="79"/>
        <v>1.2755000000000001</v>
      </c>
      <c r="AA17" s="3097">
        <f>ROUND(SUMPRODUCT(PRODUCT(1+P17:P$31)),4)</f>
        <v>1.5055000000000001</v>
      </c>
      <c r="AB17" s="3097">
        <f>ROUND(SUMPRODUCT(PRODUCT(1+Q17:Q$31)),4)</f>
        <v>1.2301</v>
      </c>
      <c r="AC17" s="3074"/>
      <c r="AD17" s="3075">
        <f>ROUND(AVERAGE(I17:I$31)/100,4)</f>
        <v>2.4899999999999999E-2</v>
      </c>
      <c r="AE17" s="3075">
        <f>ROUND(AVERAGE(J17:J$31)/100,4)</f>
        <v>1.6400000000000001E-2</v>
      </c>
      <c r="AF17" s="3075">
        <f t="shared" si="1"/>
        <v>1.6400000000000001E-2</v>
      </c>
      <c r="AG17" s="3075">
        <f>ROUND(AVERAGE(K17:K$31)/100,4)</f>
        <v>2.7799999999999998E-2</v>
      </c>
      <c r="AH17" s="3075">
        <f>ROUND(AVERAGE(L17:L$31)/100,4)</f>
        <v>1.3899999999999999E-2</v>
      </c>
    </row>
    <row r="18" spans="1:34" s="3052" customFormat="1" ht="14.45" customHeight="1">
      <c r="A18" s="3086" t="s">
        <v>2577</v>
      </c>
      <c r="B18" s="3087">
        <f t="shared" si="111"/>
        <v>419.31181600000002</v>
      </c>
      <c r="C18" s="3087">
        <f t="shared" si="111"/>
        <v>313.95436800000004</v>
      </c>
      <c r="D18" s="3087">
        <f t="shared" si="100"/>
        <v>313.95436800000004</v>
      </c>
      <c r="E18" s="3087">
        <f t="shared" si="112"/>
        <v>596.63028431999999</v>
      </c>
      <c r="F18" s="3087">
        <f t="shared" si="112"/>
        <v>274.74220703999998</v>
      </c>
      <c r="G18" s="3570"/>
      <c r="H18" s="3102">
        <v>2</v>
      </c>
      <c r="I18" s="3102">
        <v>3.4</v>
      </c>
      <c r="J18" s="3102">
        <v>2</v>
      </c>
      <c r="K18" s="3102">
        <v>3.82</v>
      </c>
      <c r="L18" s="3103">
        <v>1.68</v>
      </c>
      <c r="N18" s="3089">
        <f t="shared" si="103"/>
        <v>3.4000000000000002E-2</v>
      </c>
      <c r="O18" s="3108">
        <f t="shared" si="113"/>
        <v>0.02</v>
      </c>
      <c r="P18" s="3108">
        <f t="shared" si="114"/>
        <v>3.8199999999999998E-2</v>
      </c>
      <c r="Q18" s="3108">
        <f t="shared" si="115"/>
        <v>1.6799999999999999E-2</v>
      </c>
      <c r="S18" s="3089"/>
      <c r="T18" s="3075"/>
      <c r="U18" s="3075"/>
      <c r="V18" s="3075"/>
      <c r="X18" s="3097">
        <f>ROUND(SUMPRODUCT(PRODUCT(1+N18:N$31)),4)</f>
        <v>1.4033</v>
      </c>
      <c r="Y18" s="3097">
        <f>ROUND(SUMPRODUCT(PRODUCT(1+O18:O$31)),4)</f>
        <v>1.2491000000000001</v>
      </c>
      <c r="Z18" s="3097">
        <f t="shared" si="79"/>
        <v>1.2491000000000001</v>
      </c>
      <c r="AA18" s="3097">
        <f>ROUND(SUMPRODUCT(PRODUCT(1+P18:P$31)),4)</f>
        <v>1.4581999999999999</v>
      </c>
      <c r="AB18" s="3097">
        <f>ROUND(SUMPRODUCT(PRODUCT(1+Q18:Q$31)),4)</f>
        <v>1.2093</v>
      </c>
      <c r="AD18" s="3075">
        <f>ROUND(AVERAGE(I18:I$31)/100,4)</f>
        <v>2.46E-2</v>
      </c>
      <c r="AE18" s="3075">
        <f>ROUND(AVERAGE(J18:J$31)/100,4)</f>
        <v>1.6E-2</v>
      </c>
      <c r="AF18" s="3075">
        <f t="shared" si="1"/>
        <v>1.6E-2</v>
      </c>
      <c r="AG18" s="3075">
        <f>ROUND(AVERAGE(K18:K$31)/100,4)</f>
        <v>2.75E-2</v>
      </c>
      <c r="AH18" s="3075">
        <f>ROUND(AVERAGE(L18:L$31)/100,4)</f>
        <v>1.37E-2</v>
      </c>
    </row>
    <row r="19" spans="1:34" s="3093" customFormat="1" ht="15" customHeight="1" thickBot="1">
      <c r="A19" s="3086" t="s">
        <v>2578</v>
      </c>
      <c r="B19" s="3087">
        <f t="shared" si="111"/>
        <v>405.524</v>
      </c>
      <c r="C19" s="3087">
        <f t="shared" si="111"/>
        <v>307.79840000000002</v>
      </c>
      <c r="D19" s="3087">
        <f t="shared" si="100"/>
        <v>307.79840000000002</v>
      </c>
      <c r="E19" s="3087">
        <f t="shared" si="112"/>
        <v>574.67759999999998</v>
      </c>
      <c r="F19" s="3087">
        <f t="shared" si="112"/>
        <v>270.20280000000002</v>
      </c>
      <c r="G19" s="3576"/>
      <c r="H19" s="3088">
        <v>1</v>
      </c>
      <c r="I19" s="3088">
        <v>3.45</v>
      </c>
      <c r="J19" s="3088">
        <v>1.92</v>
      </c>
      <c r="K19" s="3088">
        <v>3.92</v>
      </c>
      <c r="L19" s="3094">
        <v>1.58</v>
      </c>
      <c r="M19" s="3074"/>
      <c r="N19" s="3091">
        <f t="shared" si="103"/>
        <v>3.4500000000000003E-2</v>
      </c>
      <c r="O19" s="3092">
        <f t="shared" ref="O19" si="116">J19/100</f>
        <v>1.9199999999999998E-2</v>
      </c>
      <c r="P19" s="3092">
        <f t="shared" ref="P19" si="117">K19/100</f>
        <v>3.9199999999999999E-2</v>
      </c>
      <c r="Q19" s="3092">
        <f t="shared" ref="Q19" si="118">L19/100</f>
        <v>1.5800000000000002E-2</v>
      </c>
      <c r="R19" s="3090"/>
      <c r="S19" s="3091">
        <f>B19/B20-1</f>
        <v>3.4499999999999975E-2</v>
      </c>
      <c r="T19" s="3092">
        <f>C19/C20-1</f>
        <v>1.9200000000000106E-2</v>
      </c>
      <c r="U19" s="3092">
        <f>E19/E20-1</f>
        <v>3.9199999999999902E-2</v>
      </c>
      <c r="V19" s="3092">
        <f>F19/F20-1</f>
        <v>1.5800000000000036E-2</v>
      </c>
      <c r="W19" s="3074"/>
      <c r="X19" s="3097">
        <f>ROUND(SUMPRODUCT(PRODUCT(1+N19:N$31)),4)</f>
        <v>1.3571</v>
      </c>
      <c r="Y19" s="3097">
        <f>ROUND(SUMPRODUCT(PRODUCT(1+O19:O$31)),4)</f>
        <v>1.2245999999999999</v>
      </c>
      <c r="Z19" s="3097">
        <f t="shared" si="79"/>
        <v>1.2245999999999999</v>
      </c>
      <c r="AA19" s="3097">
        <f>ROUND(SUMPRODUCT(PRODUCT(1+P19:P$31)),4)</f>
        <v>1.4046000000000001</v>
      </c>
      <c r="AB19" s="3097">
        <f>ROUND(SUMPRODUCT(PRODUCT(1+Q19:Q$31)),4)</f>
        <v>1.1893</v>
      </c>
      <c r="AC19" s="3074"/>
      <c r="AD19" s="3075">
        <f>ROUND(AVERAGE(I19:I$31)/100,4)</f>
        <v>2.3900000000000001E-2</v>
      </c>
      <c r="AE19" s="3075">
        <f>ROUND(AVERAGE(J19:J$31)/100,4)</f>
        <v>1.5699999999999999E-2</v>
      </c>
      <c r="AF19" s="3075">
        <f t="shared" si="1"/>
        <v>1.5699999999999999E-2</v>
      </c>
      <c r="AG19" s="3075">
        <f>ROUND(AVERAGE(K19:K$31)/100,4)</f>
        <v>2.6599999999999999E-2</v>
      </c>
      <c r="AH19" s="3075">
        <f>ROUND(AVERAGE(L19:L$31)/100,4)</f>
        <v>1.34E-2</v>
      </c>
    </row>
    <row r="20" spans="1:34">
      <c r="A20" s="3086" t="s">
        <v>970</v>
      </c>
      <c r="B20" s="3109">
        <v>392</v>
      </c>
      <c r="C20" s="3109">
        <v>302</v>
      </c>
      <c r="D20" s="3109">
        <f t="shared" si="100"/>
        <v>302</v>
      </c>
      <c r="E20" s="3109">
        <v>553</v>
      </c>
      <c r="F20" s="3110">
        <v>266</v>
      </c>
      <c r="G20" s="3575">
        <v>2016</v>
      </c>
      <c r="H20" s="3095">
        <v>4</v>
      </c>
      <c r="I20" s="3095">
        <v>4.5599999999999996</v>
      </c>
      <c r="J20" s="3095">
        <v>2.15</v>
      </c>
      <c r="K20" s="3095">
        <v>5.32</v>
      </c>
      <c r="L20" s="3096">
        <v>1.57</v>
      </c>
      <c r="N20" s="3089">
        <f t="shared" si="103"/>
        <v>4.5599999999999995E-2</v>
      </c>
      <c r="O20" s="3075">
        <f t="shared" ref="O20:Q35" si="119">J20/100</f>
        <v>2.1499999999999998E-2</v>
      </c>
      <c r="P20" s="3075">
        <f t="shared" si="119"/>
        <v>5.3200000000000004E-2</v>
      </c>
      <c r="Q20" s="3075">
        <f t="shared" si="119"/>
        <v>1.5700000000000002E-2</v>
      </c>
      <c r="R20" s="3090"/>
      <c r="S20" s="3100"/>
      <c r="T20" s="3101"/>
      <c r="U20" s="3101"/>
      <c r="V20" s="3101"/>
      <c r="X20" s="3097">
        <f>ROUND(SUMPRODUCT(PRODUCT(1+N20:N$31)),4)</f>
        <v>1.3119000000000001</v>
      </c>
      <c r="Y20" s="3097">
        <f>ROUND(SUMPRODUCT(PRODUCT(1+O20:O$31)),4)</f>
        <v>1.2016</v>
      </c>
      <c r="Z20" s="3097">
        <f t="shared" si="79"/>
        <v>1.2016</v>
      </c>
      <c r="AA20" s="3097">
        <f>ROUND(SUMPRODUCT(PRODUCT(1+P20:P$31)),4)</f>
        <v>1.3515999999999999</v>
      </c>
      <c r="AB20" s="3097">
        <f>ROUND(SUMPRODUCT(PRODUCT(1+Q20:Q$31)),4)</f>
        <v>1.1708000000000001</v>
      </c>
      <c r="AD20" s="3075">
        <f>ROUND(AVERAGE(I20:I$31)/100,4)</f>
        <v>2.3E-2</v>
      </c>
      <c r="AE20" s="3075">
        <f>ROUND(AVERAGE(J20:J$31)/100,4)</f>
        <v>1.55E-2</v>
      </c>
      <c r="AF20" s="3075">
        <f t="shared" si="1"/>
        <v>1.55E-2</v>
      </c>
      <c r="AG20" s="3075">
        <f>ROUND(AVERAGE(K20:K$31)/100,4)</f>
        <v>2.5600000000000001E-2</v>
      </c>
      <c r="AH20" s="3075">
        <f>ROUND(AVERAGE(L20:L$31)/100,4)</f>
        <v>1.32E-2</v>
      </c>
    </row>
    <row r="21" spans="1:34">
      <c r="A21" s="3086" t="s">
        <v>969</v>
      </c>
      <c r="B21" s="3087">
        <f t="shared" ref="B21:C23" si="120">B20/(1+N20)</f>
        <v>374.90436113236416</v>
      </c>
      <c r="C21" s="3087">
        <f t="shared" si="120"/>
        <v>295.64366128242779</v>
      </c>
      <c r="D21" s="3087">
        <f t="shared" ref="D21:D80" si="121">C21</f>
        <v>295.64366128242779</v>
      </c>
      <c r="E21" s="3087">
        <f t="shared" ref="E21:F23" si="122">E20/(1+P20)</f>
        <v>525.06646410938095</v>
      </c>
      <c r="F21" s="3087">
        <f t="shared" si="122"/>
        <v>261.88835286009646</v>
      </c>
      <c r="G21" s="3570"/>
      <c r="H21" s="3088">
        <v>3</v>
      </c>
      <c r="I21" s="3088">
        <v>4.12</v>
      </c>
      <c r="J21" s="3088">
        <v>2</v>
      </c>
      <c r="K21" s="3088">
        <v>4.79</v>
      </c>
      <c r="L21" s="3094">
        <v>1.97</v>
      </c>
      <c r="N21" s="3089">
        <f t="shared" ref="N21:Q55" si="123">I21/100</f>
        <v>4.1200000000000001E-2</v>
      </c>
      <c r="O21" s="3075">
        <f t="shared" si="119"/>
        <v>0.02</v>
      </c>
      <c r="P21" s="3075">
        <f t="shared" si="119"/>
        <v>4.7899999999999998E-2</v>
      </c>
      <c r="Q21" s="3075">
        <f t="shared" si="119"/>
        <v>1.9699999999999999E-2</v>
      </c>
      <c r="R21" s="3090"/>
      <c r="S21" s="3089"/>
      <c r="T21" s="3075"/>
      <c r="U21" s="3075"/>
      <c r="V21" s="3075"/>
      <c r="X21" s="3097">
        <f>ROUND(SUMPRODUCT(PRODUCT(1+N21:N$31)),4)</f>
        <v>1.2546999999999999</v>
      </c>
      <c r="Y21" s="3097">
        <f>ROUND(SUMPRODUCT(PRODUCT(1+O21:O$31)),4)</f>
        <v>1.1762999999999999</v>
      </c>
      <c r="Z21" s="3097">
        <f t="shared" si="79"/>
        <v>1.1762999999999999</v>
      </c>
      <c r="AA21" s="3097">
        <f>ROUND(SUMPRODUCT(PRODUCT(1+P21:P$31)),4)</f>
        <v>1.2833000000000001</v>
      </c>
      <c r="AB21" s="3097">
        <f>ROUND(SUMPRODUCT(PRODUCT(1+Q21:Q$31)),4)</f>
        <v>1.1527000000000001</v>
      </c>
      <c r="AD21" s="3075">
        <f>ROUND(AVERAGE(I21:I$31)/100,4)</f>
        <v>2.0899999999999998E-2</v>
      </c>
      <c r="AE21" s="3075">
        <f>ROUND(AVERAGE(J21:J$31)/100,4)</f>
        <v>1.49E-2</v>
      </c>
      <c r="AF21" s="3075">
        <f t="shared" si="1"/>
        <v>1.49E-2</v>
      </c>
      <c r="AG21" s="3075">
        <f>ROUND(AVERAGE(K21:K$31)/100,4)</f>
        <v>2.3099999999999999E-2</v>
      </c>
      <c r="AH21" s="3075">
        <f>ROUND(AVERAGE(L21:L$31)/100,4)</f>
        <v>1.2999999999999999E-2</v>
      </c>
    </row>
    <row r="22" spans="1:34">
      <c r="A22" s="3086" t="s">
        <v>959</v>
      </c>
      <c r="B22" s="3087">
        <f t="shared" si="120"/>
        <v>360.06949782209392</v>
      </c>
      <c r="C22" s="3087">
        <f t="shared" si="120"/>
        <v>289.84672674747821</v>
      </c>
      <c r="D22" s="3087">
        <f t="shared" si="121"/>
        <v>289.84672674747821</v>
      </c>
      <c r="E22" s="3087">
        <f t="shared" si="122"/>
        <v>501.06543001181495</v>
      </c>
      <c r="F22" s="3087">
        <f t="shared" si="122"/>
        <v>256.82882500744967</v>
      </c>
      <c r="G22" s="3570"/>
      <c r="H22" s="3102">
        <v>2</v>
      </c>
      <c r="I22" s="3102">
        <v>3.85</v>
      </c>
      <c r="J22" s="3102">
        <v>1.95</v>
      </c>
      <c r="K22" s="3102">
        <v>4.4800000000000004</v>
      </c>
      <c r="L22" s="3103">
        <v>1.41</v>
      </c>
      <c r="N22" s="3089">
        <f t="shared" si="123"/>
        <v>3.85E-2</v>
      </c>
      <c r="O22" s="3075">
        <f t="shared" si="119"/>
        <v>1.95E-2</v>
      </c>
      <c r="P22" s="3075">
        <f t="shared" si="119"/>
        <v>4.4800000000000006E-2</v>
      </c>
      <c r="Q22" s="3075">
        <f t="shared" si="119"/>
        <v>1.41E-2</v>
      </c>
      <c r="R22" s="3090"/>
      <c r="S22" s="3089"/>
      <c r="T22" s="3075"/>
      <c r="U22" s="3075"/>
      <c r="V22" s="3075"/>
      <c r="X22" s="3097">
        <f>ROUND(SUMPRODUCT(PRODUCT(1+N22:N$31)),4)</f>
        <v>1.2050000000000001</v>
      </c>
      <c r="Y22" s="3097">
        <f>ROUND(SUMPRODUCT(PRODUCT(1+O22:O$31)),4)</f>
        <v>1.1532</v>
      </c>
      <c r="Z22" s="3097">
        <f t="shared" si="79"/>
        <v>1.1532</v>
      </c>
      <c r="AA22" s="3097">
        <f>ROUND(SUMPRODUCT(PRODUCT(1+P22:P$31)),4)</f>
        <v>1.2246999999999999</v>
      </c>
      <c r="AB22" s="3097">
        <f>ROUND(SUMPRODUCT(PRODUCT(1+Q22:Q$31)),4)</f>
        <v>1.1304000000000001</v>
      </c>
      <c r="AD22" s="3075">
        <f>ROUND(AVERAGE(I22:I$31)/100,4)</f>
        <v>1.89E-2</v>
      </c>
      <c r="AE22" s="3075">
        <f>ROUND(AVERAGE(J22:J$31)/100,4)</f>
        <v>1.44E-2</v>
      </c>
      <c r="AF22" s="3075">
        <f t="shared" si="1"/>
        <v>1.44E-2</v>
      </c>
      <c r="AG22" s="3075">
        <f>ROUND(AVERAGE(K22:K$31)/100,4)</f>
        <v>2.06E-2</v>
      </c>
      <c r="AH22" s="3075">
        <f>ROUND(AVERAGE(L22:L$31)/100,4)</f>
        <v>1.23E-2</v>
      </c>
    </row>
    <row r="23" spans="1:34" ht="13.5" thickBot="1">
      <c r="A23" s="3086" t="s">
        <v>968</v>
      </c>
      <c r="B23" s="3087">
        <f t="shared" si="120"/>
        <v>346.720748986128</v>
      </c>
      <c r="C23" s="3087">
        <f t="shared" si="120"/>
        <v>284.30282172386285</v>
      </c>
      <c r="D23" s="3087">
        <f t="shared" si="121"/>
        <v>284.30282172386285</v>
      </c>
      <c r="E23" s="3087">
        <f t="shared" si="122"/>
        <v>479.58023546306947</v>
      </c>
      <c r="F23" s="3087">
        <f t="shared" si="122"/>
        <v>253.25788877571213</v>
      </c>
      <c r="G23" s="3571"/>
      <c r="H23" s="3088">
        <v>1</v>
      </c>
      <c r="I23" s="3088">
        <v>4.09</v>
      </c>
      <c r="J23" s="3088">
        <v>2.93</v>
      </c>
      <c r="K23" s="3088">
        <v>4.54</v>
      </c>
      <c r="L23" s="3094">
        <v>1.48</v>
      </c>
      <c r="N23" s="3089">
        <f t="shared" si="123"/>
        <v>4.0899999999999999E-2</v>
      </c>
      <c r="O23" s="3075">
        <f t="shared" si="119"/>
        <v>2.9300000000000003E-2</v>
      </c>
      <c r="P23" s="3075">
        <f t="shared" si="119"/>
        <v>4.5400000000000003E-2</v>
      </c>
      <c r="Q23" s="3075">
        <f t="shared" si="119"/>
        <v>1.4800000000000001E-2</v>
      </c>
      <c r="R23" s="3090"/>
      <c r="S23" s="3091">
        <f>B23/B24-1</f>
        <v>4.1203450408792808E-2</v>
      </c>
      <c r="T23" s="3092">
        <f>C23/C24-1</f>
        <v>2.6363977342465095E-2</v>
      </c>
      <c r="U23" s="3092">
        <f>E23/E24-1</f>
        <v>4.4837114298626357E-2</v>
      </c>
      <c r="V23" s="3092">
        <f>F23/F24-1</f>
        <v>1.7099954922538574E-2</v>
      </c>
      <c r="X23" s="3097">
        <f>ROUND(SUMPRODUCT(PRODUCT(1+N23:N$31)),4)</f>
        <v>1.1604000000000001</v>
      </c>
      <c r="Y23" s="3097">
        <f>ROUND(SUMPRODUCT(PRODUCT(1+O23:O$31)),4)</f>
        <v>1.1312</v>
      </c>
      <c r="Z23" s="3097">
        <f t="shared" si="79"/>
        <v>1.1312</v>
      </c>
      <c r="AA23" s="3097">
        <f>ROUND(SUMPRODUCT(PRODUCT(1+P23:P$31)),4)</f>
        <v>1.1721999999999999</v>
      </c>
      <c r="AB23" s="3097">
        <f>ROUND(SUMPRODUCT(PRODUCT(1+Q23:Q$31)),4)</f>
        <v>1.1147</v>
      </c>
      <c r="AD23" s="3075">
        <f>ROUND(AVERAGE(I23:I$31)/100,4)</f>
        <v>1.67E-2</v>
      </c>
      <c r="AE23" s="3075">
        <f>ROUND(AVERAGE(J23:J$31)/100,4)</f>
        <v>1.38E-2</v>
      </c>
      <c r="AF23" s="3075">
        <f t="shared" si="1"/>
        <v>1.38E-2</v>
      </c>
      <c r="AG23" s="3075">
        <f>ROUND(AVERAGE(K23:K$31)/100,4)</f>
        <v>1.7899999999999999E-2</v>
      </c>
      <c r="AH23" s="3075">
        <f>ROUND(AVERAGE(L23:L$31)/100,4)</f>
        <v>1.21E-2</v>
      </c>
    </row>
    <row r="24" spans="1:34" ht="13.5" thickBot="1">
      <c r="A24" s="3086" t="s">
        <v>967</v>
      </c>
      <c r="B24" s="3109">
        <v>333</v>
      </c>
      <c r="C24" s="3109">
        <v>277</v>
      </c>
      <c r="D24" s="3109">
        <f t="shared" si="121"/>
        <v>277</v>
      </c>
      <c r="E24" s="3109">
        <v>459</v>
      </c>
      <c r="F24" s="3110">
        <v>249</v>
      </c>
      <c r="G24" s="3569">
        <v>2015</v>
      </c>
      <c r="H24" s="3111">
        <v>4</v>
      </c>
      <c r="I24" s="3111">
        <v>1.63</v>
      </c>
      <c r="J24" s="3111">
        <v>1.1100000000000001</v>
      </c>
      <c r="K24" s="3111">
        <v>1.77</v>
      </c>
      <c r="L24" s="3112">
        <v>1.89</v>
      </c>
      <c r="N24" s="3106">
        <f t="shared" si="123"/>
        <v>1.6299999999999999E-2</v>
      </c>
      <c r="O24" s="3107">
        <f t="shared" si="119"/>
        <v>1.11E-2</v>
      </c>
      <c r="P24" s="3107">
        <f t="shared" si="119"/>
        <v>1.77E-2</v>
      </c>
      <c r="Q24" s="3107">
        <f t="shared" si="119"/>
        <v>1.89E-2</v>
      </c>
      <c r="R24" s="3090"/>
      <c r="X24" s="3097">
        <f>ROUND(SUMPRODUCT(PRODUCT(1+N24:N$31)),4)</f>
        <v>1.1148</v>
      </c>
      <c r="Y24" s="3097">
        <f>ROUND(SUMPRODUCT(PRODUCT(1+O24:O$31)),4)</f>
        <v>1.099</v>
      </c>
      <c r="Z24" s="3097">
        <f t="shared" si="79"/>
        <v>1.099</v>
      </c>
      <c r="AA24" s="3097">
        <f>ROUND(SUMPRODUCT(PRODUCT(1+P24:P$31)),4)</f>
        <v>1.1213</v>
      </c>
      <c r="AB24" s="3097">
        <f>ROUND(SUMPRODUCT(PRODUCT(1+Q24:Q$31)),4)</f>
        <v>1.0984</v>
      </c>
      <c r="AD24" s="3075">
        <f>ROUND(AVERAGE(I24:I$31)/100,4)</f>
        <v>1.37E-2</v>
      </c>
      <c r="AE24" s="3075">
        <f>ROUND(AVERAGE(J24:J$31)/100,4)</f>
        <v>1.1900000000000001E-2</v>
      </c>
      <c r="AF24" s="3075">
        <f t="shared" si="1"/>
        <v>1.1900000000000001E-2</v>
      </c>
      <c r="AG24" s="3075">
        <f>ROUND(AVERAGE(K24:K$31)/100,4)</f>
        <v>1.4500000000000001E-2</v>
      </c>
      <c r="AH24" s="3075">
        <f>ROUND(AVERAGE(L24:L$31)/100,4)</f>
        <v>1.18E-2</v>
      </c>
    </row>
    <row r="25" spans="1:34">
      <c r="A25" s="3086" t="s">
        <v>966</v>
      </c>
      <c r="B25" s="3087">
        <f t="shared" ref="B25:C27" si="124">B24/(1+N24)</f>
        <v>327.65915576109415</v>
      </c>
      <c r="C25" s="3087">
        <f t="shared" si="124"/>
        <v>273.95905449510434</v>
      </c>
      <c r="D25" s="3087">
        <f t="shared" si="121"/>
        <v>273.95905449510434</v>
      </c>
      <c r="E25" s="3087">
        <f t="shared" ref="E25:F27" si="125">E24/(1+P24)</f>
        <v>451.01699911565294</v>
      </c>
      <c r="F25" s="3087">
        <f t="shared" si="125"/>
        <v>244.38119540681129</v>
      </c>
      <c r="G25" s="3570"/>
      <c r="H25" s="3114">
        <v>3</v>
      </c>
      <c r="I25" s="3114">
        <v>1.65</v>
      </c>
      <c r="J25" s="3114">
        <v>0.92</v>
      </c>
      <c r="K25" s="3114">
        <v>1.88</v>
      </c>
      <c r="L25" s="3115">
        <v>1.26</v>
      </c>
      <c r="N25" s="3089">
        <f t="shared" si="123"/>
        <v>1.6500000000000001E-2</v>
      </c>
      <c r="O25" s="3108">
        <f t="shared" si="119"/>
        <v>9.1999999999999998E-3</v>
      </c>
      <c r="P25" s="3108">
        <f t="shared" si="119"/>
        <v>1.8799999999999997E-2</v>
      </c>
      <c r="Q25" s="3108">
        <f t="shared" si="119"/>
        <v>1.26E-2</v>
      </c>
      <c r="R25" s="3090"/>
      <c r="S25" s="3089"/>
      <c r="T25" s="3075"/>
      <c r="U25" s="3075"/>
      <c r="V25" s="3075"/>
      <c r="X25" s="3097">
        <f>ROUND(SUMPRODUCT(PRODUCT(1+N25:N$31)),4)</f>
        <v>1.0969</v>
      </c>
      <c r="Y25" s="3097">
        <f>ROUND(SUMPRODUCT(PRODUCT(1+O25:O$31)),4)</f>
        <v>1.0869</v>
      </c>
      <c r="Z25" s="3097">
        <f t="shared" si="79"/>
        <v>1.0869</v>
      </c>
      <c r="AA25" s="3097">
        <f>ROUND(SUMPRODUCT(PRODUCT(1+P25:P$31)),4)</f>
        <v>1.1017999999999999</v>
      </c>
      <c r="AB25" s="3097">
        <f>ROUND(SUMPRODUCT(PRODUCT(1+Q25:Q$31)),4)</f>
        <v>1.0781000000000001</v>
      </c>
      <c r="AD25" s="3075">
        <f>ROUND(AVERAGE(I25:I$31)/100,4)</f>
        <v>1.3299999999999999E-2</v>
      </c>
      <c r="AE25" s="3075">
        <f>ROUND(AVERAGE(J25:J$31)/100,4)</f>
        <v>1.2E-2</v>
      </c>
      <c r="AF25" s="3075">
        <f t="shared" si="1"/>
        <v>1.2E-2</v>
      </c>
      <c r="AG25" s="3075">
        <f>ROUND(AVERAGE(K25:K$31)/100,4)</f>
        <v>1.4E-2</v>
      </c>
      <c r="AH25" s="3075">
        <f>ROUND(AVERAGE(L25:L$31)/100,4)</f>
        <v>1.0800000000000001E-2</v>
      </c>
    </row>
    <row r="26" spans="1:34">
      <c r="A26" s="3086" t="s">
        <v>965</v>
      </c>
      <c r="B26" s="3087">
        <f t="shared" si="124"/>
        <v>322.34053690220776</v>
      </c>
      <c r="C26" s="3087">
        <f t="shared" si="124"/>
        <v>271.46160770422546</v>
      </c>
      <c r="D26" s="3087">
        <f t="shared" si="121"/>
        <v>271.46160770422546</v>
      </c>
      <c r="E26" s="3087">
        <f t="shared" si="125"/>
        <v>442.69434542172456</v>
      </c>
      <c r="F26" s="3087">
        <f t="shared" si="125"/>
        <v>241.34030753190925</v>
      </c>
      <c r="G26" s="3570"/>
      <c r="H26" s="3102">
        <v>2</v>
      </c>
      <c r="I26" s="3102">
        <v>0.77</v>
      </c>
      <c r="J26" s="3102">
        <v>0.69</v>
      </c>
      <c r="K26" s="3102">
        <v>0.8</v>
      </c>
      <c r="L26" s="3103">
        <v>0.88</v>
      </c>
      <c r="N26" s="3089">
        <f t="shared" si="123"/>
        <v>7.7000000000000002E-3</v>
      </c>
      <c r="O26" s="3108">
        <f t="shared" si="119"/>
        <v>6.8999999999999999E-3</v>
      </c>
      <c r="P26" s="3108">
        <f t="shared" si="119"/>
        <v>8.0000000000000002E-3</v>
      </c>
      <c r="Q26" s="3108">
        <f t="shared" si="119"/>
        <v>8.8000000000000005E-3</v>
      </c>
      <c r="R26" s="3090"/>
      <c r="S26" s="3089"/>
      <c r="T26" s="3075"/>
      <c r="U26" s="3075"/>
      <c r="V26" s="3075"/>
      <c r="X26" s="3097">
        <f>ROUND(SUMPRODUCT(PRODUCT(1+N26:N$31)),4)</f>
        <v>1.0790999999999999</v>
      </c>
      <c r="Y26" s="3097">
        <f>ROUND(SUMPRODUCT(PRODUCT(1+O26:O$31)),4)</f>
        <v>1.077</v>
      </c>
      <c r="Z26" s="3097">
        <f t="shared" si="79"/>
        <v>1.077</v>
      </c>
      <c r="AA26" s="3097">
        <f>ROUND(SUMPRODUCT(PRODUCT(1+P26:P$31)),4)</f>
        <v>1.0813999999999999</v>
      </c>
      <c r="AB26" s="3097">
        <f>ROUND(SUMPRODUCT(PRODUCT(1+Q26:Q$31)),4)</f>
        <v>1.0647</v>
      </c>
      <c r="AD26" s="3075">
        <f>ROUND(AVERAGE(I26:I$31)/100,4)</f>
        <v>1.2800000000000001E-2</v>
      </c>
      <c r="AE26" s="3075">
        <f>ROUND(AVERAGE(J26:J$31)/100,4)</f>
        <v>1.2500000000000001E-2</v>
      </c>
      <c r="AF26" s="3075">
        <f t="shared" si="1"/>
        <v>1.2500000000000001E-2</v>
      </c>
      <c r="AG26" s="3075">
        <f>ROUND(AVERAGE(K26:K$31)/100,4)</f>
        <v>1.32E-2</v>
      </c>
      <c r="AH26" s="3075">
        <f>ROUND(AVERAGE(L26:L$31)/100,4)</f>
        <v>1.0500000000000001E-2</v>
      </c>
    </row>
    <row r="27" spans="1:34">
      <c r="A27" s="3086" t="s">
        <v>964</v>
      </c>
      <c r="B27" s="3087">
        <f t="shared" si="124"/>
        <v>319.87748030386797</v>
      </c>
      <c r="C27" s="3087">
        <f t="shared" si="124"/>
        <v>269.60135833173649</v>
      </c>
      <c r="D27" s="3087">
        <f t="shared" si="121"/>
        <v>269.60135833173649</v>
      </c>
      <c r="E27" s="3087">
        <f t="shared" si="125"/>
        <v>439.18089823583784</v>
      </c>
      <c r="F27" s="3087">
        <f t="shared" si="125"/>
        <v>239.23503918706311</v>
      </c>
      <c r="G27" s="3571"/>
      <c r="H27" s="3088">
        <v>1</v>
      </c>
      <c r="I27" s="3088">
        <v>0.51</v>
      </c>
      <c r="J27" s="3088">
        <v>0.54</v>
      </c>
      <c r="K27" s="3088">
        <v>0.48</v>
      </c>
      <c r="L27" s="3094">
        <v>0.93</v>
      </c>
      <c r="N27" s="3091">
        <f t="shared" si="123"/>
        <v>5.1000000000000004E-3</v>
      </c>
      <c r="O27" s="3092">
        <f t="shared" si="119"/>
        <v>5.4000000000000003E-3</v>
      </c>
      <c r="P27" s="3092">
        <f t="shared" si="119"/>
        <v>4.7999999999999996E-3</v>
      </c>
      <c r="Q27" s="3092">
        <f t="shared" si="119"/>
        <v>9.300000000000001E-3</v>
      </c>
      <c r="R27" s="3090"/>
      <c r="S27" s="3091">
        <f>B27/B28-1</f>
        <v>5.9040261127922822E-3</v>
      </c>
      <c r="T27" s="3092">
        <f>C27/C28-1</f>
        <v>5.9752176557332781E-3</v>
      </c>
      <c r="U27" s="3092">
        <f>E27/E28-1</f>
        <v>4.9906138119859556E-3</v>
      </c>
      <c r="V27" s="3092">
        <f>F27/F28-1</f>
        <v>9.4305450930933787E-3</v>
      </c>
      <c r="X27" s="3097">
        <f>ROUND(SUMPRODUCT(PRODUCT(1+N27:N$31)),4)</f>
        <v>1.0708</v>
      </c>
      <c r="Y27" s="3097">
        <f>ROUND(SUMPRODUCT(PRODUCT(1+O27:O$31)),4)</f>
        <v>1.0696000000000001</v>
      </c>
      <c r="Z27" s="3097">
        <f t="shared" si="79"/>
        <v>1.0696000000000001</v>
      </c>
      <c r="AA27" s="3097">
        <f>ROUND(SUMPRODUCT(PRODUCT(1+P27:P$31)),4)</f>
        <v>1.0728</v>
      </c>
      <c r="AB27" s="3097">
        <f>ROUND(SUMPRODUCT(PRODUCT(1+Q27:Q$31)),4)</f>
        <v>1.0553999999999999</v>
      </c>
      <c r="AD27" s="3075">
        <f>ROUND(AVERAGE(I27:I$31)/100,4)</f>
        <v>1.38E-2</v>
      </c>
      <c r="AE27" s="3075">
        <f>ROUND(AVERAGE(J27:J$31)/100,4)</f>
        <v>1.3599999999999999E-2</v>
      </c>
      <c r="AF27" s="3075">
        <f t="shared" si="1"/>
        <v>1.3599999999999999E-2</v>
      </c>
      <c r="AG27" s="3075">
        <f>ROUND(AVERAGE(K27:K$31)/100,4)</f>
        <v>1.4200000000000001E-2</v>
      </c>
      <c r="AH27" s="3075">
        <f>ROUND(AVERAGE(L27:L$31)/100,4)</f>
        <v>1.0800000000000001E-2</v>
      </c>
    </row>
    <row r="28" spans="1:34" ht="13.5" thickBot="1">
      <c r="A28" s="3086" t="s">
        <v>963</v>
      </c>
      <c r="B28" s="3116">
        <v>318</v>
      </c>
      <c r="C28" s="3116">
        <v>268</v>
      </c>
      <c r="D28" s="3116">
        <f t="shared" si="121"/>
        <v>268</v>
      </c>
      <c r="E28" s="3116">
        <v>437</v>
      </c>
      <c r="F28" s="3117">
        <v>237</v>
      </c>
      <c r="G28" s="3569">
        <v>2014</v>
      </c>
      <c r="H28" s="3111">
        <v>4</v>
      </c>
      <c r="I28" s="3111">
        <v>0.21</v>
      </c>
      <c r="J28" s="3111">
        <v>0.41</v>
      </c>
      <c r="K28" s="3111">
        <v>0.12</v>
      </c>
      <c r="L28" s="3112">
        <v>0.89</v>
      </c>
      <c r="N28" s="3089">
        <f t="shared" si="123"/>
        <v>2.0999999999999999E-3</v>
      </c>
      <c r="O28" s="3075">
        <f t="shared" si="119"/>
        <v>4.0999999999999995E-3</v>
      </c>
      <c r="P28" s="3075">
        <f t="shared" si="119"/>
        <v>1.1999999999999999E-3</v>
      </c>
      <c r="Q28" s="3075">
        <f t="shared" si="119"/>
        <v>8.8999999999999999E-3</v>
      </c>
      <c r="R28" s="3090"/>
      <c r="S28" s="3100"/>
      <c r="T28" s="3101"/>
      <c r="U28" s="3101"/>
      <c r="V28" s="3101"/>
      <c r="X28" s="3097">
        <f>ROUND(SUMPRODUCT(PRODUCT(1+N28:N$31)),4)</f>
        <v>1.0653999999999999</v>
      </c>
      <c r="Y28" s="3097">
        <f>ROUND(SUMPRODUCT(PRODUCT(1+O28:O$31)),4)</f>
        <v>1.0639000000000001</v>
      </c>
      <c r="Z28" s="3097">
        <f t="shared" si="79"/>
        <v>1.0639000000000001</v>
      </c>
      <c r="AA28" s="3097">
        <f>ROUND(SUMPRODUCT(PRODUCT(1+P28:P$31)),4)</f>
        <v>1.0677000000000001</v>
      </c>
      <c r="AB28" s="3097">
        <f>ROUND(SUMPRODUCT(PRODUCT(1+Q28:Q$31)),4)</f>
        <v>1.0456000000000001</v>
      </c>
      <c r="AD28" s="3075">
        <f>ROUND(AVERAGE(I28:I$31)/100,4)</f>
        <v>1.6E-2</v>
      </c>
      <c r="AE28" s="3075">
        <f>ROUND(AVERAGE(J28:J$31)/100,4)</f>
        <v>1.5599999999999999E-2</v>
      </c>
      <c r="AF28" s="3075">
        <f t="shared" si="1"/>
        <v>1.5599999999999999E-2</v>
      </c>
      <c r="AG28" s="3075">
        <f>ROUND(AVERAGE(K28:K$31)/100,4)</f>
        <v>1.66E-2</v>
      </c>
      <c r="AH28" s="3075">
        <f>ROUND(AVERAGE(L28:L$31)/100,4)</f>
        <v>1.12E-2</v>
      </c>
    </row>
    <row r="29" spans="1:34">
      <c r="A29" s="3086" t="s">
        <v>962</v>
      </c>
      <c r="B29" s="3087">
        <f t="shared" ref="B29:C31" si="126">B28/(1+N28)</f>
        <v>317.33359944117353</v>
      </c>
      <c r="C29" s="3087">
        <f t="shared" si="126"/>
        <v>266.90568668459315</v>
      </c>
      <c r="D29" s="3087">
        <f t="shared" si="121"/>
        <v>266.90568668459315</v>
      </c>
      <c r="E29" s="3087">
        <f t="shared" ref="E29:F31" si="127">E28/(1+P28)</f>
        <v>436.47622852576905</v>
      </c>
      <c r="F29" s="3087">
        <f t="shared" si="127"/>
        <v>234.90930716622066</v>
      </c>
      <c r="G29" s="3570"/>
      <c r="H29" s="3118">
        <v>3</v>
      </c>
      <c r="I29" s="3118">
        <v>0.83</v>
      </c>
      <c r="J29" s="3118">
        <v>1.47</v>
      </c>
      <c r="K29" s="3118">
        <v>0.65</v>
      </c>
      <c r="L29" s="3119">
        <v>0.72</v>
      </c>
      <c r="N29" s="3089">
        <f t="shared" si="123"/>
        <v>8.3000000000000001E-3</v>
      </c>
      <c r="O29" s="3075">
        <f t="shared" si="119"/>
        <v>1.47E-2</v>
      </c>
      <c r="P29" s="3075">
        <f t="shared" si="119"/>
        <v>6.5000000000000006E-3</v>
      </c>
      <c r="Q29" s="3075">
        <f t="shared" si="119"/>
        <v>7.1999999999999998E-3</v>
      </c>
      <c r="R29" s="3090"/>
      <c r="S29" s="3089"/>
      <c r="T29" s="3075"/>
      <c r="U29" s="3075"/>
      <c r="V29" s="3075"/>
      <c r="X29" s="3097">
        <f>ROUND(SUMPRODUCT(PRODUCT(1+N29:N$31)),4)</f>
        <v>1.0631999999999999</v>
      </c>
      <c r="Y29" s="3097">
        <f>ROUND(SUMPRODUCT(PRODUCT(1+O29:O$31)),4)</f>
        <v>1.0595000000000001</v>
      </c>
      <c r="Z29" s="3097">
        <f t="shared" si="79"/>
        <v>1.0595000000000001</v>
      </c>
      <c r="AA29" s="3097">
        <f>ROUND(SUMPRODUCT(PRODUCT(1+P29:P$31)),4)</f>
        <v>1.0664</v>
      </c>
      <c r="AB29" s="3097">
        <f>ROUND(SUMPRODUCT(PRODUCT(1+Q29:Q$31)),4)</f>
        <v>1.0364</v>
      </c>
      <c r="AD29" s="3075">
        <f>ROUND(AVERAGE(I29:I$31)/100,4)</f>
        <v>2.07E-2</v>
      </c>
      <c r="AE29" s="3075">
        <f>ROUND(AVERAGE(J29:J$31)/100,4)</f>
        <v>1.95E-2</v>
      </c>
      <c r="AF29" s="3075">
        <f t="shared" si="1"/>
        <v>1.95E-2</v>
      </c>
      <c r="AG29" s="3075">
        <f>ROUND(AVERAGE(K29:K$31)/100,4)</f>
        <v>2.1700000000000001E-2</v>
      </c>
      <c r="AH29" s="3075">
        <f>ROUND(AVERAGE(L29:L$31)/100,4)</f>
        <v>1.2E-2</v>
      </c>
    </row>
    <row r="30" spans="1:34" ht="13.5" thickBot="1">
      <c r="A30" s="3086" t="s">
        <v>961</v>
      </c>
      <c r="B30" s="3087">
        <f t="shared" si="126"/>
        <v>314.72141172386546</v>
      </c>
      <c r="C30" s="3087">
        <f t="shared" si="126"/>
        <v>263.03901319069001</v>
      </c>
      <c r="D30" s="3087">
        <f t="shared" si="121"/>
        <v>263.03901319069001</v>
      </c>
      <c r="E30" s="3087">
        <f t="shared" si="127"/>
        <v>433.65745506782821</v>
      </c>
      <c r="F30" s="3087">
        <f t="shared" si="127"/>
        <v>233.23005080045735</v>
      </c>
      <c r="G30" s="3570"/>
      <c r="H30" s="3111">
        <v>2</v>
      </c>
      <c r="I30" s="3111">
        <v>2.4</v>
      </c>
      <c r="J30" s="3111">
        <v>2.0299999999999998</v>
      </c>
      <c r="K30" s="3111">
        <v>2.59</v>
      </c>
      <c r="L30" s="3112">
        <v>1.52</v>
      </c>
      <c r="N30" s="3089">
        <f t="shared" si="123"/>
        <v>2.4E-2</v>
      </c>
      <c r="O30" s="3075">
        <f t="shared" si="119"/>
        <v>2.0299999999999999E-2</v>
      </c>
      <c r="P30" s="3075">
        <f t="shared" si="119"/>
        <v>2.5899999999999999E-2</v>
      </c>
      <c r="Q30" s="3075">
        <f t="shared" si="119"/>
        <v>1.52E-2</v>
      </c>
      <c r="R30" s="3090"/>
      <c r="S30" s="3089"/>
      <c r="T30" s="3075"/>
      <c r="U30" s="3075"/>
      <c r="V30" s="3075"/>
      <c r="X30" s="3097">
        <f>ROUND(SUMPRODUCT(PRODUCT(1+N30:N$31)),4)</f>
        <v>1.0544</v>
      </c>
      <c r="Y30" s="3097">
        <f>ROUND(SUMPRODUCT(PRODUCT(1+O30:O$31)),4)</f>
        <v>1.0442</v>
      </c>
      <c r="Z30" s="3097">
        <f t="shared" si="79"/>
        <v>1.0442</v>
      </c>
      <c r="AA30" s="3097">
        <f>ROUND(SUMPRODUCT(PRODUCT(1+P30:P$31)),4)</f>
        <v>1.0595000000000001</v>
      </c>
      <c r="AB30" s="3097">
        <f>ROUND(SUMPRODUCT(PRODUCT(1+Q30:Q$31)),4)</f>
        <v>1.0289999999999999</v>
      </c>
      <c r="AD30" s="3075">
        <f>ROUND(AVERAGE(I30:I$31)/100,4)</f>
        <v>2.69E-2</v>
      </c>
      <c r="AE30" s="3075">
        <f>ROUND(AVERAGE(J30:J$31)/100,4)</f>
        <v>2.1899999999999999E-2</v>
      </c>
      <c r="AF30" s="3075">
        <f t="shared" ref="AF30" si="128">AE30</f>
        <v>2.1899999999999999E-2</v>
      </c>
      <c r="AG30" s="3075">
        <f>ROUND(AVERAGE(K30:K$31)/100,4)</f>
        <v>2.9399999999999999E-2</v>
      </c>
      <c r="AH30" s="3075">
        <f>ROUND(AVERAGE(L30:L$31)/100,4)</f>
        <v>1.44E-2</v>
      </c>
    </row>
    <row r="31" spans="1:34" s="3124" customFormat="1" ht="13.5" thickBot="1">
      <c r="A31" s="3120" t="s">
        <v>960</v>
      </c>
      <c r="B31" s="3121">
        <f t="shared" si="126"/>
        <v>307.34512863658733</v>
      </c>
      <c r="C31" s="3121">
        <f t="shared" si="126"/>
        <v>257.80556031626975</v>
      </c>
      <c r="D31" s="3121">
        <f t="shared" si="121"/>
        <v>257.80556031626975</v>
      </c>
      <c r="E31" s="3121">
        <f t="shared" si="127"/>
        <v>422.70928459677179</v>
      </c>
      <c r="F31" s="3121">
        <f t="shared" si="127"/>
        <v>229.73803270336617</v>
      </c>
      <c r="G31" s="3571"/>
      <c r="H31" s="3122">
        <v>1</v>
      </c>
      <c r="I31" s="3122">
        <v>2.97</v>
      </c>
      <c r="J31" s="3122">
        <v>2.34</v>
      </c>
      <c r="K31" s="3122">
        <v>3.28</v>
      </c>
      <c r="L31" s="3123">
        <v>1.36</v>
      </c>
      <c r="N31" s="3125">
        <f t="shared" si="123"/>
        <v>2.9700000000000001E-2</v>
      </c>
      <c r="O31" s="3126">
        <f t="shared" si="119"/>
        <v>2.3399999999999997E-2</v>
      </c>
      <c r="P31" s="3126">
        <f t="shared" si="119"/>
        <v>3.2799999999999996E-2</v>
      </c>
      <c r="Q31" s="3126">
        <f t="shared" si="119"/>
        <v>1.3600000000000001E-2</v>
      </c>
      <c r="R31" s="3127"/>
      <c r="S31" s="3128">
        <f>B31/B32-1</f>
        <v>2.7910129219355539E-2</v>
      </c>
      <c r="T31" s="3129">
        <f>C31/C32-1</f>
        <v>2.3037937762975247E-2</v>
      </c>
      <c r="U31" s="3129">
        <f>E31/E32-1</f>
        <v>3.3519033243940788E-2</v>
      </c>
      <c r="V31" s="3129">
        <f>F31/F32-1</f>
        <v>1.2061818076502862E-2</v>
      </c>
      <c r="W31" s="3130" t="s">
        <v>2636</v>
      </c>
      <c r="X31" s="3131">
        <v>1</v>
      </c>
      <c r="Y31" s="3131">
        <v>1</v>
      </c>
      <c r="Z31" s="3131">
        <v>1</v>
      </c>
      <c r="AA31" s="3131">
        <v>1</v>
      </c>
      <c r="AB31" s="3131">
        <v>1</v>
      </c>
      <c r="AD31" s="3126">
        <f>I31/100</f>
        <v>2.9700000000000001E-2</v>
      </c>
      <c r="AE31" s="3126">
        <f>J31/100</f>
        <v>2.3399999999999997E-2</v>
      </c>
      <c r="AF31" s="3126">
        <f>AE31</f>
        <v>2.3399999999999997E-2</v>
      </c>
      <c r="AG31" s="3126">
        <f>K31/100</f>
        <v>3.2799999999999996E-2</v>
      </c>
      <c r="AH31" s="3126">
        <f>L31/100</f>
        <v>1.3600000000000001E-2</v>
      </c>
    </row>
    <row r="32" spans="1:34" ht="13.5" thickBot="1">
      <c r="A32" s="3086" t="s">
        <v>2579</v>
      </c>
      <c r="B32" s="3109">
        <v>299</v>
      </c>
      <c r="C32" s="3109">
        <v>252</v>
      </c>
      <c r="D32" s="3109">
        <f t="shared" si="121"/>
        <v>252</v>
      </c>
      <c r="E32" s="3109">
        <v>409</v>
      </c>
      <c r="F32" s="3110">
        <v>227</v>
      </c>
      <c r="G32" s="3572">
        <v>2013</v>
      </c>
      <c r="H32" s="3132">
        <v>4</v>
      </c>
      <c r="I32" s="3132">
        <v>1.83</v>
      </c>
      <c r="J32" s="3132">
        <v>1.68</v>
      </c>
      <c r="K32" s="3132">
        <v>1.97</v>
      </c>
      <c r="L32" s="3133">
        <v>0.87</v>
      </c>
      <c r="N32" s="3106">
        <f t="shared" si="123"/>
        <v>1.83E-2</v>
      </c>
      <c r="O32" s="3107">
        <f t="shared" si="119"/>
        <v>1.6799999999999999E-2</v>
      </c>
      <c r="P32" s="3107">
        <f t="shared" si="119"/>
        <v>1.9699999999999999E-2</v>
      </c>
      <c r="Q32" s="3107">
        <f t="shared" si="119"/>
        <v>8.6999999999999994E-3</v>
      </c>
      <c r="R32" s="3090"/>
      <c r="S32" s="3100"/>
      <c r="T32" s="3101"/>
      <c r="U32" s="3101"/>
      <c r="V32" s="3101"/>
      <c r="X32" s="3101"/>
      <c r="Y32" s="3101"/>
      <c r="Z32" s="3101"/>
    </row>
    <row r="33" spans="1:26">
      <c r="A33" s="3086" t="s">
        <v>2580</v>
      </c>
      <c r="B33" s="3087">
        <f t="shared" ref="B33:C35" si="129">B32/(1+N32)</f>
        <v>293.62663262299913</v>
      </c>
      <c r="C33" s="3087">
        <f t="shared" si="129"/>
        <v>247.83634933123525</v>
      </c>
      <c r="D33" s="3087">
        <f t="shared" si="121"/>
        <v>247.83634933123525</v>
      </c>
      <c r="E33" s="3087">
        <f t="shared" ref="E33:F35" si="130">E32/(1+P32)</f>
        <v>401.09836226341076</v>
      </c>
      <c r="F33" s="3087">
        <f t="shared" si="130"/>
        <v>225.04213343908003</v>
      </c>
      <c r="G33" s="3573"/>
      <c r="H33" s="3114">
        <v>3</v>
      </c>
      <c r="I33" s="3114">
        <v>1.86</v>
      </c>
      <c r="J33" s="3114">
        <v>1.72</v>
      </c>
      <c r="K33" s="3114">
        <v>1.98</v>
      </c>
      <c r="L33" s="3115">
        <v>0.88</v>
      </c>
      <c r="N33" s="3089">
        <f t="shared" si="123"/>
        <v>1.8600000000000002E-2</v>
      </c>
      <c r="O33" s="3108">
        <f t="shared" si="119"/>
        <v>1.72E-2</v>
      </c>
      <c r="P33" s="3108">
        <f t="shared" si="119"/>
        <v>1.9799999999999998E-2</v>
      </c>
      <c r="Q33" s="3108">
        <f t="shared" si="119"/>
        <v>8.8000000000000005E-3</v>
      </c>
      <c r="R33" s="3090"/>
      <c r="S33" s="3089"/>
      <c r="T33" s="3075"/>
      <c r="U33" s="3075"/>
      <c r="V33" s="3075"/>
    </row>
    <row r="34" spans="1:26">
      <c r="A34" s="3086" t="s">
        <v>2581</v>
      </c>
      <c r="B34" s="3087">
        <f t="shared" si="129"/>
        <v>288.2649053828776</v>
      </c>
      <c r="C34" s="3087">
        <f t="shared" si="129"/>
        <v>243.64564425013293</v>
      </c>
      <c r="D34" s="3087">
        <f t="shared" si="121"/>
        <v>243.64564425013293</v>
      </c>
      <c r="E34" s="3087">
        <f t="shared" si="130"/>
        <v>393.31080825986544</v>
      </c>
      <c r="F34" s="3087">
        <f t="shared" si="130"/>
        <v>223.07903790551154</v>
      </c>
      <c r="G34" s="3573"/>
      <c r="H34" s="3102">
        <v>2</v>
      </c>
      <c r="I34" s="3102">
        <v>2.04</v>
      </c>
      <c r="J34" s="3102">
        <v>2.33</v>
      </c>
      <c r="K34" s="3102">
        <v>2.0699999999999998</v>
      </c>
      <c r="L34" s="3103">
        <v>0.69</v>
      </c>
      <c r="N34" s="3089">
        <f t="shared" si="123"/>
        <v>2.0400000000000001E-2</v>
      </c>
      <c r="O34" s="3108">
        <f t="shared" si="119"/>
        <v>2.3300000000000001E-2</v>
      </c>
      <c r="P34" s="3108">
        <f t="shared" si="119"/>
        <v>2.07E-2</v>
      </c>
      <c r="Q34" s="3108">
        <f t="shared" si="119"/>
        <v>6.8999999999999999E-3</v>
      </c>
      <c r="R34" s="3090"/>
      <c r="S34" s="3089"/>
      <c r="T34" s="3075"/>
      <c r="U34" s="3075"/>
      <c r="V34" s="3075"/>
      <c r="X34" s="3134"/>
      <c r="Y34" s="3135"/>
    </row>
    <row r="35" spans="1:26">
      <c r="A35" s="3086" t="s">
        <v>2582</v>
      </c>
      <c r="B35" s="3087">
        <f t="shared" si="129"/>
        <v>282.50186729015837</v>
      </c>
      <c r="C35" s="3087">
        <f t="shared" si="129"/>
        <v>238.09796174155468</v>
      </c>
      <c r="D35" s="3087">
        <f t="shared" si="121"/>
        <v>238.09796174155468</v>
      </c>
      <c r="E35" s="3087">
        <f t="shared" si="130"/>
        <v>385.33438646014054</v>
      </c>
      <c r="F35" s="3087">
        <f t="shared" si="130"/>
        <v>221.55034055567739</v>
      </c>
      <c r="G35" s="3574"/>
      <c r="H35" s="3088">
        <v>1</v>
      </c>
      <c r="I35" s="3088">
        <v>1.67</v>
      </c>
      <c r="J35" s="3088">
        <v>1.31</v>
      </c>
      <c r="K35" s="3088">
        <v>1.85</v>
      </c>
      <c r="L35" s="3094">
        <v>0.96</v>
      </c>
      <c r="N35" s="3091">
        <f t="shared" si="123"/>
        <v>1.67E-2</v>
      </c>
      <c r="O35" s="3092">
        <f t="shared" si="119"/>
        <v>1.3100000000000001E-2</v>
      </c>
      <c r="P35" s="3092">
        <f t="shared" si="119"/>
        <v>1.8500000000000003E-2</v>
      </c>
      <c r="Q35" s="3092">
        <f t="shared" si="119"/>
        <v>9.5999999999999992E-3</v>
      </c>
      <c r="R35" s="3090"/>
      <c r="S35" s="3091">
        <f>B35/B36-1</f>
        <v>1.6193767230785472E-2</v>
      </c>
      <c r="T35" s="3092">
        <f>C35/C36-1</f>
        <v>1.7512657015190891E-2</v>
      </c>
      <c r="U35" s="3092">
        <f>E35/E36-1</f>
        <v>1.6713420739157048E-2</v>
      </c>
      <c r="V35" s="3092">
        <f>F35/F36-1</f>
        <v>7.0470025258062563E-3</v>
      </c>
      <c r="X35" s="3136"/>
      <c r="Y35" s="3075"/>
      <c r="Z35" s="3075"/>
    </row>
    <row r="36" spans="1:26" ht="13.5" thickBot="1">
      <c r="A36" s="3086" t="s">
        <v>2583</v>
      </c>
      <c r="B36" s="3137">
        <v>278</v>
      </c>
      <c r="C36" s="3137">
        <v>234</v>
      </c>
      <c r="D36" s="3137">
        <f t="shared" si="121"/>
        <v>234</v>
      </c>
      <c r="E36" s="3137">
        <v>379</v>
      </c>
      <c r="F36" s="3138">
        <v>220</v>
      </c>
      <c r="G36" s="3569">
        <v>2012</v>
      </c>
      <c r="H36" s="3111">
        <v>4</v>
      </c>
      <c r="I36" s="3111">
        <v>0.91</v>
      </c>
      <c r="J36" s="3111">
        <v>0.68</v>
      </c>
      <c r="K36" s="3111">
        <v>0.98</v>
      </c>
      <c r="L36" s="3112">
        <v>0.9</v>
      </c>
      <c r="N36" s="3089">
        <f t="shared" si="123"/>
        <v>9.1000000000000004E-3</v>
      </c>
      <c r="O36" s="3075">
        <f t="shared" si="123"/>
        <v>6.8000000000000005E-3</v>
      </c>
      <c r="P36" s="3075">
        <f t="shared" si="123"/>
        <v>9.7999999999999997E-3</v>
      </c>
      <c r="Q36" s="3075">
        <f t="shared" si="123"/>
        <v>9.0000000000000011E-3</v>
      </c>
      <c r="R36" s="3090"/>
      <c r="S36" s="3100"/>
      <c r="T36" s="3101"/>
      <c r="U36" s="3101"/>
      <c r="V36" s="3101"/>
      <c r="X36" s="3101"/>
      <c r="Y36" s="3101"/>
      <c r="Z36" s="3101"/>
    </row>
    <row r="37" spans="1:26">
      <c r="A37" s="3086" t="s">
        <v>2584</v>
      </c>
      <c r="B37" s="3087">
        <f>B36/(1+N36)</f>
        <v>275.49301357645425</v>
      </c>
      <c r="C37" s="3087">
        <f>C36/(1+O36)</f>
        <v>232.41954707985698</v>
      </c>
      <c r="D37" s="3087">
        <f t="shared" si="121"/>
        <v>232.41954707985698</v>
      </c>
      <c r="E37" s="3087">
        <f t="shared" ref="E37:F39" si="131">E36/(1+P36)</f>
        <v>375.32184591008121</v>
      </c>
      <c r="F37" s="3087">
        <f t="shared" si="131"/>
        <v>218.03766105054513</v>
      </c>
      <c r="G37" s="3570"/>
      <c r="H37" s="3114">
        <v>3</v>
      </c>
      <c r="I37" s="3114">
        <v>0.09</v>
      </c>
      <c r="J37" s="3114">
        <v>0.28999999999999998</v>
      </c>
      <c r="K37" s="3114">
        <v>-0.01</v>
      </c>
      <c r="L37" s="3115">
        <v>0.57999999999999996</v>
      </c>
      <c r="N37" s="3089">
        <f t="shared" si="123"/>
        <v>8.9999999999999998E-4</v>
      </c>
      <c r="O37" s="3075">
        <f t="shared" si="123"/>
        <v>2.8999999999999998E-3</v>
      </c>
      <c r="P37" s="3075">
        <f t="shared" si="123"/>
        <v>-1E-4</v>
      </c>
      <c r="Q37" s="3075">
        <f t="shared" si="123"/>
        <v>5.7999999999999996E-3</v>
      </c>
      <c r="R37" s="3090"/>
      <c r="S37" s="3089"/>
      <c r="T37" s="3075"/>
      <c r="U37" s="3075"/>
      <c r="V37" s="3075"/>
    </row>
    <row r="38" spans="1:26">
      <c r="A38" s="3086" t="s">
        <v>2585</v>
      </c>
      <c r="B38" s="3087">
        <f>B37/(1+N37)</f>
        <v>275.24529281292263</v>
      </c>
      <c r="C38" s="3087">
        <f>C37/(1+O37)</f>
        <v>231.74747938962707</v>
      </c>
      <c r="D38" s="3087">
        <f t="shared" si="121"/>
        <v>231.74747938962707</v>
      </c>
      <c r="E38" s="3087">
        <f t="shared" si="131"/>
        <v>375.35938184826603</v>
      </c>
      <c r="F38" s="3087">
        <f t="shared" si="131"/>
        <v>216.78033510692495</v>
      </c>
      <c r="G38" s="3570"/>
      <c r="H38" s="3102">
        <v>2</v>
      </c>
      <c r="I38" s="3102">
        <v>0.02</v>
      </c>
      <c r="J38" s="3102">
        <v>0.12</v>
      </c>
      <c r="K38" s="3102">
        <v>-0.08</v>
      </c>
      <c r="L38" s="3103">
        <v>1.24</v>
      </c>
      <c r="N38" s="3089">
        <f t="shared" si="123"/>
        <v>2.0000000000000001E-4</v>
      </c>
      <c r="O38" s="3075">
        <f t="shared" si="123"/>
        <v>1.1999999999999999E-3</v>
      </c>
      <c r="P38" s="3075">
        <f t="shared" si="123"/>
        <v>-8.0000000000000004E-4</v>
      </c>
      <c r="Q38" s="3075">
        <f t="shared" si="123"/>
        <v>1.24E-2</v>
      </c>
      <c r="R38" s="3090"/>
      <c r="S38" s="3089"/>
      <c r="T38" s="3075"/>
      <c r="U38" s="3075"/>
      <c r="V38" s="3075"/>
    </row>
    <row r="39" spans="1:26" ht="13.5" thickBot="1">
      <c r="A39" s="3086" t="s">
        <v>2586</v>
      </c>
      <c r="B39" s="3087">
        <f>B38/(1+N38)</f>
        <v>275.19025476197027</v>
      </c>
      <c r="C39" s="3139">
        <v>232</v>
      </c>
      <c r="D39" s="3139">
        <f t="shared" si="121"/>
        <v>232</v>
      </c>
      <c r="E39" s="3087">
        <f t="shared" si="131"/>
        <v>375.65990977608692</v>
      </c>
      <c r="F39" s="3087">
        <f t="shared" si="131"/>
        <v>214.12518283971252</v>
      </c>
      <c r="G39" s="3571"/>
      <c r="H39" s="3088">
        <v>1</v>
      </c>
      <c r="I39" s="3088">
        <v>0.02</v>
      </c>
      <c r="J39" s="3088">
        <v>0.13</v>
      </c>
      <c r="K39" s="3088">
        <v>-0.04</v>
      </c>
      <c r="L39" s="3094">
        <v>0.46</v>
      </c>
      <c r="N39" s="3089">
        <f t="shared" si="123"/>
        <v>2.0000000000000001E-4</v>
      </c>
      <c r="O39" s="3075">
        <f t="shared" si="123"/>
        <v>1.2999999999999999E-3</v>
      </c>
      <c r="P39" s="3075">
        <f t="shared" si="123"/>
        <v>-4.0000000000000002E-4</v>
      </c>
      <c r="Q39" s="3075">
        <f t="shared" si="123"/>
        <v>4.5999999999999999E-3</v>
      </c>
      <c r="R39" s="3090"/>
      <c r="S39" s="3091">
        <f>B39/B40-1</f>
        <v>6.9183549807361189E-4</v>
      </c>
      <c r="T39" s="3092">
        <f>C39/C40-1</f>
        <v>0</v>
      </c>
      <c r="U39" s="3092">
        <f>E39/E40-1</f>
        <v>-9.0449527636460303E-4</v>
      </c>
      <c r="V39" s="3092">
        <f>F39/F40-1</f>
        <v>5.2825485432512753E-3</v>
      </c>
      <c r="X39" s="3075"/>
      <c r="Y39" s="3075"/>
      <c r="Z39" s="3075"/>
    </row>
    <row r="40" spans="1:26" ht="13.5" thickBot="1">
      <c r="A40" s="3086" t="s">
        <v>2587</v>
      </c>
      <c r="B40" s="3109">
        <v>275</v>
      </c>
      <c r="C40" s="3109">
        <v>232</v>
      </c>
      <c r="D40" s="3109">
        <f t="shared" si="121"/>
        <v>232</v>
      </c>
      <c r="E40" s="3109">
        <v>376</v>
      </c>
      <c r="F40" s="3110">
        <v>213</v>
      </c>
      <c r="G40" s="3569">
        <v>2011</v>
      </c>
      <c r="H40" s="3111">
        <v>4</v>
      </c>
      <c r="I40" s="3111">
        <v>-0.2</v>
      </c>
      <c r="J40" s="3111">
        <v>0.04</v>
      </c>
      <c r="K40" s="3111">
        <v>-0.34</v>
      </c>
      <c r="L40" s="3112">
        <v>0.46</v>
      </c>
      <c r="N40" s="3106">
        <f t="shared" si="123"/>
        <v>-2E-3</v>
      </c>
      <c r="O40" s="3107">
        <f t="shared" si="123"/>
        <v>4.0000000000000002E-4</v>
      </c>
      <c r="P40" s="3107">
        <f t="shared" si="123"/>
        <v>-3.4000000000000002E-3</v>
      </c>
      <c r="Q40" s="3107">
        <f t="shared" si="123"/>
        <v>4.5999999999999999E-3</v>
      </c>
      <c r="R40" s="3090"/>
      <c r="S40" s="3100"/>
      <c r="T40" s="3101"/>
      <c r="U40" s="3101"/>
      <c r="V40" s="3101"/>
      <c r="X40" s="3101"/>
      <c r="Y40" s="3101"/>
      <c r="Z40" s="3101"/>
    </row>
    <row r="41" spans="1:26">
      <c r="A41" s="3086" t="s">
        <v>2588</v>
      </c>
      <c r="B41" s="3087">
        <f t="shared" ref="B41:C43" si="132">B40/(1+N40)</f>
        <v>275.55110220440883</v>
      </c>
      <c r="C41" s="3087">
        <f t="shared" si="132"/>
        <v>231.90723710515795</v>
      </c>
      <c r="D41" s="3087">
        <f t="shared" si="121"/>
        <v>231.90723710515795</v>
      </c>
      <c r="E41" s="3087">
        <f t="shared" ref="E41:F43" si="133">E40/(1+P40)</f>
        <v>377.28276138872161</v>
      </c>
      <c r="F41" s="3087">
        <f t="shared" si="133"/>
        <v>212.02468644236512</v>
      </c>
      <c r="G41" s="3570">
        <v>2011</v>
      </c>
      <c r="H41" s="3114">
        <v>3</v>
      </c>
      <c r="I41" s="3114">
        <v>0.13</v>
      </c>
      <c r="J41" s="3114">
        <v>0.75</v>
      </c>
      <c r="K41" s="3114">
        <v>-0.08</v>
      </c>
      <c r="L41" s="3115">
        <v>0.53</v>
      </c>
      <c r="N41" s="3089">
        <f t="shared" si="123"/>
        <v>1.2999999999999999E-3</v>
      </c>
      <c r="O41" s="3108">
        <f t="shared" si="123"/>
        <v>7.4999999999999997E-3</v>
      </c>
      <c r="P41" s="3108">
        <f t="shared" si="123"/>
        <v>-8.0000000000000004E-4</v>
      </c>
      <c r="Q41" s="3108">
        <f t="shared" si="123"/>
        <v>5.3E-3</v>
      </c>
      <c r="R41" s="3090"/>
      <c r="S41" s="3089"/>
      <c r="T41" s="3075"/>
      <c r="U41" s="3075"/>
      <c r="V41" s="3075"/>
    </row>
    <row r="42" spans="1:26">
      <c r="A42" s="3086" t="s">
        <v>2589</v>
      </c>
      <c r="B42" s="3087">
        <f t="shared" si="132"/>
        <v>275.19335084830601</v>
      </c>
      <c r="C42" s="3087">
        <f t="shared" si="132"/>
        <v>230.18088050139744</v>
      </c>
      <c r="D42" s="3087">
        <f t="shared" si="121"/>
        <v>230.18088050139744</v>
      </c>
      <c r="E42" s="3087">
        <f t="shared" si="133"/>
        <v>377.58482925212331</v>
      </c>
      <c r="F42" s="3087">
        <f t="shared" si="133"/>
        <v>210.90687997847917</v>
      </c>
      <c r="G42" s="3570">
        <v>2011</v>
      </c>
      <c r="H42" s="3102">
        <v>2</v>
      </c>
      <c r="I42" s="3102">
        <v>-0.4</v>
      </c>
      <c r="J42" s="3102">
        <v>0.17</v>
      </c>
      <c r="K42" s="3102">
        <v>-0.57999999999999996</v>
      </c>
      <c r="L42" s="3103">
        <v>-0.2</v>
      </c>
      <c r="N42" s="3089">
        <f t="shared" si="123"/>
        <v>-4.0000000000000001E-3</v>
      </c>
      <c r="O42" s="3108">
        <f t="shared" si="123"/>
        <v>1.7000000000000001E-3</v>
      </c>
      <c r="P42" s="3108">
        <f t="shared" si="123"/>
        <v>-5.7999999999999996E-3</v>
      </c>
      <c r="Q42" s="3108">
        <f t="shared" si="123"/>
        <v>-2E-3</v>
      </c>
      <c r="R42" s="3090"/>
      <c r="S42" s="3089"/>
      <c r="T42" s="3075"/>
      <c r="U42" s="3075"/>
      <c r="V42" s="3075"/>
    </row>
    <row r="43" spans="1:26" ht="13.5" thickBot="1">
      <c r="A43" s="3086" t="s">
        <v>2590</v>
      </c>
      <c r="B43" s="3087">
        <f t="shared" si="132"/>
        <v>276.29854502841971</v>
      </c>
      <c r="C43" s="3087">
        <f t="shared" si="132"/>
        <v>229.79023709833027</v>
      </c>
      <c r="D43" s="3087">
        <f t="shared" si="121"/>
        <v>229.79023709833027</v>
      </c>
      <c r="E43" s="3087">
        <f t="shared" si="133"/>
        <v>379.78759731655936</v>
      </c>
      <c r="F43" s="3087">
        <f t="shared" si="133"/>
        <v>211.32953905659235</v>
      </c>
      <c r="G43" s="3571">
        <v>2011</v>
      </c>
      <c r="H43" s="3088">
        <v>1</v>
      </c>
      <c r="I43" s="3088">
        <v>2.65</v>
      </c>
      <c r="J43" s="3088">
        <v>3.76</v>
      </c>
      <c r="K43" s="3088">
        <v>1.89</v>
      </c>
      <c r="L43" s="3094">
        <v>7.95</v>
      </c>
      <c r="N43" s="3091">
        <f t="shared" si="123"/>
        <v>2.6499999999999999E-2</v>
      </c>
      <c r="O43" s="3092">
        <f t="shared" si="123"/>
        <v>3.7599999999999995E-2</v>
      </c>
      <c r="P43" s="3092">
        <f t="shared" si="123"/>
        <v>1.89E-2</v>
      </c>
      <c r="Q43" s="3092">
        <f t="shared" si="123"/>
        <v>7.9500000000000001E-2</v>
      </c>
      <c r="R43" s="3090"/>
      <c r="S43" s="3091">
        <f>B43/B44-1</f>
        <v>2.713213765211786E-2</v>
      </c>
      <c r="T43" s="3092">
        <f>C43/C44-1</f>
        <v>3.9774828499231862E-2</v>
      </c>
      <c r="U43" s="3092">
        <f>E43/E44-1</f>
        <v>1.8197311840641772E-2</v>
      </c>
      <c r="V43" s="3092">
        <f>F43/F44-1</f>
        <v>7.8211933962205826E-2</v>
      </c>
      <c r="X43" s="3075"/>
      <c r="Y43" s="3075"/>
      <c r="Z43" s="3075"/>
    </row>
    <row r="44" spans="1:26" ht="13.5" thickBot="1">
      <c r="A44" s="3086" t="s">
        <v>2591</v>
      </c>
      <c r="B44" s="3109">
        <v>269</v>
      </c>
      <c r="C44" s="3109">
        <v>221</v>
      </c>
      <c r="D44" s="3109">
        <f t="shared" si="121"/>
        <v>221</v>
      </c>
      <c r="E44" s="3109">
        <v>373</v>
      </c>
      <c r="F44" s="3110">
        <v>196</v>
      </c>
      <c r="G44" s="3569">
        <v>2010</v>
      </c>
      <c r="H44" s="3111">
        <v>4</v>
      </c>
      <c r="I44" s="3111">
        <v>5.72</v>
      </c>
      <c r="J44" s="3111">
        <v>6.57</v>
      </c>
      <c r="K44" s="3111">
        <v>5.72</v>
      </c>
      <c r="L44" s="3112">
        <v>2.72</v>
      </c>
      <c r="N44" s="3089">
        <f t="shared" si="123"/>
        <v>5.7200000000000001E-2</v>
      </c>
      <c r="O44" s="3075">
        <f t="shared" si="123"/>
        <v>6.5700000000000008E-2</v>
      </c>
      <c r="P44" s="3075">
        <f t="shared" si="123"/>
        <v>5.7200000000000001E-2</v>
      </c>
      <c r="Q44" s="3075">
        <f t="shared" si="123"/>
        <v>2.7200000000000002E-2</v>
      </c>
      <c r="R44" s="3090"/>
      <c r="S44" s="3100"/>
      <c r="T44" s="3101"/>
      <c r="U44" s="3101"/>
      <c r="V44" s="3101"/>
      <c r="X44" s="3101"/>
      <c r="Y44" s="3101"/>
      <c r="Z44" s="3101"/>
    </row>
    <row r="45" spans="1:26">
      <c r="A45" s="3086" t="s">
        <v>2592</v>
      </c>
      <c r="B45" s="3087">
        <f t="shared" ref="B45:C47" si="134">B44/(1+N44)</f>
        <v>254.44570563753314</v>
      </c>
      <c r="C45" s="3087">
        <f t="shared" si="134"/>
        <v>207.37543398705074</v>
      </c>
      <c r="D45" s="3087">
        <f t="shared" si="121"/>
        <v>207.37543398705074</v>
      </c>
      <c r="E45" s="3087">
        <f t="shared" ref="E45:F47" si="135">E44/(1+P44)</f>
        <v>352.81876655315932</v>
      </c>
      <c r="F45" s="3087">
        <f t="shared" si="135"/>
        <v>190.809968847352</v>
      </c>
      <c r="G45" s="3570">
        <v>2010</v>
      </c>
      <c r="H45" s="3114">
        <v>3</v>
      </c>
      <c r="I45" s="3114">
        <v>4.7300000000000004</v>
      </c>
      <c r="J45" s="3114">
        <v>3.9</v>
      </c>
      <c r="K45" s="3114">
        <v>5.03</v>
      </c>
      <c r="L45" s="3115">
        <v>4.21</v>
      </c>
      <c r="N45" s="3089">
        <f t="shared" si="123"/>
        <v>4.7300000000000002E-2</v>
      </c>
      <c r="O45" s="3075">
        <f t="shared" si="123"/>
        <v>3.9E-2</v>
      </c>
      <c r="P45" s="3075">
        <f t="shared" si="123"/>
        <v>5.0300000000000004E-2</v>
      </c>
      <c r="Q45" s="3075">
        <f t="shared" si="123"/>
        <v>4.2099999999999999E-2</v>
      </c>
      <c r="R45" s="3090"/>
      <c r="S45" s="3089"/>
      <c r="T45" s="3075"/>
      <c r="U45" s="3075"/>
      <c r="V45" s="3075"/>
    </row>
    <row r="46" spans="1:26">
      <c r="A46" s="3086" t="s">
        <v>2593</v>
      </c>
      <c r="B46" s="3087">
        <f t="shared" si="134"/>
        <v>242.95398227588385</v>
      </c>
      <c r="C46" s="3087">
        <f t="shared" si="134"/>
        <v>199.59137053614126</v>
      </c>
      <c r="D46" s="3087">
        <f t="shared" si="121"/>
        <v>199.59137053614126</v>
      </c>
      <c r="E46" s="3087">
        <f t="shared" si="135"/>
        <v>335.92189522342125</v>
      </c>
      <c r="F46" s="3087">
        <f t="shared" si="135"/>
        <v>183.10139991109489</v>
      </c>
      <c r="G46" s="3570">
        <v>2010</v>
      </c>
      <c r="H46" s="3102">
        <v>2</v>
      </c>
      <c r="I46" s="3102">
        <v>4.6900000000000004</v>
      </c>
      <c r="J46" s="3102">
        <v>3.55</v>
      </c>
      <c r="K46" s="3102">
        <v>5.07</v>
      </c>
      <c r="L46" s="3103">
        <v>4.2300000000000004</v>
      </c>
      <c r="N46" s="3089">
        <f t="shared" si="123"/>
        <v>4.6900000000000004E-2</v>
      </c>
      <c r="O46" s="3075">
        <f t="shared" si="123"/>
        <v>3.5499999999999997E-2</v>
      </c>
      <c r="P46" s="3075">
        <f t="shared" si="123"/>
        <v>5.0700000000000002E-2</v>
      </c>
      <c r="Q46" s="3075">
        <f t="shared" si="123"/>
        <v>4.2300000000000004E-2</v>
      </c>
      <c r="R46" s="3090"/>
      <c r="S46" s="3089"/>
      <c r="T46" s="3075"/>
      <c r="U46" s="3075"/>
      <c r="V46" s="3075"/>
    </row>
    <row r="47" spans="1:26" ht="13.5" thickBot="1">
      <c r="A47" s="3086" t="s">
        <v>2594</v>
      </c>
      <c r="B47" s="3087">
        <f t="shared" si="134"/>
        <v>232.06990378821649</v>
      </c>
      <c r="C47" s="3087">
        <f t="shared" si="134"/>
        <v>192.74878854286936</v>
      </c>
      <c r="D47" s="3087">
        <f t="shared" si="121"/>
        <v>192.74878854286936</v>
      </c>
      <c r="E47" s="3087">
        <f t="shared" si="135"/>
        <v>319.71247284992984</v>
      </c>
      <c r="F47" s="3087">
        <f t="shared" si="135"/>
        <v>175.67053622862409</v>
      </c>
      <c r="G47" s="3571">
        <v>2010</v>
      </c>
      <c r="H47" s="3088">
        <v>1</v>
      </c>
      <c r="I47" s="3088">
        <v>5.4</v>
      </c>
      <c r="J47" s="3088">
        <v>3.2</v>
      </c>
      <c r="K47" s="3088">
        <v>6.16</v>
      </c>
      <c r="L47" s="3094">
        <v>4.51</v>
      </c>
      <c r="N47" s="3089">
        <f t="shared" si="123"/>
        <v>5.4000000000000006E-2</v>
      </c>
      <c r="O47" s="3075">
        <f t="shared" si="123"/>
        <v>3.2000000000000001E-2</v>
      </c>
      <c r="P47" s="3075">
        <f t="shared" si="123"/>
        <v>6.1600000000000002E-2</v>
      </c>
      <c r="Q47" s="3075">
        <f t="shared" si="123"/>
        <v>4.5100000000000001E-2</v>
      </c>
      <c r="R47" s="3090"/>
      <c r="S47" s="3091">
        <f>B47/B48-1</f>
        <v>5.4863199037347599E-2</v>
      </c>
      <c r="T47" s="3092">
        <f>C47/C48-1</f>
        <v>3.0742184721226584E-2</v>
      </c>
      <c r="U47" s="3092">
        <f>E47/E48-1</f>
        <v>6.2167683886810154E-2</v>
      </c>
      <c r="V47" s="3092">
        <f>F47/F48-1</f>
        <v>4.5657953741810031E-2</v>
      </c>
      <c r="X47" s="3075"/>
      <c r="Y47" s="3075"/>
      <c r="Z47" s="3075"/>
    </row>
    <row r="48" spans="1:26" ht="13.5" thickBot="1">
      <c r="A48" s="3086" t="s">
        <v>2595</v>
      </c>
      <c r="B48" s="3109">
        <v>220</v>
      </c>
      <c r="C48" s="3109">
        <v>187</v>
      </c>
      <c r="D48" s="3109">
        <f t="shared" si="121"/>
        <v>187</v>
      </c>
      <c r="E48" s="3109">
        <v>301</v>
      </c>
      <c r="F48" s="3110">
        <v>168</v>
      </c>
      <c r="G48" s="3569">
        <v>2009</v>
      </c>
      <c r="H48" s="3111">
        <v>4</v>
      </c>
      <c r="I48" s="3111">
        <v>2.2999999999999998</v>
      </c>
      <c r="J48" s="3111">
        <v>1.04</v>
      </c>
      <c r="K48" s="3111">
        <v>2.84</v>
      </c>
      <c r="L48" s="3112">
        <v>0.67</v>
      </c>
      <c r="N48" s="3106">
        <f t="shared" si="123"/>
        <v>2.3E-2</v>
      </c>
      <c r="O48" s="3107">
        <f t="shared" si="123"/>
        <v>1.04E-2</v>
      </c>
      <c r="P48" s="3107">
        <f t="shared" si="123"/>
        <v>2.8399999999999998E-2</v>
      </c>
      <c r="Q48" s="3107">
        <f t="shared" si="123"/>
        <v>6.7000000000000002E-3</v>
      </c>
      <c r="R48" s="3090"/>
      <c r="S48" s="3100"/>
      <c r="T48" s="3101"/>
      <c r="U48" s="3101"/>
      <c r="V48" s="3101"/>
      <c r="X48" s="3101"/>
      <c r="Y48" s="3101"/>
      <c r="Z48" s="3101"/>
    </row>
    <row r="49" spans="1:26">
      <c r="A49" s="3086" t="s">
        <v>2596</v>
      </c>
      <c r="B49" s="3087">
        <f t="shared" ref="B49:C51" si="136">B48/(1+N48)</f>
        <v>215.05376344086022</v>
      </c>
      <c r="C49" s="3087">
        <f t="shared" si="136"/>
        <v>185.0752177355503</v>
      </c>
      <c r="D49" s="3087">
        <f t="shared" si="121"/>
        <v>185.0752177355503</v>
      </c>
      <c r="E49" s="3087">
        <f t="shared" ref="E49:F51" si="137">E48/(1+P48)</f>
        <v>292.68767016725008</v>
      </c>
      <c r="F49" s="3087">
        <f t="shared" si="137"/>
        <v>166.88189132810174</v>
      </c>
      <c r="G49" s="3570">
        <v>2009</v>
      </c>
      <c r="H49" s="3114">
        <v>3</v>
      </c>
      <c r="I49" s="3114">
        <v>2.1</v>
      </c>
      <c r="J49" s="3114">
        <v>1.86</v>
      </c>
      <c r="K49" s="3114">
        <v>2.29</v>
      </c>
      <c r="L49" s="3115">
        <v>0.85</v>
      </c>
      <c r="N49" s="3089">
        <f t="shared" si="123"/>
        <v>2.1000000000000001E-2</v>
      </c>
      <c r="O49" s="3108">
        <f t="shared" si="123"/>
        <v>1.8600000000000002E-2</v>
      </c>
      <c r="P49" s="3108">
        <f t="shared" si="123"/>
        <v>2.29E-2</v>
      </c>
      <c r="Q49" s="3108">
        <f t="shared" si="123"/>
        <v>8.5000000000000006E-3</v>
      </c>
      <c r="R49" s="3090"/>
      <c r="S49" s="3089"/>
      <c r="T49" s="3075"/>
      <c r="U49" s="3075"/>
      <c r="V49" s="3075"/>
    </row>
    <row r="50" spans="1:26">
      <c r="A50" s="3086" t="s">
        <v>2597</v>
      </c>
      <c r="B50" s="3087">
        <f t="shared" si="136"/>
        <v>210.630522469011</v>
      </c>
      <c r="C50" s="3087">
        <f t="shared" si="136"/>
        <v>181.69567812247232</v>
      </c>
      <c r="D50" s="3087">
        <f t="shared" si="121"/>
        <v>181.69567812247232</v>
      </c>
      <c r="E50" s="3087">
        <f t="shared" si="137"/>
        <v>286.13517466736738</v>
      </c>
      <c r="F50" s="3087">
        <f t="shared" si="137"/>
        <v>165.47535084591149</v>
      </c>
      <c r="G50" s="3570">
        <v>2009</v>
      </c>
      <c r="H50" s="3102">
        <v>2</v>
      </c>
      <c r="I50" s="3102">
        <v>0.86</v>
      </c>
      <c r="J50" s="3102">
        <v>-1.1299999999999999</v>
      </c>
      <c r="K50" s="3102">
        <v>1.79</v>
      </c>
      <c r="L50" s="3103">
        <v>-2.0699999999999998</v>
      </c>
      <c r="N50" s="3089">
        <f t="shared" si="123"/>
        <v>8.6E-3</v>
      </c>
      <c r="O50" s="3108">
        <f t="shared" si="123"/>
        <v>-1.1299999999999999E-2</v>
      </c>
      <c r="P50" s="3108">
        <f t="shared" si="123"/>
        <v>1.7899999999999999E-2</v>
      </c>
      <c r="Q50" s="3108">
        <f t="shared" si="123"/>
        <v>-2.07E-2</v>
      </c>
      <c r="R50" s="3090"/>
      <c r="S50" s="3089"/>
      <c r="T50" s="3075"/>
      <c r="U50" s="3075"/>
      <c r="V50" s="3075"/>
    </row>
    <row r="51" spans="1:26">
      <c r="A51" s="3086" t="s">
        <v>2598</v>
      </c>
      <c r="B51" s="3087">
        <f t="shared" si="136"/>
        <v>208.83454537875372</v>
      </c>
      <c r="C51" s="3087">
        <f t="shared" si="136"/>
        <v>183.77230517090351</v>
      </c>
      <c r="D51" s="3087">
        <f t="shared" si="121"/>
        <v>183.77230517090351</v>
      </c>
      <c r="E51" s="3087">
        <f t="shared" si="137"/>
        <v>281.10342338870947</v>
      </c>
      <c r="F51" s="3087">
        <f t="shared" si="137"/>
        <v>168.97309388942256</v>
      </c>
      <c r="G51" s="3571">
        <v>2009</v>
      </c>
      <c r="H51" s="3088">
        <v>1</v>
      </c>
      <c r="I51" s="3088">
        <v>-2.64</v>
      </c>
      <c r="J51" s="3088">
        <v>-2.5299999999999998</v>
      </c>
      <c r="K51" s="3088">
        <v>-3.02</v>
      </c>
      <c r="L51" s="3094">
        <v>1.52</v>
      </c>
      <c r="N51" s="3091">
        <f t="shared" si="123"/>
        <v>-2.64E-2</v>
      </c>
      <c r="O51" s="3092">
        <f t="shared" si="123"/>
        <v>-2.53E-2</v>
      </c>
      <c r="P51" s="3092">
        <f t="shared" si="123"/>
        <v>-3.0200000000000001E-2</v>
      </c>
      <c r="Q51" s="3092">
        <f t="shared" si="123"/>
        <v>1.52E-2</v>
      </c>
      <c r="R51" s="3090"/>
      <c r="S51" s="3091">
        <f>B51/B52-1</f>
        <v>-2.4137638417038754E-2</v>
      </c>
      <c r="T51" s="3092">
        <f>C51/C52-1</f>
        <v>-2.248773845264096E-2</v>
      </c>
      <c r="U51" s="3092">
        <f>E51/E52-1</f>
        <v>-2.7323794502735366E-2</v>
      </c>
      <c r="V51" s="3092">
        <f>F51/F52-1</f>
        <v>1.7910204153148035E-2</v>
      </c>
      <c r="X51" s="3075"/>
      <c r="Y51" s="3075"/>
      <c r="Z51" s="3075"/>
    </row>
    <row r="52" spans="1:26" ht="13.5" thickBot="1">
      <c r="A52" s="3086" t="s">
        <v>2599</v>
      </c>
      <c r="B52" s="3137">
        <v>214</v>
      </c>
      <c r="C52" s="3137">
        <v>188</v>
      </c>
      <c r="D52" s="3137">
        <f t="shared" si="121"/>
        <v>188</v>
      </c>
      <c r="E52" s="3137">
        <v>289</v>
      </c>
      <c r="F52" s="3138">
        <v>166</v>
      </c>
      <c r="G52" s="3569">
        <v>2008</v>
      </c>
      <c r="H52" s="3111">
        <v>4</v>
      </c>
      <c r="I52" s="3111">
        <v>1.73</v>
      </c>
      <c r="J52" s="3111">
        <v>0.03</v>
      </c>
      <c r="K52" s="3111">
        <v>2.59</v>
      </c>
      <c r="L52" s="3112">
        <v>-1.66</v>
      </c>
      <c r="N52" s="3089">
        <f t="shared" si="123"/>
        <v>1.7299999999999999E-2</v>
      </c>
      <c r="O52" s="3075">
        <f t="shared" si="123"/>
        <v>2.9999999999999997E-4</v>
      </c>
      <c r="P52" s="3075">
        <f t="shared" si="123"/>
        <v>2.5899999999999999E-2</v>
      </c>
      <c r="Q52" s="3075">
        <f t="shared" si="123"/>
        <v>-1.66E-2</v>
      </c>
      <c r="R52" s="3090"/>
      <c r="S52" s="3100"/>
      <c r="T52" s="3101"/>
      <c r="U52" s="3101"/>
      <c r="V52" s="3101"/>
      <c r="X52" s="3101"/>
      <c r="Y52" s="3101"/>
      <c r="Z52" s="3101"/>
    </row>
    <row r="53" spans="1:26">
      <c r="A53" s="3086" t="s">
        <v>2600</v>
      </c>
      <c r="B53" s="3087">
        <f t="shared" ref="B53:C55" si="138">B52/(1+N52)</f>
        <v>210.36075887152265</v>
      </c>
      <c r="C53" s="3087">
        <f t="shared" si="138"/>
        <v>187.94361691492554</v>
      </c>
      <c r="D53" s="3087">
        <f t="shared" si="121"/>
        <v>187.94361691492554</v>
      </c>
      <c r="E53" s="3087">
        <f t="shared" ref="E53:F55" si="139">E52/(1+P52)</f>
        <v>281.70386977288234</v>
      </c>
      <c r="F53" s="3087">
        <f t="shared" si="139"/>
        <v>168.80211511083994</v>
      </c>
      <c r="G53" s="3570">
        <v>2008</v>
      </c>
      <c r="H53" s="3114">
        <v>3</v>
      </c>
      <c r="I53" s="3114">
        <v>1.96</v>
      </c>
      <c r="J53" s="3114">
        <v>2.36</v>
      </c>
      <c r="K53" s="3114">
        <v>1.82</v>
      </c>
      <c r="L53" s="3115">
        <v>2.2200000000000002</v>
      </c>
      <c r="N53" s="3089">
        <f t="shared" si="123"/>
        <v>1.9599999999999999E-2</v>
      </c>
      <c r="O53" s="3075">
        <f t="shared" si="123"/>
        <v>2.3599999999999999E-2</v>
      </c>
      <c r="P53" s="3075">
        <f t="shared" si="123"/>
        <v>1.8200000000000001E-2</v>
      </c>
      <c r="Q53" s="3075">
        <f t="shared" si="123"/>
        <v>2.2200000000000001E-2</v>
      </c>
      <c r="R53" s="3090"/>
      <c r="S53" s="3089"/>
      <c r="T53" s="3075"/>
      <c r="U53" s="3075"/>
      <c r="V53" s="3075"/>
    </row>
    <row r="54" spans="1:26">
      <c r="A54" s="3086" t="s">
        <v>2601</v>
      </c>
      <c r="B54" s="3087">
        <f t="shared" si="138"/>
        <v>206.31694671589116</v>
      </c>
      <c r="C54" s="3087">
        <f t="shared" si="138"/>
        <v>183.61041121036101</v>
      </c>
      <c r="D54" s="3087">
        <f t="shared" si="121"/>
        <v>183.61041121036101</v>
      </c>
      <c r="E54" s="3087">
        <f t="shared" si="139"/>
        <v>276.66850301795557</v>
      </c>
      <c r="F54" s="3087">
        <f t="shared" si="139"/>
        <v>165.1360938278614</v>
      </c>
      <c r="G54" s="3570">
        <v>2008</v>
      </c>
      <c r="H54" s="3102">
        <v>2</v>
      </c>
      <c r="I54" s="3102">
        <v>4.93</v>
      </c>
      <c r="J54" s="3102">
        <v>7.38</v>
      </c>
      <c r="K54" s="3102">
        <v>3.98</v>
      </c>
      <c r="L54" s="3103">
        <v>6.86</v>
      </c>
      <c r="N54" s="3089">
        <f t="shared" si="123"/>
        <v>4.9299999999999997E-2</v>
      </c>
      <c r="O54" s="3075">
        <f t="shared" si="123"/>
        <v>7.3800000000000004E-2</v>
      </c>
      <c r="P54" s="3075">
        <f t="shared" si="123"/>
        <v>3.9800000000000002E-2</v>
      </c>
      <c r="Q54" s="3075">
        <f t="shared" si="123"/>
        <v>6.8600000000000008E-2</v>
      </c>
      <c r="R54" s="3090"/>
      <c r="S54" s="3089"/>
      <c r="T54" s="3075"/>
      <c r="U54" s="3075"/>
      <c r="V54" s="3075"/>
    </row>
    <row r="55" spans="1:26" s="3143" customFormat="1" ht="13.5" thickBot="1">
      <c r="A55" s="3086" t="s">
        <v>2602</v>
      </c>
      <c r="B55" s="3140">
        <f t="shared" si="138"/>
        <v>196.62341248059772</v>
      </c>
      <c r="C55" s="3140">
        <f t="shared" si="138"/>
        <v>170.99125648199012</v>
      </c>
      <c r="D55" s="3140">
        <f t="shared" si="121"/>
        <v>170.99125648199012</v>
      </c>
      <c r="E55" s="3140">
        <f t="shared" si="139"/>
        <v>266.07857570490052</v>
      </c>
      <c r="F55" s="3140">
        <f t="shared" si="139"/>
        <v>154.53499328828505</v>
      </c>
      <c r="G55" s="3571">
        <v>2008</v>
      </c>
      <c r="H55" s="3141">
        <v>1</v>
      </c>
      <c r="I55" s="3141">
        <v>4.1399999999999997</v>
      </c>
      <c r="J55" s="3141">
        <v>3.45</v>
      </c>
      <c r="K55" s="3141">
        <v>4.95</v>
      </c>
      <c r="L55" s="3142">
        <v>4.82</v>
      </c>
      <c r="N55" s="3144">
        <f t="shared" si="123"/>
        <v>4.1399999999999999E-2</v>
      </c>
      <c r="O55" s="3145">
        <f t="shared" si="123"/>
        <v>3.4500000000000003E-2</v>
      </c>
      <c r="P55" s="3145">
        <f t="shared" si="123"/>
        <v>4.9500000000000002E-2</v>
      </c>
      <c r="Q55" s="3145">
        <f t="shared" si="123"/>
        <v>4.82E-2</v>
      </c>
      <c r="R55" s="3146"/>
      <c r="S55" s="3144">
        <f>B55/B56-1</f>
        <v>4.5869215322328349E-2</v>
      </c>
      <c r="T55" s="3145">
        <f>C55/C56-1</f>
        <v>3.6310645345394743E-2</v>
      </c>
      <c r="U55" s="3145">
        <f>E55/E56-1</f>
        <v>4.7553447657088688E-2</v>
      </c>
      <c r="V55" s="3145">
        <f>F55/F56-1</f>
        <v>4.4155360055980086E-2</v>
      </c>
      <c r="X55" s="3145"/>
      <c r="Y55" s="3145"/>
      <c r="Z55" s="3145"/>
    </row>
    <row r="56" spans="1:26" ht="13.5" thickBot="1">
      <c r="A56" s="3086" t="s">
        <v>2603</v>
      </c>
      <c r="B56" s="3109">
        <v>188</v>
      </c>
      <c r="C56" s="3109">
        <v>165</v>
      </c>
      <c r="D56" s="3109">
        <f t="shared" si="121"/>
        <v>165</v>
      </c>
      <c r="E56" s="3109">
        <v>254</v>
      </c>
      <c r="F56" s="3110">
        <v>148</v>
      </c>
      <c r="G56" s="3569">
        <v>2007</v>
      </c>
      <c r="H56" s="3147">
        <v>4</v>
      </c>
      <c r="I56" s="3147">
        <v>5.51</v>
      </c>
      <c r="J56" s="3147">
        <v>4.8899999999999997</v>
      </c>
      <c r="K56" s="3147">
        <v>6.43</v>
      </c>
      <c r="L56" s="3148">
        <v>5.36</v>
      </c>
      <c r="N56" s="3149">
        <f t="shared" ref="N56:O59" si="140">B56/B57-1</f>
        <v>4.1339718365245526E-2</v>
      </c>
      <c r="O56" s="3150">
        <f t="shared" si="140"/>
        <v>4.0324492593776018E-2</v>
      </c>
      <c r="P56" s="3150">
        <f t="shared" ref="P56:Q59" si="141">E56/E57-1</f>
        <v>6.1625555347990968E-2</v>
      </c>
      <c r="Q56" s="3150">
        <f t="shared" si="141"/>
        <v>4.6757569250590603E-2</v>
      </c>
      <c r="R56" s="3090"/>
      <c r="S56" s="3100"/>
      <c r="T56" s="3101"/>
      <c r="U56" s="3101"/>
      <c r="V56" s="3101"/>
      <c r="X56" s="3101"/>
      <c r="Y56" s="3101"/>
      <c r="Z56" s="3101"/>
    </row>
    <row r="57" spans="1:26">
      <c r="A57" s="3086" t="s">
        <v>2604</v>
      </c>
      <c r="B57" s="3087">
        <f t="shared" ref="B57:C59" si="142">B58+(B$56-B$60)*I57/SUM(I$56:I$59)</f>
        <v>180.5366651097618</v>
      </c>
      <c r="C57" s="3087">
        <f t="shared" si="142"/>
        <v>158.60435967302453</v>
      </c>
      <c r="D57" s="3087">
        <f t="shared" si="121"/>
        <v>158.60435967302453</v>
      </c>
      <c r="E57" s="3087">
        <f t="shared" ref="E57:F59" si="143">E58+(E$56-E$60)*K57/SUM(K$56:K$59)</f>
        <v>239.25573260785075</v>
      </c>
      <c r="F57" s="3087">
        <f t="shared" si="143"/>
        <v>141.38899430740037</v>
      </c>
      <c r="G57" s="3570">
        <v>2007</v>
      </c>
      <c r="H57" s="3114">
        <v>3</v>
      </c>
      <c r="I57" s="3114">
        <v>8.65</v>
      </c>
      <c r="J57" s="3114">
        <v>8.06</v>
      </c>
      <c r="K57" s="3114">
        <v>9.94</v>
      </c>
      <c r="L57" s="3115">
        <v>5.8</v>
      </c>
      <c r="N57" s="3149">
        <f t="shared" si="140"/>
        <v>6.940217571740015E-2</v>
      </c>
      <c r="O57" s="3150">
        <f t="shared" si="140"/>
        <v>7.1197482471153428E-2</v>
      </c>
      <c r="P57" s="3150">
        <f t="shared" si="141"/>
        <v>0.10529679922579582</v>
      </c>
      <c r="Q57" s="3150">
        <f t="shared" si="141"/>
        <v>5.3292245059512133E-2</v>
      </c>
      <c r="R57" s="3090"/>
      <c r="S57" s="3089"/>
      <c r="T57" s="3075"/>
      <c r="U57" s="3075"/>
      <c r="V57" s="3075"/>
      <c r="X57" s="3151"/>
      <c r="Y57" s="3151"/>
      <c r="Z57" s="3151"/>
    </row>
    <row r="58" spans="1:26">
      <c r="A58" s="3086" t="s">
        <v>2605</v>
      </c>
      <c r="B58" s="3087">
        <f t="shared" si="142"/>
        <v>168.82017748715555</v>
      </c>
      <c r="C58" s="3087">
        <f t="shared" si="142"/>
        <v>148.06267029972753</v>
      </c>
      <c r="D58" s="3087">
        <f t="shared" si="121"/>
        <v>148.06267029972753</v>
      </c>
      <c r="E58" s="3087">
        <f t="shared" si="143"/>
        <v>216.46288379323747</v>
      </c>
      <c r="F58" s="3087">
        <f t="shared" si="143"/>
        <v>134.23529411764704</v>
      </c>
      <c r="G58" s="3570">
        <v>2007</v>
      </c>
      <c r="H58" s="3102">
        <v>2</v>
      </c>
      <c r="I58" s="3102">
        <v>3.67</v>
      </c>
      <c r="J58" s="3102">
        <v>2.3199999999999998</v>
      </c>
      <c r="K58" s="3102">
        <v>5.0199999999999996</v>
      </c>
      <c r="L58" s="3103">
        <v>6.71</v>
      </c>
      <c r="N58" s="3149">
        <f t="shared" si="140"/>
        <v>3.0339138143848032E-2</v>
      </c>
      <c r="O58" s="3150">
        <f t="shared" si="140"/>
        <v>2.0922341588790472E-2</v>
      </c>
      <c r="P58" s="3150">
        <f t="shared" si="141"/>
        <v>5.6164796592717003E-2</v>
      </c>
      <c r="Q58" s="3150">
        <f t="shared" si="141"/>
        <v>6.5704536723887319E-2</v>
      </c>
      <c r="R58" s="3090"/>
      <c r="S58" s="3089"/>
      <c r="T58" s="3075"/>
      <c r="U58" s="3075"/>
      <c r="V58" s="3075"/>
      <c r="X58" s="3151"/>
      <c r="Y58" s="3151"/>
      <c r="Z58" s="3151"/>
    </row>
    <row r="59" spans="1:26">
      <c r="A59" s="3086" t="s">
        <v>2606</v>
      </c>
      <c r="B59" s="3087">
        <f t="shared" si="142"/>
        <v>163.84913591779542</v>
      </c>
      <c r="C59" s="3087">
        <f t="shared" si="142"/>
        <v>145.0283378746594</v>
      </c>
      <c r="D59" s="3087">
        <f t="shared" si="121"/>
        <v>145.0283378746594</v>
      </c>
      <c r="E59" s="3087">
        <f t="shared" si="143"/>
        <v>204.95180722891567</v>
      </c>
      <c r="F59" s="3087">
        <f t="shared" si="143"/>
        <v>125.95920303605313</v>
      </c>
      <c r="G59" s="3571">
        <v>2007</v>
      </c>
      <c r="H59" s="3088">
        <v>1</v>
      </c>
      <c r="I59" s="3088">
        <v>3.58</v>
      </c>
      <c r="J59" s="3088">
        <v>3.08</v>
      </c>
      <c r="K59" s="3088">
        <v>4.34</v>
      </c>
      <c r="L59" s="3094">
        <v>3.21</v>
      </c>
      <c r="N59" s="3152">
        <f t="shared" si="140"/>
        <v>3.0497710174814063E-2</v>
      </c>
      <c r="O59" s="3153">
        <f t="shared" si="140"/>
        <v>2.8569772160704998E-2</v>
      </c>
      <c r="P59" s="3153">
        <f t="shared" si="141"/>
        <v>5.1034908866234296E-2</v>
      </c>
      <c r="Q59" s="3153">
        <f t="shared" si="141"/>
        <v>3.245248390207478E-2</v>
      </c>
      <c r="R59" s="3090"/>
      <c r="S59" s="3091">
        <f>B59/B60-1</f>
        <v>3.0497710174814063E-2</v>
      </c>
      <c r="T59" s="3092">
        <f>C59/C60-1</f>
        <v>2.8569772160704998E-2</v>
      </c>
      <c r="U59" s="3092">
        <f>E59/E60-1</f>
        <v>5.1034908866234296E-2</v>
      </c>
      <c r="V59" s="3092">
        <f>F59/F60-1</f>
        <v>3.245248390207478E-2</v>
      </c>
      <c r="X59" s="3151"/>
      <c r="Y59" s="3151"/>
      <c r="Z59" s="3151"/>
    </row>
    <row r="60" spans="1:26" ht="13.5" thickBot="1">
      <c r="A60" s="3086" t="s">
        <v>2607</v>
      </c>
      <c r="B60" s="3116">
        <v>159</v>
      </c>
      <c r="C60" s="3116">
        <v>141</v>
      </c>
      <c r="D60" s="3116">
        <f t="shared" si="121"/>
        <v>141</v>
      </c>
      <c r="E60" s="3116">
        <v>195</v>
      </c>
      <c r="F60" s="3117">
        <v>122</v>
      </c>
      <c r="G60" s="3569">
        <v>2006</v>
      </c>
      <c r="H60" s="3111">
        <v>4</v>
      </c>
      <c r="I60" s="3111">
        <v>3.79</v>
      </c>
      <c r="J60" s="3111">
        <v>2.21</v>
      </c>
      <c r="K60" s="3111">
        <v>5.65</v>
      </c>
      <c r="L60" s="3112">
        <v>5.41</v>
      </c>
      <c r="N60" s="3149">
        <f t="shared" ref="N60:O63" si="144">I60/SUM(I$60:I$63)*(B$60/B$64-1)</f>
        <v>7.245466462748526E-2</v>
      </c>
      <c r="O60" s="3150">
        <f t="shared" si="144"/>
        <v>2.3237230038062766E-2</v>
      </c>
      <c r="P60" s="3150">
        <f t="shared" ref="P60:Q63" si="145">K60/SUM(K$60:K$63)*(E$60/E$64-1)</f>
        <v>0.16146893866323722</v>
      </c>
      <c r="Q60" s="3150">
        <f t="shared" si="145"/>
        <v>5.0755230321793784E-2</v>
      </c>
      <c r="R60" s="3090"/>
      <c r="S60" s="3100"/>
      <c r="T60" s="3101"/>
      <c r="U60" s="3101"/>
      <c r="V60" s="3101"/>
      <c r="X60" s="3151"/>
      <c r="Y60" s="3151"/>
      <c r="Z60" s="3151"/>
    </row>
    <row r="61" spans="1:26">
      <c r="A61" s="3086" t="s">
        <v>2608</v>
      </c>
      <c r="B61" s="3087">
        <f t="shared" ref="B61:C63" si="146">B62+(B$60-B$64)*I61/SUM(I$60:I$63)</f>
        <v>149.00125628140702</v>
      </c>
      <c r="C61" s="3087">
        <f t="shared" si="146"/>
        <v>137.95592286501378</v>
      </c>
      <c r="D61" s="3087">
        <f t="shared" si="121"/>
        <v>137.95592286501378</v>
      </c>
      <c r="E61" s="3087">
        <f t="shared" ref="E61:F63" si="147">E62+(E$60-E$64)*K61/SUM(K$60:K$63)</f>
        <v>169.97231450719823</v>
      </c>
      <c r="F61" s="3087">
        <f t="shared" si="147"/>
        <v>116.21390374331551</v>
      </c>
      <c r="G61" s="3570">
        <v>2006</v>
      </c>
      <c r="H61" s="3114">
        <v>3</v>
      </c>
      <c r="I61" s="3114">
        <v>0.92</v>
      </c>
      <c r="J61" s="3114">
        <v>1.08</v>
      </c>
      <c r="K61" s="3114">
        <v>0.73</v>
      </c>
      <c r="L61" s="3115">
        <v>1.08</v>
      </c>
      <c r="N61" s="3149">
        <f t="shared" si="144"/>
        <v>1.7587939698492462E-2</v>
      </c>
      <c r="O61" s="3150">
        <f t="shared" si="144"/>
        <v>1.1355750425840628E-2</v>
      </c>
      <c r="P61" s="3150">
        <f t="shared" si="145"/>
        <v>2.0862358446754544E-2</v>
      </c>
      <c r="Q61" s="3150">
        <f t="shared" si="145"/>
        <v>1.0132282578103011E-2</v>
      </c>
      <c r="R61" s="3090"/>
      <c r="S61" s="3089"/>
      <c r="T61" s="3075"/>
      <c r="U61" s="3075"/>
      <c r="V61" s="3075"/>
      <c r="X61" s="3151"/>
      <c r="Y61" s="3151"/>
      <c r="Z61" s="3151"/>
    </row>
    <row r="62" spans="1:26">
      <c r="A62" s="3086" t="s">
        <v>2609</v>
      </c>
      <c r="B62" s="3087">
        <f t="shared" si="146"/>
        <v>146.57412060301507</v>
      </c>
      <c r="C62" s="3087">
        <f t="shared" si="146"/>
        <v>136.46831955922866</v>
      </c>
      <c r="D62" s="3087">
        <f t="shared" si="121"/>
        <v>136.46831955922866</v>
      </c>
      <c r="E62" s="3087">
        <f t="shared" si="147"/>
        <v>166.73864894795128</v>
      </c>
      <c r="F62" s="3087">
        <f t="shared" si="147"/>
        <v>115.05882352941177</v>
      </c>
      <c r="G62" s="3570">
        <v>2006</v>
      </c>
      <c r="H62" s="3102">
        <v>2</v>
      </c>
      <c r="I62" s="3102">
        <v>0.96</v>
      </c>
      <c r="J62" s="3102">
        <v>0.25</v>
      </c>
      <c r="K62" s="3102">
        <v>1.9</v>
      </c>
      <c r="L62" s="3103">
        <v>0.95</v>
      </c>
      <c r="N62" s="3149">
        <f t="shared" si="144"/>
        <v>1.8352632728861701E-2</v>
      </c>
      <c r="O62" s="3150">
        <f t="shared" si="144"/>
        <v>2.6286459319075526E-3</v>
      </c>
      <c r="P62" s="3150">
        <f t="shared" si="145"/>
        <v>5.4299289107991269E-2</v>
      </c>
      <c r="Q62" s="3150">
        <f t="shared" si="145"/>
        <v>8.9126559714794995E-3</v>
      </c>
      <c r="R62" s="3090"/>
      <c r="S62" s="3089"/>
      <c r="T62" s="3075"/>
      <c r="U62" s="3075"/>
      <c r="V62" s="3075"/>
      <c r="X62" s="3151"/>
      <c r="Y62" s="3151"/>
      <c r="Z62" s="3151"/>
    </row>
    <row r="63" spans="1:26">
      <c r="A63" s="3086" t="s">
        <v>2610</v>
      </c>
      <c r="B63" s="3087">
        <f t="shared" si="146"/>
        <v>144.04145728643215</v>
      </c>
      <c r="C63" s="3087">
        <f t="shared" si="146"/>
        <v>136.12396694214877</v>
      </c>
      <c r="D63" s="3087">
        <f t="shared" si="121"/>
        <v>136.12396694214877</v>
      </c>
      <c r="E63" s="3087">
        <f t="shared" si="147"/>
        <v>158.32225913621264</v>
      </c>
      <c r="F63" s="3087">
        <f t="shared" si="147"/>
        <v>114.04278074866311</v>
      </c>
      <c r="G63" s="3571">
        <v>2006</v>
      </c>
      <c r="H63" s="3088">
        <v>1</v>
      </c>
      <c r="I63" s="3088">
        <v>2.29</v>
      </c>
      <c r="J63" s="3088">
        <v>3.72</v>
      </c>
      <c r="K63" s="3088">
        <v>0.75</v>
      </c>
      <c r="L63" s="3094">
        <v>0.04</v>
      </c>
      <c r="N63" s="3152">
        <f t="shared" si="144"/>
        <v>4.3778675988638847E-2</v>
      </c>
      <c r="O63" s="3153">
        <f t="shared" si="144"/>
        <v>3.9114251466784385E-2</v>
      </c>
      <c r="P63" s="3153">
        <f t="shared" si="145"/>
        <v>2.1433929911049188E-2</v>
      </c>
      <c r="Q63" s="3153">
        <f t="shared" si="145"/>
        <v>3.7526972511492629E-4</v>
      </c>
      <c r="R63" s="3090"/>
      <c r="S63" s="3091">
        <f>B63/B64-1</f>
        <v>4.3778675988638716E-2</v>
      </c>
      <c r="T63" s="3092">
        <f>C63/C64-1</f>
        <v>3.91142514667846E-2</v>
      </c>
      <c r="U63" s="3092">
        <f>E63/E64-1</f>
        <v>2.143392991104931E-2</v>
      </c>
      <c r="V63" s="3092">
        <f>F63/F64-1</f>
        <v>3.7526972511492396E-4</v>
      </c>
      <c r="X63" s="3151"/>
      <c r="Y63" s="3151"/>
      <c r="Z63" s="3151"/>
    </row>
    <row r="64" spans="1:26" ht="13.5" thickBot="1">
      <c r="A64" s="3086" t="s">
        <v>2611</v>
      </c>
      <c r="B64" s="3116">
        <v>138</v>
      </c>
      <c r="C64" s="3116">
        <v>131</v>
      </c>
      <c r="D64" s="3116">
        <f t="shared" si="121"/>
        <v>131</v>
      </c>
      <c r="E64" s="3116">
        <v>155</v>
      </c>
      <c r="F64" s="3117">
        <v>114</v>
      </c>
      <c r="G64" s="3569">
        <v>2005</v>
      </c>
      <c r="H64" s="3111">
        <v>4</v>
      </c>
      <c r="I64" s="3111">
        <v>3.29</v>
      </c>
      <c r="J64" s="3111">
        <v>1.44</v>
      </c>
      <c r="K64" s="3111">
        <v>0.66</v>
      </c>
      <c r="L64" s="3112">
        <v>7.78</v>
      </c>
      <c r="N64" s="3149">
        <f t="shared" ref="N64:O67" si="148">I64/SUM(I$64:I$67)*(B$64/B$68-1)</f>
        <v>9.9404603216919935E-2</v>
      </c>
      <c r="O64" s="3150">
        <f t="shared" si="148"/>
        <v>4.7636550760861554E-2</v>
      </c>
      <c r="P64" s="3150">
        <f t="shared" ref="P64:Q67" si="149">K64/SUM(K$64:K$67)*(E$64/E$68-1)</f>
        <v>8.3756345177664976E-2</v>
      </c>
      <c r="Q64" s="3150">
        <f t="shared" si="149"/>
        <v>5.2148766661559584E-2</v>
      </c>
      <c r="R64" s="3090"/>
      <c r="S64" s="3100"/>
      <c r="T64" s="3101"/>
      <c r="U64" s="3101"/>
      <c r="V64" s="3101"/>
      <c r="X64" s="3151"/>
      <c r="Y64" s="3151"/>
      <c r="Z64" s="3151"/>
    </row>
    <row r="65" spans="1:26">
      <c r="A65" s="3086" t="s">
        <v>2612</v>
      </c>
      <c r="B65" s="3087">
        <f t="shared" ref="B65:C67" si="150">B66+(B$64-B$68)*I65/SUM(I$64:I$67)</f>
        <v>125.9720430107527</v>
      </c>
      <c r="C65" s="3087">
        <f t="shared" si="150"/>
        <v>125.1883408071749</v>
      </c>
      <c r="D65" s="3087">
        <f t="shared" si="121"/>
        <v>125.1883408071749</v>
      </c>
      <c r="E65" s="3087">
        <f t="shared" ref="E65:F67" si="151">E66+(E$64-E$68)*K65/SUM(K$64:K$67)</f>
        <v>144.61421319796952</v>
      </c>
      <c r="F65" s="3087">
        <f t="shared" si="151"/>
        <v>108.42008196721311</v>
      </c>
      <c r="G65" s="3570">
        <v>2005</v>
      </c>
      <c r="H65" s="3114">
        <v>3</v>
      </c>
      <c r="I65" s="3114">
        <v>0.46</v>
      </c>
      <c r="J65" s="3114">
        <v>0.32</v>
      </c>
      <c r="K65" s="3114">
        <v>0.42</v>
      </c>
      <c r="L65" s="3115">
        <v>0.64</v>
      </c>
      <c r="N65" s="3149">
        <f t="shared" si="148"/>
        <v>1.3898515951301874E-2</v>
      </c>
      <c r="O65" s="3150">
        <f t="shared" si="148"/>
        <v>1.0585900169080346E-2</v>
      </c>
      <c r="P65" s="3150">
        <f t="shared" si="149"/>
        <v>5.3299492385786795E-2</v>
      </c>
      <c r="Q65" s="3150">
        <f t="shared" si="149"/>
        <v>4.2898728359123568E-3</v>
      </c>
      <c r="R65" s="3090"/>
      <c r="S65" s="3089"/>
      <c r="T65" s="3075"/>
      <c r="U65" s="3075"/>
      <c r="V65" s="3075"/>
      <c r="X65" s="3151"/>
      <c r="Y65" s="3151"/>
      <c r="Z65" s="3151"/>
    </row>
    <row r="66" spans="1:26">
      <c r="A66" s="3086" t="s">
        <v>2613</v>
      </c>
      <c r="B66" s="3087">
        <f t="shared" si="150"/>
        <v>124.29032258064517</v>
      </c>
      <c r="C66" s="3087">
        <f t="shared" si="150"/>
        <v>123.8968609865471</v>
      </c>
      <c r="D66" s="3087">
        <f t="shared" si="121"/>
        <v>123.8968609865471</v>
      </c>
      <c r="E66" s="3087">
        <f t="shared" si="151"/>
        <v>138.00507614213197</v>
      </c>
      <c r="F66" s="3087">
        <f t="shared" si="151"/>
        <v>107.96106557377048</v>
      </c>
      <c r="G66" s="3570">
        <v>2005</v>
      </c>
      <c r="H66" s="3102">
        <v>2</v>
      </c>
      <c r="I66" s="3102">
        <v>0.47</v>
      </c>
      <c r="J66" s="3102">
        <v>0.1</v>
      </c>
      <c r="K66" s="3102">
        <v>0.52</v>
      </c>
      <c r="L66" s="3103">
        <v>0.79</v>
      </c>
      <c r="N66" s="3149">
        <f t="shared" si="148"/>
        <v>1.420065760241713E-2</v>
      </c>
      <c r="O66" s="3150">
        <f t="shared" si="148"/>
        <v>3.3080938028376083E-3</v>
      </c>
      <c r="P66" s="3150">
        <f t="shared" si="149"/>
        <v>6.598984771573603E-2</v>
      </c>
      <c r="Q66" s="3150">
        <f t="shared" si="149"/>
        <v>5.2953117818293153E-3</v>
      </c>
      <c r="R66" s="3090"/>
      <c r="S66" s="3089"/>
      <c r="T66" s="3075"/>
      <c r="U66" s="3075"/>
      <c r="V66" s="3075"/>
      <c r="X66" s="3151"/>
      <c r="Y66" s="3151"/>
      <c r="Z66" s="3151"/>
    </row>
    <row r="67" spans="1:26">
      <c r="A67" s="3086" t="s">
        <v>2614</v>
      </c>
      <c r="B67" s="3087">
        <f t="shared" si="150"/>
        <v>122.57204301075269</v>
      </c>
      <c r="C67" s="3087">
        <f t="shared" si="150"/>
        <v>123.4932735426009</v>
      </c>
      <c r="D67" s="3087">
        <f t="shared" si="121"/>
        <v>123.4932735426009</v>
      </c>
      <c r="E67" s="3087">
        <f t="shared" si="151"/>
        <v>129.82233502538071</v>
      </c>
      <c r="F67" s="3087">
        <f t="shared" si="151"/>
        <v>107.39446721311475</v>
      </c>
      <c r="G67" s="3571">
        <v>2005</v>
      </c>
      <c r="H67" s="3088">
        <v>1</v>
      </c>
      <c r="I67" s="3088">
        <v>0.43</v>
      </c>
      <c r="J67" s="3088">
        <v>0.37</v>
      </c>
      <c r="K67" s="3088">
        <v>0.37</v>
      </c>
      <c r="L67" s="3094">
        <v>0.55000000000000004</v>
      </c>
      <c r="N67" s="3152">
        <f t="shared" si="148"/>
        <v>1.2992090997956099E-2</v>
      </c>
      <c r="O67" s="3153">
        <f t="shared" si="148"/>
        <v>1.2239947070499151E-2</v>
      </c>
      <c r="P67" s="3153">
        <f t="shared" si="149"/>
        <v>4.6954314720812178E-2</v>
      </c>
      <c r="Q67" s="3153">
        <f t="shared" si="149"/>
        <v>3.6866094683621815E-3</v>
      </c>
      <c r="R67" s="3090"/>
      <c r="S67" s="3091">
        <f>B67/B68-1</f>
        <v>1.2992090997956174E-2</v>
      </c>
      <c r="T67" s="3092">
        <f>C67/C68-1</f>
        <v>1.2239947070499246E-2</v>
      </c>
      <c r="U67" s="3092">
        <f>E67/E68-1</f>
        <v>4.695431472081224E-2</v>
      </c>
      <c r="V67" s="3092">
        <f>F67/F68-1</f>
        <v>3.6866094683620787E-3</v>
      </c>
      <c r="X67" s="3151"/>
      <c r="Y67" s="3151"/>
      <c r="Z67" s="3151"/>
    </row>
    <row r="68" spans="1:26" ht="13.5" thickBot="1">
      <c r="A68" s="3086" t="s">
        <v>2615</v>
      </c>
      <c r="B68" s="3137">
        <v>121</v>
      </c>
      <c r="C68" s="3137">
        <v>122</v>
      </c>
      <c r="D68" s="3137">
        <f t="shared" si="121"/>
        <v>122</v>
      </c>
      <c r="E68" s="3137">
        <v>124</v>
      </c>
      <c r="F68" s="3138">
        <v>107</v>
      </c>
      <c r="G68" s="3569">
        <v>2004</v>
      </c>
      <c r="H68" s="3111">
        <v>4</v>
      </c>
      <c r="I68" s="3111">
        <v>0.33</v>
      </c>
      <c r="J68" s="3111">
        <v>0.5</v>
      </c>
      <c r="K68" s="3111">
        <v>0.5</v>
      </c>
      <c r="L68" s="3112">
        <v>0</v>
      </c>
      <c r="N68" s="3149">
        <f t="shared" ref="N68:O71" si="152">I68/SUM(I$68:I$71)*(B$68/B$72-1)</f>
        <v>1.3391770148526898E-2</v>
      </c>
      <c r="O68" s="3150">
        <f t="shared" si="152"/>
        <v>1.063264221158958E-2</v>
      </c>
      <c r="P68" s="3150">
        <f t="shared" ref="P68:Q71" si="153">K68/SUM(K$68:K$71)*(E$68/E$72-1)</f>
        <v>2.2244466688911134E-2</v>
      </c>
      <c r="Q68" s="3150">
        <f t="shared" si="153"/>
        <v>0</v>
      </c>
      <c r="R68" s="3090"/>
      <c r="S68" s="3100"/>
      <c r="T68" s="3101"/>
      <c r="U68" s="3101"/>
      <c r="V68" s="3101"/>
      <c r="X68" s="3151"/>
      <c r="Y68" s="3151"/>
      <c r="Z68" s="3151"/>
    </row>
    <row r="69" spans="1:26">
      <c r="A69" s="3086" t="s">
        <v>2616</v>
      </c>
      <c r="B69" s="3087">
        <f t="shared" ref="B69:C71" si="154">B70+(B$68-B$72)*I69/SUM(I$68:I$71)</f>
        <v>119.51351351351352</v>
      </c>
      <c r="C69" s="3087">
        <f t="shared" si="154"/>
        <v>120.7878787878788</v>
      </c>
      <c r="D69" s="3087">
        <f t="shared" si="121"/>
        <v>120.7878787878788</v>
      </c>
      <c r="E69" s="3087">
        <f t="shared" ref="E69:F71" si="155">E70+(E$68-E$72)*K69/SUM(K$68:K$71)</f>
        <v>121.5975975975976</v>
      </c>
      <c r="F69" s="3087">
        <f t="shared" si="155"/>
        <v>107</v>
      </c>
      <c r="G69" s="3570">
        <v>2004</v>
      </c>
      <c r="H69" s="3114">
        <v>3</v>
      </c>
      <c r="I69" s="3114">
        <v>0.56000000000000005</v>
      </c>
      <c r="J69" s="3114">
        <v>0.8</v>
      </c>
      <c r="K69" s="3114">
        <v>0.83</v>
      </c>
      <c r="L69" s="3115">
        <v>0.06</v>
      </c>
      <c r="N69" s="3149">
        <f t="shared" si="152"/>
        <v>2.2725428130833527E-2</v>
      </c>
      <c r="O69" s="3150">
        <f t="shared" si="152"/>
        <v>1.7012227538543329E-2</v>
      </c>
      <c r="P69" s="3150">
        <f t="shared" si="153"/>
        <v>3.6925814703592477E-2</v>
      </c>
      <c r="Q69" s="3150">
        <f t="shared" si="153"/>
        <v>2.8846153846153744E-2</v>
      </c>
      <c r="R69" s="3090"/>
      <c r="S69" s="3089"/>
      <c r="T69" s="3075"/>
      <c r="U69" s="3075"/>
      <c r="V69" s="3075"/>
      <c r="X69" s="3151"/>
      <c r="Y69" s="3151"/>
      <c r="Z69" s="3151"/>
    </row>
    <row r="70" spans="1:26">
      <c r="A70" s="3086" t="s">
        <v>2617</v>
      </c>
      <c r="B70" s="3087">
        <f t="shared" si="154"/>
        <v>116.99099099099099</v>
      </c>
      <c r="C70" s="3087">
        <f t="shared" si="154"/>
        <v>118.84848484848486</v>
      </c>
      <c r="D70" s="3087">
        <f t="shared" si="121"/>
        <v>118.84848484848486</v>
      </c>
      <c r="E70" s="3087">
        <f t="shared" si="155"/>
        <v>117.60960960960961</v>
      </c>
      <c r="F70" s="3087">
        <f t="shared" si="155"/>
        <v>104</v>
      </c>
      <c r="G70" s="3570">
        <v>2004</v>
      </c>
      <c r="H70" s="3102">
        <v>2</v>
      </c>
      <c r="I70" s="3102">
        <v>1</v>
      </c>
      <c r="J70" s="3102">
        <v>1.5</v>
      </c>
      <c r="K70" s="3102">
        <v>1.5</v>
      </c>
      <c r="L70" s="3103">
        <v>0</v>
      </c>
      <c r="N70" s="3149">
        <f t="shared" si="152"/>
        <v>4.0581121662202721E-2</v>
      </c>
      <c r="O70" s="3150">
        <f t="shared" si="152"/>
        <v>3.1897926634768738E-2</v>
      </c>
      <c r="P70" s="3150">
        <f t="shared" si="153"/>
        <v>6.6733400066733395E-2</v>
      </c>
      <c r="Q70" s="3150">
        <f t="shared" si="153"/>
        <v>0</v>
      </c>
      <c r="R70" s="3090"/>
      <c r="S70" s="3089"/>
      <c r="T70" s="3075"/>
      <c r="U70" s="3075"/>
      <c r="V70" s="3075"/>
      <c r="X70" s="3151"/>
      <c r="Y70" s="3151"/>
      <c r="Z70" s="3151"/>
    </row>
    <row r="71" spans="1:26" s="3143" customFormat="1" ht="13.5" thickBot="1">
      <c r="A71" s="3086" t="s">
        <v>2618</v>
      </c>
      <c r="B71" s="3140">
        <f t="shared" si="154"/>
        <v>112.48648648648648</v>
      </c>
      <c r="C71" s="3140">
        <f t="shared" si="154"/>
        <v>115.21212121212122</v>
      </c>
      <c r="D71" s="3140">
        <f t="shared" si="121"/>
        <v>115.21212121212122</v>
      </c>
      <c r="E71" s="3140">
        <f t="shared" si="155"/>
        <v>110.4024024024024</v>
      </c>
      <c r="F71" s="3140">
        <f t="shared" si="155"/>
        <v>104</v>
      </c>
      <c r="G71" s="3571">
        <v>2004</v>
      </c>
      <c r="H71" s="3141">
        <v>1</v>
      </c>
      <c r="I71" s="3141">
        <v>0.33</v>
      </c>
      <c r="J71" s="3141">
        <v>0.5</v>
      </c>
      <c r="K71" s="3141">
        <v>0.5</v>
      </c>
      <c r="L71" s="3142">
        <v>0</v>
      </c>
      <c r="N71" s="3154">
        <f t="shared" si="152"/>
        <v>1.3391770148526898E-2</v>
      </c>
      <c r="O71" s="3155">
        <f t="shared" si="152"/>
        <v>1.063264221158958E-2</v>
      </c>
      <c r="P71" s="3155">
        <f t="shared" si="153"/>
        <v>2.2244466688911134E-2</v>
      </c>
      <c r="Q71" s="3155">
        <f t="shared" si="153"/>
        <v>0</v>
      </c>
      <c r="R71" s="3146"/>
      <c r="S71" s="3144">
        <f>B71/B72-1</f>
        <v>1.3391770148526883E-2</v>
      </c>
      <c r="T71" s="3145">
        <f>C71/C72-1</f>
        <v>1.063264221158966E-2</v>
      </c>
      <c r="U71" s="3145">
        <f>E71/E72-1</f>
        <v>2.2244466688911224E-2</v>
      </c>
      <c r="V71" s="3145">
        <f>F71/F72-1</f>
        <v>0</v>
      </c>
      <c r="X71" s="3156"/>
      <c r="Y71" s="3156"/>
      <c r="Z71" s="3156"/>
    </row>
    <row r="72" spans="1:26" ht="13.5" thickBot="1">
      <c r="A72" s="3086" t="s">
        <v>2619</v>
      </c>
      <c r="B72" s="3157">
        <v>111</v>
      </c>
      <c r="C72" s="3157">
        <v>114</v>
      </c>
      <c r="D72" s="3157">
        <f t="shared" si="121"/>
        <v>114</v>
      </c>
      <c r="E72" s="3157">
        <v>108</v>
      </c>
      <c r="F72" s="3158">
        <v>104</v>
      </c>
      <c r="G72" s="3569">
        <v>2003</v>
      </c>
      <c r="H72" s="3147">
        <v>4</v>
      </c>
      <c r="I72" s="3159"/>
      <c r="J72" s="3159"/>
      <c r="K72" s="3159"/>
      <c r="L72" s="3159"/>
      <c r="N72" s="3160"/>
      <c r="O72" s="3159"/>
      <c r="P72" s="3159"/>
      <c r="Q72" s="3159"/>
      <c r="S72" s="3160"/>
      <c r="T72" s="3159"/>
      <c r="U72" s="3159"/>
      <c r="V72" s="3159"/>
      <c r="X72" s="3151"/>
      <c r="Y72" s="3151"/>
      <c r="Z72" s="3151"/>
    </row>
    <row r="73" spans="1:26">
      <c r="A73" s="3086" t="s">
        <v>2620</v>
      </c>
      <c r="B73" s="3161">
        <f t="shared" ref="B73:C75" si="156">B74+(B$72-B$76)/4</f>
        <v>109.75</v>
      </c>
      <c r="C73" s="3161">
        <f t="shared" si="156"/>
        <v>112.25</v>
      </c>
      <c r="D73" s="3161">
        <f t="shared" si="121"/>
        <v>112.25</v>
      </c>
      <c r="E73" s="3161">
        <f t="shared" ref="E73:F75" si="157">E74+(E$72-E$76)/4</f>
        <v>107.25</v>
      </c>
      <c r="F73" s="3161">
        <f t="shared" si="157"/>
        <v>103.5</v>
      </c>
      <c r="G73" s="3570">
        <v>2003</v>
      </c>
      <c r="H73" s="3114">
        <v>3</v>
      </c>
      <c r="I73" s="3159"/>
      <c r="J73" s="3159"/>
      <c r="K73" s="3159"/>
      <c r="L73" s="3159"/>
      <c r="X73" s="3151"/>
      <c r="Y73" s="3151"/>
      <c r="Z73" s="3151"/>
    </row>
    <row r="74" spans="1:26">
      <c r="A74" s="3086" t="s">
        <v>2621</v>
      </c>
      <c r="B74" s="3161">
        <f t="shared" si="156"/>
        <v>108.5</v>
      </c>
      <c r="C74" s="3161">
        <f t="shared" si="156"/>
        <v>110.5</v>
      </c>
      <c r="D74" s="3161">
        <f t="shared" si="121"/>
        <v>110.5</v>
      </c>
      <c r="E74" s="3161">
        <f t="shared" si="157"/>
        <v>106.5</v>
      </c>
      <c r="F74" s="3161">
        <f t="shared" si="157"/>
        <v>103</v>
      </c>
      <c r="G74" s="3570">
        <v>2003</v>
      </c>
      <c r="H74" s="3102">
        <v>2</v>
      </c>
      <c r="I74" s="3159"/>
      <c r="J74" s="3159"/>
      <c r="K74" s="3159"/>
      <c r="L74" s="3159"/>
      <c r="X74" s="3151"/>
      <c r="Y74" s="3151"/>
      <c r="Z74" s="3151"/>
    </row>
    <row r="75" spans="1:26" ht="13.5" thickBot="1">
      <c r="A75" s="3086" t="s">
        <v>2622</v>
      </c>
      <c r="B75" s="3161">
        <f t="shared" si="156"/>
        <v>107.25</v>
      </c>
      <c r="C75" s="3161">
        <f t="shared" si="156"/>
        <v>108.75</v>
      </c>
      <c r="D75" s="3161">
        <f t="shared" si="121"/>
        <v>108.75</v>
      </c>
      <c r="E75" s="3161">
        <f t="shared" si="157"/>
        <v>105.75</v>
      </c>
      <c r="F75" s="3161">
        <f t="shared" si="157"/>
        <v>102.5</v>
      </c>
      <c r="G75" s="3571">
        <v>2003</v>
      </c>
      <c r="H75" s="3162">
        <v>1</v>
      </c>
      <c r="I75" s="3159"/>
      <c r="J75" s="3159"/>
      <c r="K75" s="3159"/>
      <c r="L75" s="3159"/>
      <c r="S75" s="3089"/>
      <c r="T75" s="3075"/>
      <c r="U75" s="3075"/>
      <c r="X75" s="3151"/>
      <c r="Y75" s="3151"/>
      <c r="Z75" s="3151"/>
    </row>
    <row r="76" spans="1:26" ht="13.5" thickBot="1">
      <c r="A76" s="3086" t="s">
        <v>2623</v>
      </c>
      <c r="B76" s="3163">
        <v>106</v>
      </c>
      <c r="C76" s="3163">
        <v>107</v>
      </c>
      <c r="D76" s="3163">
        <f t="shared" si="121"/>
        <v>107</v>
      </c>
      <c r="E76" s="3163">
        <v>105</v>
      </c>
      <c r="F76" s="3164">
        <v>102</v>
      </c>
      <c r="G76" s="3569">
        <v>2002</v>
      </c>
      <c r="H76" s="3111">
        <v>4</v>
      </c>
      <c r="I76" s="3159"/>
      <c r="J76" s="3159"/>
      <c r="K76" s="3159"/>
      <c r="L76" s="3159"/>
      <c r="N76" s="3160"/>
      <c r="O76" s="3159"/>
      <c r="P76" s="3159"/>
      <c r="Q76" s="3159"/>
      <c r="S76" s="3160"/>
      <c r="T76" s="3159"/>
      <c r="U76" s="3159"/>
      <c r="V76" s="3159"/>
      <c r="X76" s="3151"/>
      <c r="Y76" s="3151"/>
      <c r="Z76" s="3151"/>
    </row>
    <row r="77" spans="1:26">
      <c r="A77" s="3086" t="s">
        <v>2624</v>
      </c>
      <c r="B77" s="3161">
        <f t="shared" ref="B77:C79" si="158">B78+(B$76-B$80)/4</f>
        <v>105</v>
      </c>
      <c r="C77" s="3161">
        <f t="shared" si="158"/>
        <v>106</v>
      </c>
      <c r="D77" s="3161">
        <f t="shared" si="121"/>
        <v>106</v>
      </c>
      <c r="E77" s="3161">
        <f t="shared" ref="E77:F79" si="159">E78+(E$76-E$80)/4</f>
        <v>104.5</v>
      </c>
      <c r="F77" s="3161">
        <f t="shared" si="159"/>
        <v>101.5</v>
      </c>
      <c r="G77" s="3570">
        <v>2002</v>
      </c>
      <c r="H77" s="3114">
        <v>3</v>
      </c>
      <c r="I77" s="3159"/>
      <c r="J77" s="3159"/>
      <c r="K77" s="3159"/>
      <c r="L77" s="3159"/>
      <c r="X77" s="3151"/>
      <c r="Y77" s="3151"/>
      <c r="Z77" s="3151"/>
    </row>
    <row r="78" spans="1:26">
      <c r="A78" s="3086" t="s">
        <v>2625</v>
      </c>
      <c r="B78" s="3161">
        <f t="shared" si="158"/>
        <v>104</v>
      </c>
      <c r="C78" s="3161">
        <f t="shared" si="158"/>
        <v>105</v>
      </c>
      <c r="D78" s="3161">
        <f t="shared" si="121"/>
        <v>105</v>
      </c>
      <c r="E78" s="3161">
        <f t="shared" si="159"/>
        <v>104</v>
      </c>
      <c r="F78" s="3161">
        <f t="shared" si="159"/>
        <v>101</v>
      </c>
      <c r="G78" s="3570">
        <v>2002</v>
      </c>
      <c r="H78" s="3102">
        <v>2</v>
      </c>
      <c r="I78" s="3159"/>
      <c r="J78" s="3159"/>
      <c r="K78" s="3159"/>
      <c r="L78" s="3159"/>
      <c r="X78" s="3151"/>
      <c r="Y78" s="3151"/>
      <c r="Z78" s="3151"/>
    </row>
    <row r="79" spans="1:26" s="3124" customFormat="1" ht="13.5" thickBot="1">
      <c r="A79" s="3120" t="s">
        <v>2626</v>
      </c>
      <c r="B79" s="3127">
        <f t="shared" si="158"/>
        <v>103</v>
      </c>
      <c r="C79" s="3127">
        <f t="shared" si="158"/>
        <v>104</v>
      </c>
      <c r="D79" s="3127">
        <f t="shared" si="121"/>
        <v>104</v>
      </c>
      <c r="E79" s="3127">
        <f t="shared" si="159"/>
        <v>103.5</v>
      </c>
      <c r="F79" s="3127">
        <f t="shared" si="159"/>
        <v>100.5</v>
      </c>
      <c r="G79" s="3571">
        <v>2002</v>
      </c>
      <c r="H79" s="3165">
        <v>1</v>
      </c>
      <c r="I79" s="3166"/>
      <c r="J79" s="3166"/>
      <c r="K79" s="3166"/>
      <c r="L79" s="3166"/>
      <c r="N79" s="3167"/>
      <c r="S79" s="3167"/>
      <c r="X79" s="3168"/>
      <c r="Y79" s="3168"/>
      <c r="Z79" s="3168"/>
    </row>
    <row r="80" spans="1:26" ht="13.5" thickBot="1">
      <c r="B80" s="3169">
        <v>102</v>
      </c>
      <c r="C80" s="3170">
        <v>103</v>
      </c>
      <c r="D80" s="3170">
        <f t="shared" si="121"/>
        <v>103</v>
      </c>
      <c r="E80" s="3170">
        <v>103</v>
      </c>
      <c r="F80" s="3171">
        <v>100</v>
      </c>
      <c r="I80" s="3159"/>
      <c r="J80" s="3159"/>
      <c r="K80" s="3159"/>
      <c r="L80" s="3159"/>
      <c r="N80" s="3160"/>
      <c r="O80" s="3159"/>
      <c r="P80" s="3159"/>
      <c r="Q80" s="3159"/>
      <c r="S80" s="3160"/>
      <c r="T80" s="3159"/>
      <c r="U80" s="3159"/>
      <c r="V80" s="3159"/>
      <c r="X80" s="3101"/>
      <c r="Y80" s="3101"/>
      <c r="Z80" s="3101"/>
    </row>
    <row r="82" spans="1:22" s="3173" customFormat="1">
      <c r="A82" s="3172" t="s">
        <v>2627</v>
      </c>
      <c r="G82" s="3174"/>
      <c r="N82" s="3174"/>
      <c r="S82" s="3174"/>
    </row>
    <row r="83" spans="1:22" s="3173" customFormat="1">
      <c r="A83" s="3173" t="s">
        <v>2628</v>
      </c>
      <c r="G83" s="3174"/>
      <c r="N83" s="3174"/>
      <c r="S83" s="3174"/>
    </row>
    <row r="84" spans="1:22" s="3173" customFormat="1">
      <c r="A84" s="3173" t="s">
        <v>2629</v>
      </c>
      <c r="G84" s="3174"/>
      <c r="I84" s="3175"/>
      <c r="J84" s="3175"/>
      <c r="K84" s="3175"/>
      <c r="L84" s="3175"/>
      <c r="N84" s="3176"/>
      <c r="O84" s="3175"/>
      <c r="P84" s="3175"/>
      <c r="Q84" s="3175"/>
      <c r="S84" s="3176"/>
      <c r="T84" s="3175"/>
      <c r="U84" s="3175"/>
      <c r="V84" s="3175"/>
    </row>
    <row r="85" spans="1:22" s="3173" customFormat="1">
      <c r="A85" s="3173" t="s">
        <v>2630</v>
      </c>
      <c r="G85" s="3174"/>
      <c r="N85" s="3174"/>
      <c r="S85" s="3174"/>
    </row>
    <row r="92" spans="1:22" ht="13.5" thickBot="1"/>
    <row r="93" spans="1:22">
      <c r="G93" s="3074"/>
      <c r="S93" s="3177" t="s">
        <v>2631</v>
      </c>
      <c r="T93" s="3178" t="s">
        <v>2632</v>
      </c>
      <c r="U93" s="3178" t="s">
        <v>2633</v>
      </c>
      <c r="V93" s="3178" t="s">
        <v>2634</v>
      </c>
    </row>
    <row r="94" spans="1:22">
      <c r="G94" s="3074"/>
      <c r="N94" s="3100"/>
      <c r="O94" s="3101"/>
      <c r="P94" s="3101"/>
      <c r="Q94" s="3101"/>
      <c r="S94" s="3179">
        <v>2006</v>
      </c>
      <c r="T94" s="3180">
        <v>15.1</v>
      </c>
      <c r="U94" s="3180">
        <v>7.43</v>
      </c>
      <c r="V94" s="3180">
        <v>26.26</v>
      </c>
    </row>
    <row r="95" spans="1:22">
      <c r="G95" s="3074"/>
      <c r="N95" s="3100"/>
      <c r="O95" s="3101"/>
      <c r="P95" s="3101"/>
      <c r="Q95" s="3101"/>
      <c r="S95" s="3181">
        <v>2005</v>
      </c>
      <c r="T95" s="3182">
        <v>13.9</v>
      </c>
      <c r="U95" s="3182">
        <v>7.49</v>
      </c>
      <c r="V95" s="3182">
        <v>24.92</v>
      </c>
    </row>
    <row r="96" spans="1:22">
      <c r="G96" s="3074"/>
      <c r="N96" s="3100"/>
      <c r="O96" s="3101"/>
      <c r="P96" s="3101"/>
      <c r="Q96" s="3101"/>
      <c r="S96" s="3179">
        <v>2004</v>
      </c>
      <c r="T96" s="3180">
        <v>9.48</v>
      </c>
      <c r="U96" s="3180">
        <v>7.2</v>
      </c>
      <c r="V96" s="3180">
        <v>14.68</v>
      </c>
    </row>
    <row r="97" spans="7:22">
      <c r="G97" s="3074"/>
      <c r="N97" s="3100"/>
      <c r="O97" s="3101"/>
      <c r="P97" s="3101"/>
      <c r="Q97" s="3101"/>
      <c r="S97" s="3181">
        <v>2003</v>
      </c>
      <c r="T97" s="3182">
        <v>4.5</v>
      </c>
      <c r="U97" s="3182">
        <v>6.12</v>
      </c>
      <c r="V97" s="3182">
        <v>2.34</v>
      </c>
    </row>
    <row r="98" spans="7:22" ht="13.5" thickBot="1">
      <c r="G98" s="3074"/>
      <c r="N98" s="3100"/>
      <c r="O98" s="3101"/>
      <c r="P98" s="3101"/>
      <c r="Q98" s="3101"/>
      <c r="S98" s="3183">
        <v>2002</v>
      </c>
      <c r="T98" s="3184">
        <v>3.59</v>
      </c>
      <c r="U98" s="3184">
        <v>4.54</v>
      </c>
      <c r="V98" s="3184">
        <v>2.5499999999999998</v>
      </c>
    </row>
    <row r="99" spans="7:22">
      <c r="G99" s="3074"/>
      <c r="N99" s="3100"/>
      <c r="O99" s="3101"/>
      <c r="P99" s="3101"/>
      <c r="Q99" s="3101"/>
    </row>
    <row r="100" spans="7:22">
      <c r="G100" s="3074"/>
      <c r="N100" s="3100"/>
      <c r="O100" s="3101"/>
      <c r="P100" s="3101"/>
      <c r="Q100" s="3101"/>
    </row>
    <row r="101" spans="7:22">
      <c r="G101" s="3074"/>
      <c r="N101" s="3100"/>
      <c r="O101" s="3101"/>
      <c r="P101" s="3101"/>
      <c r="Q101" s="3101"/>
    </row>
    <row r="102" spans="7:22">
      <c r="G102" s="3074"/>
      <c r="N102" s="3100"/>
      <c r="O102" s="3101"/>
      <c r="P102" s="3101"/>
      <c r="Q102" s="3101"/>
    </row>
    <row r="103" spans="7:22">
      <c r="G103" s="3074"/>
      <c r="N103" s="3100"/>
      <c r="O103" s="3101"/>
      <c r="P103" s="3101"/>
      <c r="Q103" s="3101"/>
    </row>
    <row r="104" spans="7:22">
      <c r="G104" s="3074"/>
      <c r="N104" s="3100"/>
      <c r="O104" s="3101"/>
      <c r="P104" s="3101"/>
      <c r="Q104" s="3101"/>
    </row>
    <row r="105" spans="7:22">
      <c r="G105" s="3074"/>
      <c r="N105" s="3100"/>
      <c r="O105" s="3101"/>
      <c r="P105" s="3101"/>
      <c r="Q105" s="3101"/>
    </row>
    <row r="106" spans="7:22">
      <c r="G106" s="3074"/>
      <c r="N106" s="3100"/>
      <c r="O106" s="3101"/>
      <c r="P106" s="3101"/>
      <c r="Q106" s="3101"/>
    </row>
    <row r="107" spans="7:22">
      <c r="G107" s="3074"/>
      <c r="N107" s="3100"/>
      <c r="O107" s="3101"/>
      <c r="P107" s="3101"/>
      <c r="Q107" s="3101"/>
    </row>
    <row r="108" spans="7:22">
      <c r="G108" s="3074"/>
      <c r="N108" s="3100"/>
      <c r="O108" s="3101"/>
      <c r="P108" s="3101"/>
      <c r="Q108" s="3101"/>
    </row>
    <row r="109" spans="7:22">
      <c r="G109" s="3074"/>
      <c r="N109" s="3100"/>
      <c r="O109" s="3101"/>
      <c r="P109" s="3101"/>
      <c r="Q109" s="3101"/>
      <c r="S109" s="3074"/>
    </row>
    <row r="110" spans="7:22">
      <c r="G110" s="3074"/>
      <c r="N110" s="3100"/>
      <c r="O110" s="3101"/>
      <c r="P110" s="3101"/>
      <c r="Q110" s="3101"/>
      <c r="S110" s="3074"/>
    </row>
    <row r="111" spans="7:22">
      <c r="G111" s="3074"/>
      <c r="N111" s="3100"/>
      <c r="O111" s="3101"/>
      <c r="P111" s="3101"/>
      <c r="Q111" s="3101"/>
      <c r="S111" s="3074"/>
    </row>
    <row r="112" spans="7:22">
      <c r="G112" s="3074"/>
      <c r="N112" s="3100"/>
      <c r="O112" s="3101"/>
      <c r="P112" s="3101"/>
      <c r="Q112" s="3101"/>
      <c r="S112" s="3074"/>
    </row>
    <row r="113" spans="7:19">
      <c r="G113" s="3074"/>
      <c r="N113" s="3100"/>
      <c r="O113" s="3101"/>
      <c r="P113" s="3101"/>
      <c r="Q113" s="3101"/>
      <c r="S113" s="3074"/>
    </row>
    <row r="114" spans="7:19">
      <c r="G114" s="3074"/>
      <c r="N114" s="3100"/>
      <c r="O114" s="3101"/>
      <c r="P114" s="3101"/>
      <c r="Q114" s="3101"/>
      <c r="S114" s="3074"/>
    </row>
  </sheetData>
  <sheetProtection formatCells="0" formatColumns="0" formatRows="0"/>
  <mergeCells count="23">
    <mergeCell ref="G16:G19"/>
    <mergeCell ref="G12:G15"/>
    <mergeCell ref="G40:G43"/>
    <mergeCell ref="G44:G47"/>
    <mergeCell ref="G48:G51"/>
    <mergeCell ref="G20:G23"/>
    <mergeCell ref="G24:G27"/>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s>
  <phoneticPr fontId="228"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75" t="s">
        <v>2063</v>
      </c>
      <c r="B1" s="3275"/>
      <c r="C1" s="3275"/>
      <c r="D1" s="3275"/>
    </row>
    <row r="2" spans="1:4" ht="47.25" customHeight="1">
      <c r="A2" s="3279" t="str">
        <f>"1.权利限制："&amp;项目基本情况!L24&amp;"未设定租赁等其他他项权利。"</f>
        <v>1.权利限制：根据估价对象《不动产权证书》原件、《国有土地使用权》复印件，截至估价期日，估价对象抵押权未见登记。未设定租赁等其他他项权利。</v>
      </c>
      <c r="B2" s="3279"/>
      <c r="C2" s="3279"/>
      <c r="D2" s="3279"/>
    </row>
    <row r="3" spans="1:4" ht="48" customHeight="1">
      <c r="A3" s="327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75"/>
      <c r="C3" s="3275"/>
      <c r="D3" s="3275"/>
    </row>
    <row r="4" spans="1:4" ht="36.75" customHeight="1">
      <c r="A4" s="3275" t="str">
        <f>"3.估价规划限制条件：详见"&amp;项目基本情况!E21&amp;"。"</f>
        <v>3.估价规划限制条件：详见《建设工程规划许可证》[]、《出让合同》[]。</v>
      </c>
      <c r="B4" s="3275"/>
      <c r="C4" s="3275"/>
      <c r="D4" s="3275"/>
    </row>
    <row r="5" spans="1:4">
      <c r="A5" s="3278" t="s">
        <v>2064</v>
      </c>
      <c r="B5" s="3278"/>
      <c r="C5" s="3278"/>
      <c r="D5" s="3278"/>
    </row>
    <row r="6" spans="1:4">
      <c r="A6" s="3275" t="s">
        <v>2042</v>
      </c>
      <c r="B6" s="3275"/>
      <c r="C6" s="3275"/>
      <c r="D6" s="3275"/>
    </row>
    <row r="7" spans="1:4" ht="33" customHeight="1">
      <c r="A7" s="3275" t="s">
        <v>2571</v>
      </c>
      <c r="B7" s="3275"/>
      <c r="C7" s="3275"/>
      <c r="D7" s="3275"/>
    </row>
    <row r="8" spans="1:4" ht="32.25" customHeight="1">
      <c r="A8" s="327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75"/>
      <c r="C8" s="3275"/>
      <c r="D8" s="3275"/>
    </row>
    <row r="9" spans="1:4" ht="33.75" customHeight="1">
      <c r="A9" s="3275" t="str">
        <f>IF(项目基本情况!B8="抵押","3.抵押双方在办理抵押登记手续时，应使用本公司出具的正式《土地估价报告》，特提请报告使用者注意。","——")</f>
        <v>——</v>
      </c>
      <c r="B9" s="3275"/>
      <c r="C9" s="3275"/>
      <c r="D9" s="3275"/>
    </row>
    <row r="10" spans="1:4">
      <c r="A10" s="3275" t="str">
        <f>IF(项目基本情况!B8="抵押","4.估价师所知悉的法定优先受偿款情况为：","——")</f>
        <v>——</v>
      </c>
      <c r="B10" s="3275"/>
      <c r="C10" s="3275"/>
      <c r="D10" s="3275"/>
    </row>
    <row r="11" spans="1:4" ht="37.5" customHeight="1">
      <c r="A11" s="3277" t="str">
        <f>IF(项目基本情况!B8="抵押","（1）"&amp;CONCATENATE(项目基本情况!L24,项目基本情况!L25,项目基本情况!L26),"——")</f>
        <v>——</v>
      </c>
      <c r="B11" s="3277"/>
      <c r="C11" s="3277"/>
      <c r="D11" s="3277"/>
    </row>
    <row r="12" spans="1:4" ht="168" customHeight="1">
      <c r="A12" s="3278" t="s">
        <v>2066</v>
      </c>
      <c r="B12" s="3278"/>
      <c r="C12" s="3278"/>
      <c r="D12" s="3278"/>
    </row>
    <row r="13" spans="1:4">
      <c r="A13" s="3276" t="s">
        <v>2742</v>
      </c>
      <c r="B13" s="3276"/>
      <c r="C13" s="3276"/>
      <c r="D13" s="3276"/>
    </row>
    <row r="14" spans="1:4">
      <c r="A14" s="3277" t="str">
        <f>IF(项目基本情况!B8="抵押","综上，"&amp;结果表!K47,"——")</f>
        <v>——</v>
      </c>
      <c r="B14" s="3277"/>
      <c r="C14" s="3277"/>
      <c r="D14" s="3277"/>
    </row>
    <row r="15" spans="1:4" ht="58.5" customHeight="1">
      <c r="A15" s="327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75"/>
      <c r="C15" s="3275"/>
      <c r="D15" s="3275"/>
    </row>
    <row r="16" spans="1:4" ht="70.5" customHeight="1">
      <c r="A16" s="327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75"/>
      <c r="C16" s="3275"/>
      <c r="D16" s="3275"/>
    </row>
    <row r="17" spans="1:4">
      <c r="A17" s="3275" t="s">
        <v>2698</v>
      </c>
      <c r="B17" s="3275"/>
      <c r="C17" s="3275"/>
      <c r="D17" s="3275"/>
    </row>
    <row r="18" spans="1:4">
      <c r="A18" s="3275" t="s">
        <v>2690</v>
      </c>
      <c r="B18" s="3275"/>
      <c r="C18" s="3275"/>
      <c r="D18" s="3275"/>
    </row>
    <row r="19" spans="1:4">
      <c r="A19" s="2706" t="s">
        <v>2691</v>
      </c>
      <c r="B19" s="2706" t="s">
        <v>2692</v>
      </c>
      <c r="C19" s="2706" t="s">
        <v>2693</v>
      </c>
      <c r="D19" s="2706" t="s">
        <v>2694</v>
      </c>
    </row>
    <row r="20" spans="1:4">
      <c r="A20" s="2706" t="str">
        <f>项目基本情况!B4</f>
        <v>土地估价师</v>
      </c>
      <c r="B20" s="2706">
        <f>项目基本情况!C4</f>
        <v>0</v>
      </c>
      <c r="C20" s="2708"/>
      <c r="D20" s="1784" t="s">
        <v>2699</v>
      </c>
    </row>
    <row r="21" spans="1:4">
      <c r="A21" s="2706" t="str">
        <f>项目基本情况!D4</f>
        <v>土地估价师</v>
      </c>
      <c r="B21" s="2706">
        <f>项目基本情况!E4</f>
        <v>0</v>
      </c>
      <c r="C21" s="2708"/>
      <c r="D21" s="1784" t="s">
        <v>2700</v>
      </c>
    </row>
    <row r="23" spans="1:4">
      <c r="A23" s="3275" t="s">
        <v>2695</v>
      </c>
      <c r="B23" s="3275"/>
      <c r="C23" s="3275"/>
      <c r="D23" s="3275"/>
    </row>
    <row r="24" spans="1:4">
      <c r="A24" s="2706" t="s">
        <v>2691</v>
      </c>
      <c r="B24" s="2706" t="s">
        <v>2696</v>
      </c>
      <c r="C24" s="2706" t="s">
        <v>2693</v>
      </c>
      <c r="D24" s="2706" t="s">
        <v>2694</v>
      </c>
    </row>
    <row r="25" spans="1:4">
      <c r="A25" s="2709" t="s">
        <v>2697</v>
      </c>
      <c r="B25" s="2706" t="s">
        <v>952</v>
      </c>
      <c r="C25" s="2708"/>
      <c r="D25" s="1784" t="s">
        <v>2700</v>
      </c>
    </row>
    <row r="29" spans="1:4">
      <c r="D29" s="2707" t="s">
        <v>2037</v>
      </c>
    </row>
    <row r="30" spans="1:4">
      <c r="D30" s="271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I27" sqref="I27"/>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87" t="s">
        <v>53</v>
      </c>
      <c r="B15" s="3288" t="s">
        <v>846</v>
      </c>
      <c r="C15" s="3284"/>
    </row>
    <row r="16" spans="1:7" ht="14.25">
      <c r="A16" s="3287"/>
      <c r="B16" s="3285" t="s">
        <v>54</v>
      </c>
      <c r="C16" s="1167" t="s">
        <v>53</v>
      </c>
    </row>
    <row r="17" spans="1:3" ht="14.25">
      <c r="A17" s="3287"/>
      <c r="B17" s="3285"/>
      <c r="C17" s="1167" t="s">
        <v>55</v>
      </c>
    </row>
    <row r="18" spans="1:3" ht="14.25">
      <c r="A18" s="3287"/>
      <c r="B18" s="3285"/>
      <c r="C18" s="1167" t="s">
        <v>56</v>
      </c>
    </row>
    <row r="19" spans="1:3" ht="14.25">
      <c r="A19" s="3287"/>
      <c r="B19" s="3283" t="s">
        <v>57</v>
      </c>
      <c r="C19" s="3284"/>
    </row>
    <row r="20" spans="1:3" ht="14.25">
      <c r="A20" s="1168" t="s">
        <v>58</v>
      </c>
      <c r="B20" s="1169"/>
      <c r="C20" s="1170"/>
    </row>
    <row r="21" spans="1:3" ht="14.25">
      <c r="A21" s="3286" t="s">
        <v>59</v>
      </c>
      <c r="B21" s="3283" t="s">
        <v>60</v>
      </c>
      <c r="C21" s="3284"/>
    </row>
    <row r="22" spans="1:3" ht="14.25">
      <c r="A22" s="3286"/>
      <c r="B22" s="3283" t="s">
        <v>61</v>
      </c>
      <c r="C22" s="3284"/>
    </row>
    <row r="23" spans="1:3" ht="14.25">
      <c r="A23" s="3286"/>
      <c r="B23" s="3283" t="s">
        <v>62</v>
      </c>
      <c r="C23" s="3284"/>
    </row>
    <row r="24" spans="1:3" ht="14.25">
      <c r="A24" s="3286"/>
      <c r="B24" s="3289" t="s">
        <v>63</v>
      </c>
      <c r="C24" s="1171" t="s">
        <v>837</v>
      </c>
    </row>
    <row r="25" spans="1:3" ht="14.25">
      <c r="A25" s="3286"/>
      <c r="B25" s="3290"/>
      <c r="C25" s="1171" t="s">
        <v>838</v>
      </c>
    </row>
    <row r="26" spans="1:3" ht="14.25">
      <c r="A26" s="3286"/>
      <c r="B26" s="3290"/>
      <c r="C26" s="1171" t="s">
        <v>839</v>
      </c>
    </row>
    <row r="27" spans="1:3" ht="14.25">
      <c r="A27" s="3286"/>
      <c r="B27" s="3290"/>
      <c r="C27" s="1171" t="s">
        <v>840</v>
      </c>
    </row>
    <row r="28" spans="1:3" ht="14.25">
      <c r="A28" s="3286"/>
      <c r="B28" s="3290"/>
      <c r="C28" s="1171" t="s">
        <v>841</v>
      </c>
    </row>
    <row r="29" spans="1:3" ht="14.25">
      <c r="A29" s="3286"/>
      <c r="B29" s="3290"/>
      <c r="C29" s="1171" t="s">
        <v>842</v>
      </c>
    </row>
    <row r="30" spans="1:3" ht="14.25">
      <c r="A30" s="3286"/>
      <c r="B30" s="3290"/>
      <c r="C30" s="1171" t="s">
        <v>843</v>
      </c>
    </row>
    <row r="31" spans="1:3" ht="14.25">
      <c r="A31" s="3286"/>
      <c r="B31" s="3290"/>
      <c r="C31" s="1171" t="s">
        <v>844</v>
      </c>
    </row>
    <row r="32" spans="1:3" ht="14.25">
      <c r="A32" s="3286"/>
      <c r="B32" s="3290"/>
      <c r="C32" s="1171" t="s">
        <v>1646</v>
      </c>
    </row>
    <row r="33" spans="1:3" ht="14.25">
      <c r="A33" s="3286"/>
      <c r="B33" s="3280" t="s">
        <v>1652</v>
      </c>
      <c r="C33" s="1171" t="s">
        <v>1647</v>
      </c>
    </row>
    <row r="34" spans="1:3" ht="14.25">
      <c r="A34" s="3286"/>
      <c r="B34" s="3281"/>
      <c r="C34" s="1176" t="s">
        <v>1648</v>
      </c>
    </row>
    <row r="35" spans="1:3" ht="14.25">
      <c r="A35" s="3286"/>
      <c r="B35" s="3281"/>
      <c r="C35" s="1177" t="s">
        <v>1649</v>
      </c>
    </row>
    <row r="36" spans="1:3" ht="14.25">
      <c r="A36" s="3286"/>
      <c r="B36" s="3281"/>
      <c r="C36" s="1177" t="s">
        <v>1650</v>
      </c>
    </row>
    <row r="37" spans="1:3" ht="14.25">
      <c r="A37" s="3286"/>
      <c r="B37" s="3282"/>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23" sqref="C23"/>
    </sheetView>
  </sheetViews>
  <sheetFormatPr defaultColWidth="22.625" defaultRowHeight="20.25" customHeight="1"/>
  <cols>
    <col min="1" max="1" width="24.75" style="2981" customWidth="1"/>
    <col min="2" max="5" width="22.625" style="2981"/>
    <col min="6" max="6" width="25.625" style="2981" customWidth="1"/>
    <col min="7" max="16384" width="22.625" style="2981"/>
  </cols>
  <sheetData>
    <row r="2" spans="1:6" ht="20.25" customHeight="1">
      <c r="A2" s="2978" t="s">
        <v>1907</v>
      </c>
      <c r="B2" s="2979">
        <f ca="1">TODAY()</f>
        <v>44349</v>
      </c>
      <c r="C2" s="2980" t="s">
        <v>1908</v>
      </c>
      <c r="D2" s="2980"/>
    </row>
    <row r="3" spans="1:6" ht="20.25" customHeight="1">
      <c r="A3" s="2982" t="s">
        <v>1909</v>
      </c>
      <c r="B3" s="2983" t="s">
        <v>1910</v>
      </c>
      <c r="C3" s="2983" t="s">
        <v>1911</v>
      </c>
      <c r="D3" s="2984" t="s">
        <v>1912</v>
      </c>
      <c r="E3" s="2983" t="s">
        <v>1913</v>
      </c>
      <c r="F3" s="2983" t="s">
        <v>1911</v>
      </c>
    </row>
    <row r="4" spans="1:6" ht="20.25" customHeight="1">
      <c r="A4" s="2983" t="s">
        <v>1914</v>
      </c>
      <c r="B4" s="2983">
        <f ca="1">IF(C4&lt;B2,"已过期",1119970066)</f>
        <v>1119970066</v>
      </c>
      <c r="C4" s="2985">
        <v>44876</v>
      </c>
      <c r="D4" s="2983" t="s">
        <v>1914</v>
      </c>
      <c r="E4" s="2983">
        <f ca="1">IF(F4&lt;B2,"已过期",96010014)</f>
        <v>96010014</v>
      </c>
      <c r="F4" s="2986">
        <v>47118</v>
      </c>
    </row>
    <row r="5" spans="1:6" ht="20.25" customHeight="1">
      <c r="A5" s="2983"/>
      <c r="B5" s="2983"/>
      <c r="C5" s="2985"/>
      <c r="D5" s="2983"/>
      <c r="E5" s="2983"/>
      <c r="F5" s="2986"/>
    </row>
    <row r="6" spans="1:6" ht="20.25" customHeight="1">
      <c r="A6" s="2983" t="s">
        <v>1915</v>
      </c>
      <c r="B6" s="2983">
        <f ca="1">IF(C6&lt;B2,"已过期",1119970111)</f>
        <v>1119970111</v>
      </c>
      <c r="C6" s="2985">
        <v>44876</v>
      </c>
      <c r="D6" s="2983" t="s">
        <v>1915</v>
      </c>
      <c r="E6" s="2983">
        <f ca="1">IF(F6&lt;B2,"已过期",94010078)</f>
        <v>94010078</v>
      </c>
      <c r="F6" s="2986">
        <v>46387</v>
      </c>
    </row>
    <row r="7" spans="1:6" ht="20.25" customHeight="1">
      <c r="A7" s="2983" t="s">
        <v>1916</v>
      </c>
      <c r="B7" s="2983">
        <f ca="1">IF(C7&lt;B2,"已过期",1120050019)</f>
        <v>1120050019</v>
      </c>
      <c r="C7" s="2985">
        <v>44395</v>
      </c>
      <c r="D7" s="2983" t="s">
        <v>1916</v>
      </c>
      <c r="E7" s="2983">
        <f ca="1">IF(F7&lt;B2,"已过期",2002110030)</f>
        <v>2002110030</v>
      </c>
      <c r="F7" s="2986">
        <v>46387</v>
      </c>
    </row>
    <row r="8" spans="1:6" ht="20.25" customHeight="1">
      <c r="A8" s="2983" t="s">
        <v>1917</v>
      </c>
      <c r="B8" s="2983">
        <f ca="1">IF(C8&lt;B2,"已过期",1120000080)</f>
        <v>1120000080</v>
      </c>
      <c r="C8" s="2985">
        <v>44876</v>
      </c>
      <c r="D8" s="2983" t="s">
        <v>1917</v>
      </c>
      <c r="E8" s="2983">
        <f ca="1">IF(F8&lt;B2,"已过期",2000110082)</f>
        <v>2000110082</v>
      </c>
      <c r="F8" s="2986">
        <v>46387</v>
      </c>
    </row>
    <row r="9" spans="1:6" ht="20.25" customHeight="1">
      <c r="A9" s="2983" t="s">
        <v>1918</v>
      </c>
      <c r="B9" s="2983">
        <f ca="1">IF(C9&lt;B2,"已过期",1419970001)</f>
        <v>1419970001</v>
      </c>
      <c r="C9" s="2985">
        <v>44899</v>
      </c>
      <c r="D9" s="2983" t="s">
        <v>1918</v>
      </c>
      <c r="E9" s="2983">
        <f ca="1">IF(F9&lt;B2,"已过期",2002110125)</f>
        <v>2002110125</v>
      </c>
      <c r="F9" s="2986">
        <v>47118</v>
      </c>
    </row>
    <row r="10" spans="1:6" ht="20.25" customHeight="1">
      <c r="A10" s="2983" t="s">
        <v>1919</v>
      </c>
      <c r="B10" s="2983">
        <f ca="1">IF(C10&lt;B2,"已过期",1120060040)</f>
        <v>1120060040</v>
      </c>
      <c r="C10" s="2985">
        <v>44554</v>
      </c>
      <c r="D10" s="2983" t="s">
        <v>1919</v>
      </c>
      <c r="E10" s="2983">
        <f ca="1">IF(F10&lt;B2,"已过期",2004110096)</f>
        <v>2004110096</v>
      </c>
      <c r="F10" s="2986">
        <v>47118</v>
      </c>
    </row>
    <row r="11" spans="1:6" ht="20.25" customHeight="1">
      <c r="A11" s="2983" t="s">
        <v>1920</v>
      </c>
      <c r="B11" s="2983">
        <f ca="1">IF(C11&lt;B2,"已过期",1120100036)</f>
        <v>1120100036</v>
      </c>
      <c r="C11" s="2985">
        <v>44675</v>
      </c>
      <c r="D11" s="2983" t="s">
        <v>1920</v>
      </c>
      <c r="E11" s="2983">
        <f ca="1">IF(F11&lt;B2,"已过期",2010110070)</f>
        <v>2010110070</v>
      </c>
      <c r="F11" s="2986">
        <v>47907</v>
      </c>
    </row>
    <row r="12" spans="1:6" ht="20.25" customHeight="1">
      <c r="A12" s="2983"/>
      <c r="B12" s="2983"/>
      <c r="C12" s="2985"/>
      <c r="D12" s="2983"/>
      <c r="E12" s="2983"/>
      <c r="F12" s="2986"/>
    </row>
    <row r="13" spans="1:6" ht="20.25" customHeight="1">
      <c r="A13" s="2983" t="s">
        <v>1921</v>
      </c>
      <c r="B13" s="2983">
        <f ca="1">IF(C13&lt;B2,"已过期",1120070131)</f>
        <v>1120070131</v>
      </c>
      <c r="C13" s="2985">
        <v>44849</v>
      </c>
      <c r="D13" s="2983" t="s">
        <v>1921</v>
      </c>
      <c r="E13" s="2983">
        <f ca="1">IF(F13&lt;B2,"已过期",2014110011)</f>
        <v>2014110011</v>
      </c>
      <c r="F13" s="2986">
        <v>49302</v>
      </c>
    </row>
    <row r="14" spans="1:6" ht="20.25" customHeight="1">
      <c r="A14" s="2983" t="s">
        <v>2977</v>
      </c>
      <c r="B14" s="2983">
        <f ca="1">IF(C14&lt;B2,"已过期",1120040230)</f>
        <v>1120040230</v>
      </c>
      <c r="C14" s="2987">
        <v>44864</v>
      </c>
      <c r="D14" s="2988" t="s">
        <v>2978</v>
      </c>
      <c r="E14" s="2983">
        <f ca="1">IF(F14&lt;B2,"已过期",98030020)</f>
        <v>98030020</v>
      </c>
      <c r="F14" s="2986">
        <v>47118</v>
      </c>
    </row>
    <row r="15" spans="1:6" ht="20.25" customHeight="1">
      <c r="A15" s="2983"/>
      <c r="B15" s="2983"/>
      <c r="C15" s="2987"/>
      <c r="D15" s="2983"/>
      <c r="E15" s="2983"/>
      <c r="F15" s="2989"/>
    </row>
    <row r="16" spans="1:6" ht="20.25" customHeight="1">
      <c r="A16" s="2983"/>
      <c r="B16" s="2983"/>
      <c r="C16" s="2985"/>
      <c r="D16" s="2983"/>
      <c r="E16" s="2983"/>
      <c r="F16" s="2986"/>
    </row>
    <row r="17" spans="1:7" ht="20.25" customHeight="1">
      <c r="A17" s="2983"/>
      <c r="B17" s="2983"/>
      <c r="C17" s="2985"/>
      <c r="D17" s="2988"/>
      <c r="E17" s="2983"/>
      <c r="F17" s="2986"/>
    </row>
    <row r="18" spans="1:7" ht="20.25" customHeight="1">
      <c r="A18" s="2983" t="s">
        <v>2990</v>
      </c>
      <c r="B18" s="2983">
        <v>1120190079</v>
      </c>
      <c r="C18" s="2985">
        <v>44826</v>
      </c>
      <c r="D18" s="2983"/>
      <c r="E18" s="2983"/>
      <c r="F18" s="2986"/>
    </row>
    <row r="19" spans="1:7" ht="20.25" customHeight="1">
      <c r="A19" s="2983"/>
      <c r="B19" s="2983"/>
      <c r="C19" s="2985"/>
      <c r="D19" s="2983"/>
      <c r="E19" s="2983"/>
      <c r="F19" s="2983"/>
    </row>
    <row r="20" spans="1:7" ht="20.25" customHeight="1">
      <c r="A20" s="2983"/>
      <c r="B20" s="2983"/>
      <c r="C20" s="2985"/>
      <c r="D20" s="2983"/>
      <c r="E20" s="2983"/>
      <c r="F20" s="2983"/>
    </row>
    <row r="21" spans="1:7" ht="20.25" customHeight="1">
      <c r="A21" s="2983"/>
      <c r="B21" s="2983"/>
      <c r="C21" s="2985"/>
      <c r="D21" s="2983" t="s">
        <v>1922</v>
      </c>
      <c r="E21" s="2983">
        <f ca="1">IF(F21&lt;B2,"已过期",2011110090)</f>
        <v>2011110090</v>
      </c>
      <c r="F21" s="2986">
        <v>48302</v>
      </c>
    </row>
    <row r="22" spans="1:7" ht="20.25" customHeight="1">
      <c r="A22" s="2983" t="s">
        <v>1923</v>
      </c>
      <c r="B22" s="2983" t="str">
        <f ca="1">IF(C22&lt;B2,"已过期",1120020033)</f>
        <v>已过期</v>
      </c>
      <c r="C22" s="2985">
        <v>44339</v>
      </c>
      <c r="D22" s="2983" t="s">
        <v>1923</v>
      </c>
      <c r="E22" s="2983">
        <f ca="1">IF(F22&lt;B2,"已过期",2000110137)</f>
        <v>2000110137</v>
      </c>
      <c r="F22" s="2986">
        <v>46387</v>
      </c>
    </row>
    <row r="23" spans="1:7" ht="20.25" customHeight="1">
      <c r="A23" s="2983" t="s">
        <v>2992</v>
      </c>
      <c r="B23" s="2983">
        <v>1119980106</v>
      </c>
      <c r="C23" s="2985">
        <v>44969</v>
      </c>
      <c r="D23" s="2983"/>
      <c r="E23" s="2983"/>
      <c r="F23" s="2983"/>
    </row>
    <row r="24" spans="1:7" s="2991" customFormat="1" ht="20.25" customHeight="1">
      <c r="A24" s="2982" t="s">
        <v>2051</v>
      </c>
      <c r="B24" s="2982" t="s">
        <v>2051</v>
      </c>
      <c r="C24" s="2985"/>
      <c r="D24" s="2990" t="s">
        <v>2051</v>
      </c>
      <c r="E24" s="2982" t="s">
        <v>2051</v>
      </c>
      <c r="F24" s="2989"/>
    </row>
    <row r="25" spans="1:7" ht="20.25" customHeight="1">
      <c r="A25" s="3291" t="s">
        <v>1924</v>
      </c>
      <c r="B25" s="3291"/>
      <c r="C25" s="3291"/>
      <c r="D25" s="3291"/>
      <c r="E25" s="3291"/>
      <c r="F25" s="3291"/>
      <c r="G25" s="3291"/>
    </row>
    <row r="26" spans="1:7" ht="20.25" customHeight="1">
      <c r="A26" s="3292" t="s">
        <v>1925</v>
      </c>
      <c r="B26" s="3292"/>
      <c r="C26" s="3292"/>
      <c r="D26" s="3292" t="s">
        <v>1926</v>
      </c>
      <c r="E26" s="3292"/>
      <c r="F26" s="3292"/>
    </row>
    <row r="27" spans="1:7" s="2978" customFormat="1" ht="20.25" customHeight="1">
      <c r="A27" s="2992" t="s">
        <v>1927</v>
      </c>
      <c r="B27" s="2993" t="s">
        <v>1928</v>
      </c>
      <c r="C27" s="2993" t="s">
        <v>1929</v>
      </c>
      <c r="D27" s="2983" t="s">
        <v>1927</v>
      </c>
      <c r="E27" s="2993" t="s">
        <v>1928</v>
      </c>
      <c r="F27" s="2993" t="s">
        <v>1929</v>
      </c>
    </row>
    <row r="28" spans="1:7" s="2978" customFormat="1" ht="20.25" customHeight="1">
      <c r="A28" s="2994" t="s">
        <v>1930</v>
      </c>
      <c r="B28" s="2994" t="s">
        <v>1931</v>
      </c>
      <c r="C28" s="2986">
        <v>44820</v>
      </c>
      <c r="D28" s="2994" t="s">
        <v>1932</v>
      </c>
      <c r="E28" s="2994" t="s">
        <v>1933</v>
      </c>
      <c r="F28" s="2995">
        <v>44377</v>
      </c>
    </row>
    <row r="29" spans="1:7" s="2978" customFormat="1" ht="20.25" customHeight="1">
      <c r="A29" s="2994"/>
      <c r="B29" s="2994"/>
      <c r="C29" s="2996"/>
      <c r="D29" s="2994" t="s">
        <v>1934</v>
      </c>
      <c r="E29" s="2994" t="s">
        <v>2991</v>
      </c>
      <c r="F29" s="2995">
        <v>44012</v>
      </c>
    </row>
    <row r="30" spans="1:7" ht="20.25" customHeight="1">
      <c r="C30" s="2997"/>
      <c r="D30" s="2997"/>
    </row>
  </sheetData>
  <sheetProtection sheet="1" objects="1" scenarios="1"/>
  <mergeCells count="3">
    <mergeCell ref="A25:G25"/>
    <mergeCell ref="A26:C26"/>
    <mergeCell ref="D26:F26"/>
  </mergeCells>
  <phoneticPr fontId="3" type="noConversion"/>
  <conditionalFormatting sqref="C24:D24">
    <cfRule type="expression" dxfId="249" priority="137">
      <formula>AND($C24-TODAY()&lt;30,TODAY()&lt;$C24)</formula>
    </cfRule>
  </conditionalFormatting>
  <conditionalFormatting sqref="C28">
    <cfRule type="expression" dxfId="248" priority="136">
      <formula>AND($C28-TODAY()&lt;30,TODAY()&lt;$C28)</formula>
    </cfRule>
  </conditionalFormatting>
  <conditionalFormatting sqref="C28 F4">
    <cfRule type="cellIs" dxfId="247" priority="138" stopIfTrue="1" operator="lessThan">
      <formula>$B$2</formula>
    </cfRule>
  </conditionalFormatting>
  <conditionalFormatting sqref="F5">
    <cfRule type="cellIs" dxfId="246" priority="134" stopIfTrue="1" operator="lessThan">
      <formula>$B$2</formula>
    </cfRule>
  </conditionalFormatting>
  <conditionalFormatting sqref="F6 F8 F10">
    <cfRule type="cellIs" dxfId="245" priority="132" stopIfTrue="1" operator="lessThan">
      <formula>$B$2</formula>
    </cfRule>
  </conditionalFormatting>
  <conditionalFormatting sqref="C24:D24">
    <cfRule type="expression" dxfId="244" priority="130">
      <formula>AND($C24-TODAY()&lt;30,TODAY()&lt;$C24)</formula>
    </cfRule>
  </conditionalFormatting>
  <conditionalFormatting sqref="F7 F9 F11 C24:D24">
    <cfRule type="cellIs" dxfId="243" priority="131" stopIfTrue="1" operator="lessThan">
      <formula>$B$2</formula>
    </cfRule>
  </conditionalFormatting>
  <conditionalFormatting sqref="F18">
    <cfRule type="cellIs" dxfId="242" priority="103" stopIfTrue="1" operator="lessThan">
      <formula>$B$2</formula>
    </cfRule>
  </conditionalFormatting>
  <conditionalFormatting sqref="F22">
    <cfRule type="cellIs" dxfId="241" priority="102" stopIfTrue="1" operator="lessThan">
      <formula>$B$2</formula>
    </cfRule>
  </conditionalFormatting>
  <conditionalFormatting sqref="F21">
    <cfRule type="cellIs" dxfId="240" priority="101" stopIfTrue="1" operator="lessThan">
      <formula>$B$2</formula>
    </cfRule>
  </conditionalFormatting>
  <conditionalFormatting sqref="B4:B11 E4:E11 E18:E23 B17:B23 B13 E13">
    <cfRule type="cellIs" dxfId="239" priority="99" stopIfTrue="1" operator="equal">
      <formula>"已过期"</formula>
    </cfRule>
  </conditionalFormatting>
  <conditionalFormatting sqref="F28">
    <cfRule type="cellIs" dxfId="238" priority="96" stopIfTrue="1" operator="lessThan">
      <formula>$B$2</formula>
    </cfRule>
  </conditionalFormatting>
  <conditionalFormatting sqref="F28">
    <cfRule type="expression" dxfId="237" priority="140">
      <formula>AND($E28-TODAY()&lt;30,TODAY()&lt;$E28)</formula>
    </cfRule>
  </conditionalFormatting>
  <conditionalFormatting sqref="C5">
    <cfRule type="expression" dxfId="236" priority="91">
      <formula>AND($C5-TODAY()&lt;30,TODAY()&lt;$C5)</formula>
    </cfRule>
  </conditionalFormatting>
  <conditionalFormatting sqref="C5">
    <cfRule type="cellIs" dxfId="235" priority="92" stopIfTrue="1" operator="lessThan">
      <formula>$B$2</formula>
    </cfRule>
  </conditionalFormatting>
  <conditionalFormatting sqref="C5:C6">
    <cfRule type="expression" dxfId="234" priority="89">
      <formula>AND($C5-TODAY()&lt;30,TODAY()&lt;$C5)</formula>
    </cfRule>
  </conditionalFormatting>
  <conditionalFormatting sqref="C5:C6">
    <cfRule type="cellIs" dxfId="233" priority="90" stopIfTrue="1" operator="lessThan">
      <formula>$B$2</formula>
    </cfRule>
  </conditionalFormatting>
  <conditionalFormatting sqref="C7">
    <cfRule type="expression" dxfId="232" priority="70">
      <formula>AND($C7-TODAY()&lt;30,TODAY()&lt;$C7)</formula>
    </cfRule>
  </conditionalFormatting>
  <conditionalFormatting sqref="C7">
    <cfRule type="cellIs" dxfId="231" priority="71" stopIfTrue="1" operator="lessThan">
      <formula>$B$2</formula>
    </cfRule>
  </conditionalFormatting>
  <conditionalFormatting sqref="C13 C17:C21">
    <cfRule type="expression" dxfId="230" priority="68">
      <formula>AND($C13-TODAY()&lt;30,TODAY()&lt;$C13)</formula>
    </cfRule>
  </conditionalFormatting>
  <conditionalFormatting sqref="C13 C17:C21">
    <cfRule type="cellIs" dxfId="229" priority="69" stopIfTrue="1" operator="lessThan">
      <formula>$B$2</formula>
    </cfRule>
  </conditionalFormatting>
  <conditionalFormatting sqref="F13">
    <cfRule type="cellIs" dxfId="228" priority="67" stopIfTrue="1" operator="lessThan">
      <formula>$B$2</formula>
    </cfRule>
  </conditionalFormatting>
  <conditionalFormatting sqref="F12">
    <cfRule type="cellIs" dxfId="227" priority="59" stopIfTrue="1" operator="lessThan">
      <formula>$B$2</formula>
    </cfRule>
  </conditionalFormatting>
  <conditionalFormatting sqref="B12 E12">
    <cfRule type="cellIs" dxfId="226" priority="58" stopIfTrue="1" operator="equal">
      <formula>"已过期"</formula>
    </cfRule>
  </conditionalFormatting>
  <conditionalFormatting sqref="C12">
    <cfRule type="expression" dxfId="225" priority="56">
      <formula>AND($C12-TODAY()&lt;30,TODAY()&lt;$C12)</formula>
    </cfRule>
  </conditionalFormatting>
  <conditionalFormatting sqref="C12">
    <cfRule type="cellIs" dxfId="224" priority="57" stopIfTrue="1" operator="lessThan">
      <formula>$B$2</formula>
    </cfRule>
  </conditionalFormatting>
  <conditionalFormatting sqref="C22">
    <cfRule type="expression" dxfId="223" priority="48">
      <formula>AND($C22-TODAY()&lt;30,TODAY()&lt;$C22)</formula>
    </cfRule>
  </conditionalFormatting>
  <conditionalFormatting sqref="C22">
    <cfRule type="cellIs" dxfId="222" priority="49" stopIfTrue="1" operator="lessThan">
      <formula>$B$2</formula>
    </cfRule>
  </conditionalFormatting>
  <conditionalFormatting sqref="C16">
    <cfRule type="expression" dxfId="221" priority="46">
      <formula>AND($C16-TODAY()&lt;30,TODAY()&lt;$C16)</formula>
    </cfRule>
  </conditionalFormatting>
  <conditionalFormatting sqref="C16">
    <cfRule type="cellIs" dxfId="220" priority="47" stopIfTrue="1" operator="lessThan">
      <formula>$B$2</formula>
    </cfRule>
  </conditionalFormatting>
  <conditionalFormatting sqref="C16">
    <cfRule type="expression" dxfId="219" priority="44">
      <formula>AND($C16-TODAY()&lt;30,TODAY()&lt;$C16)</formula>
    </cfRule>
  </conditionalFormatting>
  <conditionalFormatting sqref="C16">
    <cfRule type="cellIs" dxfId="218" priority="45" stopIfTrue="1" operator="lessThan">
      <formula>$B$2</formula>
    </cfRule>
  </conditionalFormatting>
  <conditionalFormatting sqref="B16">
    <cfRule type="cellIs" dxfId="217" priority="43" stopIfTrue="1" operator="equal">
      <formula>"已过期"</formula>
    </cfRule>
  </conditionalFormatting>
  <conditionalFormatting sqref="C14:C15">
    <cfRule type="expression" dxfId="216" priority="41">
      <formula>AND($C14-TODAY()&lt;30,TODAY()&lt;$C14)</formula>
    </cfRule>
  </conditionalFormatting>
  <conditionalFormatting sqref="C14:C15">
    <cfRule type="cellIs" dxfId="215" priority="42" stopIfTrue="1" operator="lessThan">
      <formula>$B$2</formula>
    </cfRule>
  </conditionalFormatting>
  <conditionalFormatting sqref="C14">
    <cfRule type="expression" dxfId="214" priority="39">
      <formula>AND($C14-TODAY()&lt;30,TODAY()&lt;$C14)</formula>
    </cfRule>
  </conditionalFormatting>
  <conditionalFormatting sqref="C14">
    <cfRule type="cellIs" dxfId="213" priority="40" stopIfTrue="1" operator="lessThan">
      <formula>$B$2</formula>
    </cfRule>
  </conditionalFormatting>
  <conditionalFormatting sqref="C15">
    <cfRule type="expression" dxfId="212" priority="37">
      <formula>AND($C15-TODAY()&lt;30,TODAY()&lt;$C15)</formula>
    </cfRule>
  </conditionalFormatting>
  <conditionalFormatting sqref="C15">
    <cfRule type="cellIs" dxfId="211" priority="38" stopIfTrue="1" operator="lessThan">
      <formula>$B$2</formula>
    </cfRule>
  </conditionalFormatting>
  <conditionalFormatting sqref="B14">
    <cfRule type="cellIs" dxfId="210" priority="36" stopIfTrue="1" operator="equal">
      <formula>"已过期"</formula>
    </cfRule>
  </conditionalFormatting>
  <conditionalFormatting sqref="B15">
    <cfRule type="cellIs" dxfId="209" priority="35" stopIfTrue="1" operator="equal">
      <formula>"已过期"</formula>
    </cfRule>
  </conditionalFormatting>
  <conditionalFormatting sqref="A15">
    <cfRule type="cellIs" dxfId="208" priority="34" stopIfTrue="1" operator="equal">
      <formula>"已过期"</formula>
    </cfRule>
  </conditionalFormatting>
  <conditionalFormatting sqref="C15">
    <cfRule type="expression" dxfId="207" priority="33">
      <formula>AND($C15-TODAY()&lt;30,TODAY()&lt;$C15)</formula>
    </cfRule>
  </conditionalFormatting>
  <conditionalFormatting sqref="F16">
    <cfRule type="cellIs" dxfId="206" priority="32" stopIfTrue="1" operator="lessThan">
      <formula>$B$2</formula>
    </cfRule>
  </conditionalFormatting>
  <conditionalFormatting sqref="E16">
    <cfRule type="cellIs" dxfId="205" priority="31" stopIfTrue="1" operator="equal">
      <formula>"已过期"</formula>
    </cfRule>
  </conditionalFormatting>
  <conditionalFormatting sqref="E15">
    <cfRule type="cellIs" dxfId="204" priority="30" stopIfTrue="1" operator="equal">
      <formula>"已过期"</formula>
    </cfRule>
  </conditionalFormatting>
  <conditionalFormatting sqref="D15">
    <cfRule type="cellIs" dxfId="203" priority="29" stopIfTrue="1" operator="equal">
      <formula>"已过期"</formula>
    </cfRule>
  </conditionalFormatting>
  <conditionalFormatting sqref="F17">
    <cfRule type="cellIs" dxfId="202" priority="28" stopIfTrue="1" operator="lessThan">
      <formula>$B$2</formula>
    </cfRule>
  </conditionalFormatting>
  <conditionalFormatting sqref="E17">
    <cfRule type="cellIs" dxfId="201" priority="27" stopIfTrue="1" operator="equal">
      <formula>"已过期"</formula>
    </cfRule>
  </conditionalFormatting>
  <conditionalFormatting sqref="E14">
    <cfRule type="cellIs" dxfId="200" priority="26" stopIfTrue="1" operator="equal">
      <formula>"已过期"</formula>
    </cfRule>
  </conditionalFormatting>
  <conditionalFormatting sqref="F14">
    <cfRule type="cellIs" dxfId="199" priority="25" stopIfTrue="1" operator="lessThan">
      <formula>$B$2</formula>
    </cfRule>
  </conditionalFormatting>
  <conditionalFormatting sqref="C10:C11">
    <cfRule type="expression" dxfId="198" priority="21">
      <formula>AND($C10-TODAY()&lt;30,TODAY()&lt;$C10)</formula>
    </cfRule>
  </conditionalFormatting>
  <conditionalFormatting sqref="C10:C11">
    <cfRule type="cellIs" dxfId="197" priority="22" stopIfTrue="1" operator="lessThan">
      <formula>$B$2</formula>
    </cfRule>
  </conditionalFormatting>
  <conditionalFormatting sqref="F29">
    <cfRule type="cellIs" dxfId="196" priority="17" stopIfTrue="1" operator="lessThan">
      <formula>$B$2</formula>
    </cfRule>
  </conditionalFormatting>
  <conditionalFormatting sqref="F29">
    <cfRule type="expression" dxfId="195" priority="18">
      <formula>AND($E29-TODAY()&lt;30,TODAY()&lt;$E29)</formula>
    </cfRule>
  </conditionalFormatting>
  <conditionalFormatting sqref="C4">
    <cfRule type="expression" dxfId="194" priority="5">
      <formula>AND($C4-TODAY()&lt;30,TODAY()&lt;$C4)</formula>
    </cfRule>
  </conditionalFormatting>
  <conditionalFormatting sqref="C4">
    <cfRule type="cellIs" dxfId="193" priority="6" stopIfTrue="1" operator="lessThan">
      <formula>$B$2</formula>
    </cfRule>
  </conditionalFormatting>
  <conditionalFormatting sqref="C8:C9">
    <cfRule type="expression" dxfId="192" priority="3">
      <formula>AND($C8-TODAY()&lt;30,TODAY()&lt;$C8)</formula>
    </cfRule>
  </conditionalFormatting>
  <conditionalFormatting sqref="C8:C9">
    <cfRule type="cellIs" dxfId="191" priority="4" stopIfTrue="1" operator="lessThan">
      <formula>$B$2</formula>
    </cfRule>
  </conditionalFormatting>
  <conditionalFormatting sqref="C23">
    <cfRule type="expression" dxfId="190" priority="1">
      <formula>AND($C23-TODAY()&lt;30,TODAY()&lt;$C23)</formula>
    </cfRule>
  </conditionalFormatting>
  <conditionalFormatting sqref="C23">
    <cfRule type="cellIs" dxfId="18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W29" sqref="W29"/>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2542</v>
      </c>
      <c r="R1" s="2545" t="s">
        <v>2536</v>
      </c>
      <c r="S1" s="6" t="s">
        <v>146</v>
      </c>
      <c r="T1" s="7" t="s">
        <v>147</v>
      </c>
      <c r="U1" s="6" t="s">
        <v>148</v>
      </c>
      <c r="V1" s="6" t="s">
        <v>149</v>
      </c>
      <c r="W1" s="1003"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2537</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2538</v>
      </c>
      <c r="S3" s="9" t="s">
        <v>84</v>
      </c>
      <c r="T3" s="9" t="s">
        <v>85</v>
      </c>
      <c r="U3" s="9" t="s">
        <v>84</v>
      </c>
      <c r="V3" s="9" t="s">
        <v>86</v>
      </c>
      <c r="W3" s="9" t="s">
        <v>876</v>
      </c>
    </row>
    <row r="4" spans="1:23">
      <c r="A4" s="8" t="s">
        <v>87</v>
      </c>
      <c r="B4" s="8" t="s">
        <v>152</v>
      </c>
      <c r="C4" s="1536" t="s">
        <v>1711</v>
      </c>
      <c r="D4" s="9" t="s">
        <v>1992</v>
      </c>
      <c r="E4" s="9" t="s">
        <v>88</v>
      </c>
      <c r="F4" s="9" t="s">
        <v>89</v>
      </c>
      <c r="G4" s="9">
        <v>70</v>
      </c>
      <c r="H4" s="9" t="s">
        <v>90</v>
      </c>
      <c r="I4" s="9" t="s">
        <v>91</v>
      </c>
      <c r="K4" s="9" t="s">
        <v>92</v>
      </c>
      <c r="L4" s="9" t="s">
        <v>92</v>
      </c>
      <c r="M4" s="9" t="s">
        <v>92</v>
      </c>
      <c r="N4" s="9" t="s">
        <v>92</v>
      </c>
      <c r="O4" s="9" t="s">
        <v>92</v>
      </c>
      <c r="P4" s="1005" t="s">
        <v>760</v>
      </c>
      <c r="Q4" s="9" t="s">
        <v>92</v>
      </c>
      <c r="R4" s="1005" t="s">
        <v>2539</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5" t="s">
        <v>546</v>
      </c>
      <c r="Q5" s="9" t="s">
        <v>97</v>
      </c>
      <c r="R5" s="1005" t="s">
        <v>2540</v>
      </c>
      <c r="S5" s="9" t="s">
        <v>97</v>
      </c>
      <c r="T5" s="9" t="s">
        <v>98</v>
      </c>
      <c r="U5" s="9" t="s">
        <v>97</v>
      </c>
      <c r="W5" s="9" t="s">
        <v>878</v>
      </c>
    </row>
    <row r="6" spans="1:23">
      <c r="A6" s="8" t="s">
        <v>99</v>
      </c>
      <c r="B6" s="1144" t="s">
        <v>1640</v>
      </c>
      <c r="C6" s="1538" t="s">
        <v>1713</v>
      </c>
      <c r="F6" s="9" t="s">
        <v>71</v>
      </c>
      <c r="H6" s="9" t="s">
        <v>72</v>
      </c>
      <c r="I6" s="9" t="s">
        <v>100</v>
      </c>
      <c r="K6" s="9" t="s">
        <v>101</v>
      </c>
      <c r="L6" s="9" t="s">
        <v>101</v>
      </c>
      <c r="M6" s="9" t="s">
        <v>101</v>
      </c>
      <c r="N6" s="9" t="s">
        <v>101</v>
      </c>
      <c r="O6" s="9" t="s">
        <v>101</v>
      </c>
      <c r="P6" s="1005" t="s">
        <v>881</v>
      </c>
      <c r="Q6" s="9" t="s">
        <v>101</v>
      </c>
      <c r="R6" s="1005" t="s">
        <v>2541</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2940" t="s">
        <v>2951</v>
      </c>
      <c r="C18" s="1539"/>
    </row>
    <row r="19" spans="1:3">
      <c r="A19" s="8" t="s">
        <v>120</v>
      </c>
      <c r="B19" s="2940" t="s">
        <v>2959</v>
      </c>
      <c r="C19" s="1539"/>
    </row>
    <row r="20" spans="1:3">
      <c r="A20" s="8" t="s">
        <v>121</v>
      </c>
      <c r="B20" s="3044" t="s">
        <v>3006</v>
      </c>
      <c r="C20" s="1539"/>
    </row>
    <row r="21" spans="1:3">
      <c r="A21" s="8" t="s">
        <v>122</v>
      </c>
      <c r="B21" s="3044" t="s">
        <v>3007</v>
      </c>
      <c r="C21" s="1539"/>
    </row>
    <row r="22" spans="1:3">
      <c r="A22" s="8" t="s">
        <v>123</v>
      </c>
      <c r="B22" s="3222" t="s">
        <v>3085</v>
      </c>
      <c r="C22" s="1539"/>
    </row>
    <row r="23" spans="1:3">
      <c r="A23" s="8" t="s">
        <v>124</v>
      </c>
      <c r="B23" s="8" t="s">
        <v>3099</v>
      </c>
      <c r="C23" s="1539"/>
    </row>
    <row r="24" spans="1:3">
      <c r="A24" s="8" t="s">
        <v>12</v>
      </c>
      <c r="B24" s="8" t="s">
        <v>1641</v>
      </c>
      <c r="C24" s="1539"/>
    </row>
    <row r="25" spans="1:3">
      <c r="A25" s="8" t="s">
        <v>125</v>
      </c>
      <c r="B25" s="8" t="s">
        <v>1641</v>
      </c>
      <c r="C25" s="1539"/>
    </row>
    <row r="26" spans="1:3">
      <c r="A26" s="8" t="s">
        <v>126</v>
      </c>
      <c r="B26" s="8" t="s">
        <v>1641</v>
      </c>
      <c r="C26" s="1539"/>
    </row>
    <row r="27" spans="1:3">
      <c r="A27" s="2940" t="s">
        <v>3213</v>
      </c>
      <c r="B27" s="8" t="s">
        <v>1641</v>
      </c>
      <c r="C27" s="1539"/>
    </row>
    <row r="28" spans="1:3">
      <c r="A28" s="2940" t="s">
        <v>3215</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1940</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751"/>
    </row>
    <row r="52" spans="1:5">
      <c r="A52" s="1749" t="s">
        <v>1984</v>
      </c>
      <c r="B52" s="1752" t="s">
        <v>1985</v>
      </c>
      <c r="C52" s="1750" t="s">
        <v>1986</v>
      </c>
      <c r="D52" s="1750" t="s">
        <v>1987</v>
      </c>
      <c r="E52" s="1751"/>
    </row>
    <row r="53" spans="1:5">
      <c r="A53" s="3293" t="s">
        <v>1988</v>
      </c>
      <c r="B53" s="1750" t="s">
        <v>1994</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2020年9月4日在规划利用条件下、设定土地开发程度为红线外“七通”、宗地内场地，设定用途为的划拨国有建设用地使用权价格。</v>
      </c>
      <c r="D53" s="1751"/>
      <c r="E53" s="1751"/>
    </row>
    <row r="54" spans="1:5">
      <c r="A54" s="3293"/>
      <c r="B54" s="1750" t="s">
        <v>1995</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751"/>
      <c r="E54" s="1751"/>
    </row>
    <row r="55" spans="1:5">
      <c r="A55" s="3293"/>
      <c r="B55" s="1750" t="s">
        <v>1989</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751"/>
      <c r="E55" s="1751"/>
    </row>
    <row r="56" spans="1:5">
      <c r="A56" s="3293"/>
      <c r="B56" s="1750" t="s">
        <v>1990</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751"/>
      <c r="E56" s="1751"/>
    </row>
    <row r="57" spans="1:5">
      <c r="A57" s="3293"/>
      <c r="B57" s="1750" t="s">
        <v>1991</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2047</v>
      </c>
      <c r="B58" s="1750" t="s">
        <v>2048</v>
      </c>
      <c r="C58" s="11" t="s">
        <v>2049</v>
      </c>
      <c r="D58" s="1314"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60</vt:i4>
      </vt:variant>
      <vt:variant>
        <vt:lpstr>命名范围</vt:lpstr>
      </vt:variant>
      <vt:variant>
        <vt:i4>147</vt:i4>
      </vt:variant>
    </vt:vector>
  </HeadingPairs>
  <TitlesOfParts>
    <vt:vector size="20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土地面积</vt:lpstr>
      <vt:lpstr>面积表</vt:lpstr>
      <vt:lpstr>结果汇总表</vt:lpstr>
      <vt:lpstr>结果表</vt:lpstr>
      <vt:lpstr>基准地价-住宅</vt:lpstr>
      <vt:lpstr>剩余法-住宅</vt:lpstr>
      <vt:lpstr>剩余法-现房</vt:lpstr>
      <vt:lpstr>比较法-工业</vt:lpstr>
      <vt:lpstr>修正</vt:lpstr>
      <vt:lpstr>区片价</vt:lpstr>
      <vt:lpstr>容积率修正</vt:lpstr>
      <vt:lpstr>因素修正幅度</vt:lpstr>
      <vt:lpstr>基准地价（汇总）</vt:lpstr>
      <vt:lpstr>酒店收入计算</vt:lpstr>
      <vt:lpstr>不动产比较法-住宅</vt:lpstr>
      <vt:lpstr>不动产比较法-商业</vt:lpstr>
      <vt:lpstr>不动产比较法住宅</vt:lpstr>
      <vt:lpstr>住宅销售案例</vt:lpstr>
      <vt:lpstr>基准地价-商业</vt:lpstr>
      <vt:lpstr>剩余法-商业</vt:lpstr>
      <vt:lpstr>商业出售案例</vt:lpstr>
      <vt:lpstr>基准地价-办公</vt:lpstr>
      <vt:lpstr>收益还原法</vt:lpstr>
      <vt:lpstr>不动产比较法-办公租金</vt:lpstr>
      <vt:lpstr>不动产比较法-工业</vt:lpstr>
      <vt:lpstr>不动产比较法-车位</vt:lpstr>
      <vt:lpstr>不动产比较法-仓储</vt:lpstr>
      <vt:lpstr>典型户型修正</vt:lpstr>
      <vt:lpstr>存贷款利率</vt:lpstr>
      <vt:lpstr>办公租金案例</vt:lpstr>
      <vt:lpstr>剩余法-地下车库</vt:lpstr>
      <vt:lpstr>办公租金案例 (2)</vt:lpstr>
      <vt:lpstr>不动产收益法-车库</vt:lpstr>
      <vt:lpstr>车库租金</vt:lpstr>
      <vt:lpstr>剩余法-地下仓储</vt:lpstr>
      <vt:lpstr>不动产收益法-仓储</vt:lpstr>
      <vt:lpstr>仓储租金</vt:lpstr>
      <vt:lpstr>剩余法-办公</vt:lpstr>
      <vt:lpstr>办公出售案例</vt:lpstr>
      <vt:lpstr>成本逼近法</vt:lpstr>
      <vt:lpstr>土地一级开发成本</vt:lpstr>
      <vt:lpstr>土地比较法-住宅、综合</vt:lpstr>
      <vt:lpstr>地价</vt:lpstr>
      <vt:lpstr>住宅商品房共有产权房案例</vt:lpstr>
      <vt:lpstr>面积表!Print_Area</vt:lpstr>
      <vt:lpstr>八级</vt:lpstr>
      <vt:lpstr>'不动产比较法-办公租金'!办公层高</vt:lpstr>
      <vt:lpstr>办公层高</vt:lpstr>
      <vt:lpstr>'不动产比较法-办公租金'!办公朝向</vt:lpstr>
      <vt:lpstr>办公朝向</vt:lpstr>
      <vt:lpstr>'不动产比较法-办公租金'!办公道路级别</vt:lpstr>
      <vt:lpstr>办公道路级别</vt:lpstr>
      <vt:lpstr>'不动产比较法-办公租金'!办公公共部分装修</vt:lpstr>
      <vt:lpstr>办公公共部分装修</vt:lpstr>
      <vt:lpstr>'不动产比较法-办公租金'!办公基础设施水平</vt:lpstr>
      <vt:lpstr>办公基础设施水平</vt:lpstr>
      <vt:lpstr>办公集聚程度</vt:lpstr>
      <vt:lpstr>'不动产比较法-办公租金'!办公建筑结构</vt:lpstr>
      <vt:lpstr>办公建筑结构</vt:lpstr>
      <vt:lpstr>'不动产比较法-办公租金'!办公建筑类型</vt:lpstr>
      <vt:lpstr>办公建筑类型</vt:lpstr>
      <vt:lpstr>'不动产比较法-办公租金'!办公交易情况</vt:lpstr>
      <vt:lpstr>办公交易情况</vt:lpstr>
      <vt:lpstr>'不动产比较法-办公租金'!办公楼层</vt:lpstr>
      <vt:lpstr>办公楼层</vt:lpstr>
      <vt:lpstr>'不动产比较法-办公租金'!办公内部装修</vt:lpstr>
      <vt:lpstr>办公内部装修</vt:lpstr>
      <vt:lpstr>'不动产比较法-办公租金'!办公物业管理</vt:lpstr>
      <vt:lpstr>办公物业管理</vt:lpstr>
      <vt:lpstr>'不动产比较法-办公租金'!办公用途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'不动产比较法-办公租金'!写字楼等级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2021-06-02T02:01:04Z</dcterms:modified>
</cp:coreProperties>
</file>