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3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假设开发法" sheetId="12" state="hidden" r:id="rId17"/>
    <sheet name="收益法" sheetId="15" r:id="rId18"/>
    <sheet name="酒店收入计算" sheetId="58" state="hidden" r:id="rId19"/>
    <sheet name="比较法-住宅" sheetId="21" state="hidden" r:id="rId20"/>
    <sheet name="比较法-商业" sheetId="33"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因素修正幅度" sheetId="56" state="hidden" r:id="rId28"/>
    <sheet name="基准地价修正-因素" sheetId="47" state="hidden" r:id="rId29"/>
    <sheet name="区片价" sheetId="44" state="hidden" r:id="rId30"/>
    <sheet name="修正" sheetId="45" state="hidden" r:id="rId31"/>
    <sheet name="容积率修正" sheetId="46" state="hidden" r:id="rId32"/>
    <sheet name="地价" sheetId="59" state="hidden" r:id="rId33"/>
    <sheet name="存贷款利率" sheetId="61" state="hidden" r:id="rId34"/>
    <sheet name="典型户型修正" sheetId="31" r:id="rId35"/>
    <sheet name="成本法" sheetId="11" r:id="rId36"/>
    <sheet name="基准地价修正" sheetId="43" r:id="rId37"/>
    <sheet name="Sheet1" sheetId="64" r:id="rId38"/>
    <sheet name="价值汇总" sheetId="65" r:id="rId39"/>
    <sheet name="Sheet3" sheetId="66" r:id="rId40"/>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3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5" i="62" l="1"/>
  <c r="B15" i="62"/>
  <c r="G19" i="65"/>
  <c r="E4" i="65"/>
  <c r="G19" i="62" l="1"/>
  <c r="G18" i="62" l="1"/>
  <c r="G17" i="62" l="1"/>
  <c r="G16" i="62" l="1"/>
  <c r="G15" i="62" l="1"/>
  <c r="C51" i="1" l="1"/>
  <c r="D14" i="57" l="1"/>
  <c r="O15" i="64"/>
  <c r="N15" i="64"/>
  <c r="M11" i="64"/>
  <c r="M12" i="64"/>
  <c r="M13" i="64"/>
  <c r="M14" i="64"/>
  <c r="M10" i="64"/>
  <c r="O3" i="64"/>
  <c r="G20" i="1"/>
  <c r="H20" i="1" l="1"/>
  <c r="A51" i="1"/>
  <c r="M18" i="57" l="1"/>
  <c r="K20" i="57"/>
  <c r="K19" i="57"/>
  <c r="R4" i="64" l="1"/>
  <c r="R5" i="64"/>
  <c r="P3" i="64"/>
  <c r="N4" i="64"/>
  <c r="P5" i="64" l="1"/>
  <c r="I5" i="34"/>
  <c r="E5" i="34"/>
  <c r="G5" i="34" s="1"/>
  <c r="E20" i="1"/>
  <c r="C36" i="33" s="1"/>
  <c r="D2" i="4"/>
  <c r="B3" i="62" s="1"/>
  <c r="G13" i="61"/>
  <c r="F13" i="61"/>
  <c r="E13" i="61"/>
  <c r="G14" i="61"/>
  <c r="F14" i="61"/>
  <c r="E14" i="61"/>
  <c r="G15" i="61"/>
  <c r="F15" i="61"/>
  <c r="E15" i="61"/>
  <c r="E16" i="61"/>
  <c r="F16" i="61"/>
  <c r="G16" i="61"/>
  <c r="G17" i="61"/>
  <c r="F17" i="61"/>
  <c r="E17" i="61"/>
  <c r="AH5" i="59"/>
  <c r="AG5" i="59"/>
  <c r="AE5" i="59"/>
  <c r="AF5" i="59" s="1"/>
  <c r="AD5" i="59"/>
  <c r="Q5" i="59"/>
  <c r="P5" i="59"/>
  <c r="O5" i="59"/>
  <c r="N5" i="59"/>
  <c r="AH6" i="59"/>
  <c r="AG6" i="59"/>
  <c r="AE6" i="59"/>
  <c r="AF6" i="59"/>
  <c r="AD6" i="59"/>
  <c r="Q6" i="59"/>
  <c r="P6" i="59"/>
  <c r="O6" i="59"/>
  <c r="N6" i="59"/>
  <c r="D15" i="48"/>
  <c r="I1" i="4"/>
  <c r="F61" i="57"/>
  <c r="F59" i="9"/>
  <c r="E61" i="57"/>
  <c r="K42" i="40"/>
  <c r="K47" i="39"/>
  <c r="K36" i="36"/>
  <c r="K38" i="35"/>
  <c r="K42" i="37"/>
  <c r="K49" i="34"/>
  <c r="K48" i="33"/>
  <c r="K48" i="21"/>
  <c r="E59" i="9"/>
  <c r="O55" i="9" s="1"/>
  <c r="B14" i="62"/>
  <c r="A14" i="55"/>
  <c r="B44" i="60" s="1"/>
  <c r="I108" i="57"/>
  <c r="I106" i="9"/>
  <c r="AH7" i="59"/>
  <c r="AG7" i="59"/>
  <c r="AE7" i="59"/>
  <c r="AF7" i="59"/>
  <c r="AD7" i="59"/>
  <c r="Q7" i="59"/>
  <c r="P7" i="59"/>
  <c r="O7" i="59"/>
  <c r="N7" i="59"/>
  <c r="AH8" i="59"/>
  <c r="AG8" i="59"/>
  <c r="AE8" i="59"/>
  <c r="AF8" i="59"/>
  <c r="AD8" i="59"/>
  <c r="Q8" i="59"/>
  <c r="P8" i="59"/>
  <c r="O8" i="59"/>
  <c r="N8" i="59"/>
  <c r="O10" i="59"/>
  <c r="N10" i="59"/>
  <c r="AH9" i="59"/>
  <c r="AG9" i="59"/>
  <c r="AE9" i="59"/>
  <c r="AF9" i="59"/>
  <c r="AD9" i="59"/>
  <c r="Q9" i="59"/>
  <c r="Q10" i="59"/>
  <c r="P9" i="59"/>
  <c r="P10" i="59"/>
  <c r="O9" i="59"/>
  <c r="N9" i="59"/>
  <c r="B2" i="48"/>
  <c r="B14" i="48" s="1"/>
  <c r="D14" i="48" s="1"/>
  <c r="O11" i="59"/>
  <c r="O12" i="59"/>
  <c r="N11" i="59"/>
  <c r="N12" i="59"/>
  <c r="AH10" i="59"/>
  <c r="AG10" i="59"/>
  <c r="AE10" i="59"/>
  <c r="AF10" i="59"/>
  <c r="AD10" i="59"/>
  <c r="Q11" i="59"/>
  <c r="Q12" i="59"/>
  <c r="P11" i="59"/>
  <c r="P12" i="59"/>
  <c r="E11" i="59"/>
  <c r="E10" i="59" s="1"/>
  <c r="E9" i="59" s="1"/>
  <c r="E8" i="59" s="1"/>
  <c r="E7" i="59" s="1"/>
  <c r="E6" i="59" s="1"/>
  <c r="E5" i="59" s="1"/>
  <c r="U5" i="59" s="1"/>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c r="K3" i="59"/>
  <c r="AG3" i="59"/>
  <c r="J3" i="59"/>
  <c r="AE3" i="59"/>
  <c r="I3" i="59"/>
  <c r="AD3" i="59"/>
  <c r="AH14" i="59"/>
  <c r="AG14" i="59"/>
  <c r="AE14" i="59"/>
  <c r="AF14" i="59"/>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c r="AD16" i="59"/>
  <c r="AH17" i="59"/>
  <c r="AG17" i="59"/>
  <c r="AE17" i="59"/>
  <c r="AF17" i="59" s="1"/>
  <c r="AD17" i="59"/>
  <c r="Q17" i="59"/>
  <c r="P17" i="59"/>
  <c r="O17" i="59"/>
  <c r="N17" i="59"/>
  <c r="Q18" i="59"/>
  <c r="P18" i="59"/>
  <c r="O18" i="59"/>
  <c r="N18" i="59"/>
  <c r="D18" i="59"/>
  <c r="E17" i="59"/>
  <c r="E16" i="59"/>
  <c r="E15" i="59" s="1"/>
  <c r="E14" i="59"/>
  <c r="E13" i="59" s="1"/>
  <c r="E12" i="59" s="1"/>
  <c r="F17" i="59"/>
  <c r="C17" i="59"/>
  <c r="C16" i="59" s="1"/>
  <c r="T17" i="59"/>
  <c r="A2" i="50"/>
  <c r="D17" i="59"/>
  <c r="K60" i="15"/>
  <c r="P59" i="15"/>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O20" i="59"/>
  <c r="P20" i="59"/>
  <c r="Q20" i="59"/>
  <c r="N20" i="59"/>
  <c r="X28" i="59"/>
  <c r="AA29" i="59"/>
  <c r="AA31"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B68" i="60"/>
  <c r="D28" i="57"/>
  <c r="D29" i="57"/>
  <c r="D28" i="9"/>
  <c r="D29" i="9"/>
  <c r="A6" i="52"/>
  <c r="B64"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s="1"/>
  <c r="A114" i="9"/>
  <c r="A127" i="9" s="1"/>
  <c r="F114" i="9"/>
  <c r="A129" i="9" s="1"/>
  <c r="A12" i="52"/>
  <c r="B67" i="60" s="1"/>
  <c r="F112" i="9"/>
  <c r="B45" i="50"/>
  <c r="B59" i="60" s="1"/>
  <c r="D2" i="52"/>
  <c r="B60" i="60" s="1"/>
  <c r="B18" i="50"/>
  <c r="B10" i="50"/>
  <c r="B31" i="50" s="1"/>
  <c r="C6" i="50"/>
  <c r="B18" i="60" s="1"/>
  <c r="B51" i="60"/>
  <c r="B50" i="60"/>
  <c r="B47" i="60"/>
  <c r="B16" i="60"/>
  <c r="B51" i="10"/>
  <c r="B49" i="60"/>
  <c r="A15" i="55"/>
  <c r="B45" i="60"/>
  <c r="B43" i="60"/>
  <c r="C10" i="50"/>
  <c r="B24" i="60"/>
  <c r="C7" i="50"/>
  <c r="C15" i="50"/>
  <c r="C35" i="50"/>
  <c r="C34" i="50"/>
  <c r="C33" i="50"/>
  <c r="B13" i="60"/>
  <c r="C42" i="50"/>
  <c r="C36" i="50"/>
  <c r="C39" i="50"/>
  <c r="I19" i="43"/>
  <c r="A136" i="57"/>
  <c r="F119" i="57"/>
  <c r="D82" i="59"/>
  <c r="F81" i="59"/>
  <c r="F80" i="59" s="1"/>
  <c r="E81" i="59"/>
  <c r="E80" i="59"/>
  <c r="E79" i="59" s="1"/>
  <c r="C81" i="59"/>
  <c r="D81" i="59" s="1"/>
  <c r="B81" i="59"/>
  <c r="B80" i="59" s="1"/>
  <c r="F79" i="59"/>
  <c r="B79" i="59"/>
  <c r="D78" i="59"/>
  <c r="F77" i="59"/>
  <c r="F76" i="59" s="1"/>
  <c r="E77" i="59"/>
  <c r="E76" i="59"/>
  <c r="E75" i="59" s="1"/>
  <c r="C77" i="59"/>
  <c r="D77" i="59" s="1"/>
  <c r="B77" i="59"/>
  <c r="B76" i="59" s="1"/>
  <c r="F75" i="59"/>
  <c r="B75"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T69" i="59" s="1"/>
  <c r="B69" i="59"/>
  <c r="Q68" i="59"/>
  <c r="P68" i="59"/>
  <c r="O68" i="59"/>
  <c r="N68"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s="1"/>
  <c r="B64" i="59"/>
  <c r="B63" i="59" s="1"/>
  <c r="Q63" i="59"/>
  <c r="P63" i="59"/>
  <c r="O63" i="59"/>
  <c r="N63" i="59"/>
  <c r="Q62" i="59"/>
  <c r="P62" i="59"/>
  <c r="O62" i="59"/>
  <c r="N62" i="59"/>
  <c r="D62" i="59"/>
  <c r="S61" i="59"/>
  <c r="N61" i="59"/>
  <c r="F61" i="59"/>
  <c r="V61" i="59"/>
  <c r="E61" i="59"/>
  <c r="U61" i="59" s="1"/>
  <c r="E60" i="59"/>
  <c r="P60" i="59" s="1"/>
  <c r="C61" i="59"/>
  <c r="T61" i="59" s="1"/>
  <c r="B61" i="59"/>
  <c r="F60" i="59"/>
  <c r="F59" i="59" s="1"/>
  <c r="Q59" i="59" s="1"/>
  <c r="B60" i="59"/>
  <c r="E59" i="59"/>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C48" i="59" s="1"/>
  <c r="N47" i="59"/>
  <c r="Q46" i="59"/>
  <c r="F47"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E43" i="59"/>
  <c r="E44" i="59" s="1"/>
  <c r="E45" i="59" s="1"/>
  <c r="U45" i="59" s="1"/>
  <c r="Q42" i="59"/>
  <c r="F43" i="59" s="1"/>
  <c r="F44" i="59" s="1"/>
  <c r="F45" i="59" s="1"/>
  <c r="V45" i="59" s="1"/>
  <c r="P42" i="59"/>
  <c r="O42" i="59"/>
  <c r="C43" i="59" s="1"/>
  <c r="D43" i="59" s="1"/>
  <c r="N42" i="59"/>
  <c r="B43" i="59" s="1"/>
  <c r="B44" i="59"/>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C36" i="59" s="1"/>
  <c r="D36" i="59" s="1"/>
  <c r="N34" i="59"/>
  <c r="B35" i="59" s="1"/>
  <c r="B36" i="59"/>
  <c r="B37" i="59" s="1"/>
  <c r="S37" i="59" s="1"/>
  <c r="D34" i="59"/>
  <c r="Q33" i="59"/>
  <c r="P33" i="59"/>
  <c r="O33" i="59"/>
  <c r="N33" i="59"/>
  <c r="AB32" i="59"/>
  <c r="Q32" i="59"/>
  <c r="P32" i="59"/>
  <c r="AA32" i="59" s="1"/>
  <c r="O32" i="59"/>
  <c r="Y32" i="59" s="1"/>
  <c r="Z32" i="59" s="1"/>
  <c r="N32" i="59"/>
  <c r="X32" i="59"/>
  <c r="Q31" i="59"/>
  <c r="AB31" i="59" s="1"/>
  <c r="P31" i="59"/>
  <c r="O31" i="59"/>
  <c r="Y31" i="59" s="1"/>
  <c r="Z31" i="59" s="1"/>
  <c r="N31" i="59"/>
  <c r="X31" i="59" s="1"/>
  <c r="Q30" i="59"/>
  <c r="AB30" i="59" s="1"/>
  <c r="P30" i="59"/>
  <c r="E31" i="59"/>
  <c r="E32" i="59" s="1"/>
  <c r="E33" i="59" s="1"/>
  <c r="U33" i="59" s="1"/>
  <c r="O30" i="59"/>
  <c r="N30" i="59"/>
  <c r="D30" i="59"/>
  <c r="Q29" i="59"/>
  <c r="P29" i="59"/>
  <c r="O29" i="59"/>
  <c r="N29" i="59"/>
  <c r="Q28" i="59"/>
  <c r="AB28" i="59" s="1"/>
  <c r="P28" i="59"/>
  <c r="O28" i="59"/>
  <c r="N28" i="59"/>
  <c r="Q27" i="59"/>
  <c r="P27" i="59"/>
  <c r="AA27" i="59" s="1"/>
  <c r="O27" i="59"/>
  <c r="Y27" i="59" s="1"/>
  <c r="Z27" i="59" s="1"/>
  <c r="N27" i="59"/>
  <c r="Q26" i="59"/>
  <c r="P26" i="59"/>
  <c r="E27" i="59"/>
  <c r="E28" i="59" s="1"/>
  <c r="E29" i="59"/>
  <c r="U29" i="59" s="1"/>
  <c r="O26" i="59"/>
  <c r="N26" i="59"/>
  <c r="D26" i="59"/>
  <c r="Q25" i="59"/>
  <c r="AB25" i="59" s="1"/>
  <c r="P25" i="59"/>
  <c r="O25" i="59"/>
  <c r="Y25" i="59" s="1"/>
  <c r="Z25" i="59" s="1"/>
  <c r="N25" i="59"/>
  <c r="Q24" i="59"/>
  <c r="AB24" i="59" s="1"/>
  <c r="P24" i="59"/>
  <c r="O24" i="59"/>
  <c r="Y24" i="59" s="1"/>
  <c r="Z24" i="59" s="1"/>
  <c r="N24" i="59"/>
  <c r="Q23" i="59"/>
  <c r="AB23" i="59" s="1"/>
  <c r="P23" i="59"/>
  <c r="AA23" i="59" s="1"/>
  <c r="O23" i="59"/>
  <c r="Y23" i="59" s="1"/>
  <c r="Z23" i="59" s="1"/>
  <c r="N23" i="59"/>
  <c r="Q22" i="59"/>
  <c r="AB22" i="59" s="1"/>
  <c r="P22" i="59"/>
  <c r="E23" i="59"/>
  <c r="E24" i="59" s="1"/>
  <c r="E25" i="59" s="1"/>
  <c r="U25" i="59" s="1"/>
  <c r="O22" i="59"/>
  <c r="N22" i="59"/>
  <c r="D22" i="59"/>
  <c r="O21" i="59"/>
  <c r="Y12" i="59" s="1"/>
  <c r="N21" i="59"/>
  <c r="C21" i="59"/>
  <c r="T21" i="59" s="1"/>
  <c r="Y18" i="59"/>
  <c r="Z18" i="59" s="1"/>
  <c r="Y21" i="59"/>
  <c r="Z21" i="59" s="1"/>
  <c r="B21" i="59"/>
  <c r="B20" i="59" s="1"/>
  <c r="B19" i="59" s="1"/>
  <c r="X19" i="59"/>
  <c r="D35" i="59"/>
  <c r="C44" i="59"/>
  <c r="C45" i="59" s="1"/>
  <c r="P21" i="59"/>
  <c r="E52" i="59"/>
  <c r="E53" i="59" s="1"/>
  <c r="U53" i="59"/>
  <c r="Q58" i="59"/>
  <c r="U65" i="59"/>
  <c r="E64" i="59"/>
  <c r="E63" i="59"/>
  <c r="Q21" i="59"/>
  <c r="C56" i="59"/>
  <c r="D56" i="59" s="1"/>
  <c r="D55" i="59"/>
  <c r="N60" i="59"/>
  <c r="B59" i="59"/>
  <c r="Q60" i="59"/>
  <c r="O61" i="59"/>
  <c r="C60" i="59"/>
  <c r="C59" i="59" s="1"/>
  <c r="T65" i="59"/>
  <c r="D65" i="59"/>
  <c r="C64" i="59"/>
  <c r="Q61" i="59"/>
  <c r="E68" i="59"/>
  <c r="E67" i="59" s="1"/>
  <c r="D69" i="59"/>
  <c r="C72" i="59"/>
  <c r="E72" i="59"/>
  <c r="E71" i="59" s="1"/>
  <c r="D73" i="59"/>
  <c r="C80" i="59"/>
  <c r="D80" i="59" s="1"/>
  <c r="F21" i="59"/>
  <c r="AB18" i="59"/>
  <c r="AB20" i="59"/>
  <c r="E21" i="59"/>
  <c r="E20" i="59" s="1"/>
  <c r="E19" i="59" s="1"/>
  <c r="AA19" i="59"/>
  <c r="AA20" i="59"/>
  <c r="AA21" i="59"/>
  <c r="AA3" i="59"/>
  <c r="AA18" i="59"/>
  <c r="C20" i="59"/>
  <c r="C19" i="59" s="1"/>
  <c r="D19" i="59" s="1"/>
  <c r="D21" i="59"/>
  <c r="C63" i="59"/>
  <c r="D63" i="59" s="1"/>
  <c r="D64" i="59"/>
  <c r="D44" i="59"/>
  <c r="C79" i="59"/>
  <c r="D79" i="59" s="1"/>
  <c r="D72" i="59"/>
  <c r="C71" i="59"/>
  <c r="D71" i="59"/>
  <c r="O60" i="59"/>
  <c r="C57" i="59"/>
  <c r="D57" i="59" s="1"/>
  <c r="N58" i="59"/>
  <c r="N59" i="59"/>
  <c r="C37" i="59"/>
  <c r="D37" i="59" s="1"/>
  <c r="D20" i="59"/>
  <c r="F20" i="59"/>
  <c r="F19" i="59" s="1"/>
  <c r="V21" i="59"/>
  <c r="T37" i="59"/>
  <c r="T57" i="59"/>
  <c r="B86" i="43"/>
  <c r="Z25" i="40"/>
  <c r="Q25" i="40"/>
  <c r="D94" i="40"/>
  <c r="E94" i="40" s="1"/>
  <c r="F94" i="40" s="1"/>
  <c r="G94" i="40" s="1"/>
  <c r="H25" i="40"/>
  <c r="U25" i="40"/>
  <c r="F25" i="40"/>
  <c r="AA25" i="40"/>
  <c r="Z27" i="39"/>
  <c r="Q27" i="39"/>
  <c r="D101" i="39"/>
  <c r="E101" i="39" s="1"/>
  <c r="F101" i="39" s="1"/>
  <c r="G101"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18" i="35"/>
  <c r="S21" i="37"/>
  <c r="S21" i="34"/>
  <c r="S21" i="33"/>
  <c r="J25" i="40"/>
  <c r="J27" i="39"/>
  <c r="H27" i="39"/>
  <c r="F27" i="39"/>
  <c r="H18" i="36"/>
  <c r="J18" i="36"/>
  <c r="J21" i="37"/>
  <c r="F84" i="34"/>
  <c r="H21" i="34"/>
  <c r="J21" i="33"/>
  <c r="H21" i="21"/>
  <c r="F8" i="15"/>
  <c r="F52" i="15"/>
  <c r="F15" i="15"/>
  <c r="F16" i="15"/>
  <c r="F17" i="15"/>
  <c r="F18" i="15"/>
  <c r="F20" i="15"/>
  <c r="F23" i="15"/>
  <c r="D23" i="15" s="1"/>
  <c r="F26" i="15"/>
  <c r="F21" i="15"/>
  <c r="C21" i="15"/>
  <c r="F33" i="15"/>
  <c r="F62" i="15"/>
  <c r="F36" i="15"/>
  <c r="F65"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5" i="1"/>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E100" i="43"/>
  <c r="I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s="1"/>
  <c r="M65" i="43"/>
  <c r="N65" i="43"/>
  <c r="K65" i="43"/>
  <c r="J65" i="43"/>
  <c r="D65" i="43" s="1"/>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s="1"/>
  <c r="M59" i="43"/>
  <c r="N59" i="43"/>
  <c r="K59" i="43"/>
  <c r="J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8" i="31"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X27" i="31"/>
  <c r="X25" i="31" s="1"/>
  <c r="Y27" i="31"/>
  <c r="V27" i="31"/>
  <c r="U27" i="31"/>
  <c r="U25" i="31" s="1"/>
  <c r="D115" i="57"/>
  <c r="D114" i="57"/>
  <c r="D113" i="57"/>
  <c r="I110" i="57"/>
  <c r="I109" i="57"/>
  <c r="I107" i="57" s="1"/>
  <c r="D127" i="57" s="1"/>
  <c r="D102" i="57"/>
  <c r="C102" i="57"/>
  <c r="C93" i="57"/>
  <c r="E92" i="57"/>
  <c r="D91" i="57"/>
  <c r="C91" i="57"/>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T37" i="31" s="1"/>
  <c r="R38" i="31"/>
  <c r="R39" i="31"/>
  <c r="T39" i="31" s="1"/>
  <c r="R40" i="31"/>
  <c r="R41" i="31"/>
  <c r="T41" i="31" s="1"/>
  <c r="R42" i="31"/>
  <c r="R43" i="31"/>
  <c r="R44" i="31"/>
  <c r="R45" i="31"/>
  <c r="T45" i="31" s="1"/>
  <c r="R46" i="31"/>
  <c r="R47" i="31"/>
  <c r="T47" i="31" s="1"/>
  <c r="R48" i="31"/>
  <c r="R49" i="31"/>
  <c r="T49" i="31" s="1"/>
  <c r="R50" i="31"/>
  <c r="R51" i="31"/>
  <c r="T51" i="31" s="1"/>
  <c r="R52" i="31"/>
  <c r="R53" i="31"/>
  <c r="T53" i="31" s="1"/>
  <c r="R54" i="31"/>
  <c r="R55" i="31"/>
  <c r="T55" i="31" s="1"/>
  <c r="R56" i="3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R77" i="31"/>
  <c r="T77" i="31" s="1"/>
  <c r="R78" i="31"/>
  <c r="R79" i="31"/>
  <c r="T79" i="31" s="1"/>
  <c r="R80" i="31"/>
  <c r="R81" i="31"/>
  <c r="T81" i="31" s="1"/>
  <c r="R82" i="31"/>
  <c r="T82" i="31" s="1"/>
  <c r="R83" i="31"/>
  <c r="R84" i="31"/>
  <c r="T84" i="31" s="1"/>
  <c r="R85" i="31"/>
  <c r="R86" i="31"/>
  <c r="T86" i="31" s="1"/>
  <c r="R87" i="31"/>
  <c r="T87" i="31" s="1"/>
  <c r="R88" i="31"/>
  <c r="T88" i="31" s="1"/>
  <c r="R89" i="31"/>
  <c r="T89" i="31" s="1"/>
  <c r="R90" i="31"/>
  <c r="T90" i="31" s="1"/>
  <c r="R91" i="31"/>
  <c r="R92" i="31"/>
  <c r="T92" i="31" s="1"/>
  <c r="R93" i="31"/>
  <c r="R94" i="31"/>
  <c r="T94" i="31" s="1"/>
  <c r="R95" i="31"/>
  <c r="T95" i="31" s="1"/>
  <c r="R96" i="31"/>
  <c r="T96" i="31" s="1"/>
  <c r="R97" i="31"/>
  <c r="T97" i="31" s="1"/>
  <c r="R98" i="31"/>
  <c r="T98" i="31" s="1"/>
  <c r="R99" i="31"/>
  <c r="R100" i="31"/>
  <c r="T100" i="31" s="1"/>
  <c r="R101" i="31"/>
  <c r="R102" i="31"/>
  <c r="T102" i="31" s="1"/>
  <c r="R103" i="31"/>
  <c r="R104" i="31"/>
  <c r="T104" i="31" s="1"/>
  <c r="R105" i="31"/>
  <c r="T105" i="31" s="1"/>
  <c r="R106" i="31"/>
  <c r="T106" i="31" s="1"/>
  <c r="R107" i="31"/>
  <c r="T107" i="31" s="1"/>
  <c r="R108" i="31"/>
  <c r="T108" i="31" s="1"/>
  <c r="R109" i="31"/>
  <c r="R110" i="31"/>
  <c r="T110" i="31" s="1"/>
  <c r="R111" i="3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R154" i="31"/>
  <c r="T154" i="31" s="1"/>
  <c r="R155" i="31"/>
  <c r="R156" i="31"/>
  <c r="T156" i="31" s="1"/>
  <c r="R157" i="31"/>
  <c r="T157" i="31" s="1"/>
  <c r="R158" i="31"/>
  <c r="T158" i="31" s="1"/>
  <c r="R159" i="31"/>
  <c r="T159" i="31" s="1"/>
  <c r="R160" i="31"/>
  <c r="T160" i="31" s="1"/>
  <c r="R161" i="31"/>
  <c r="R162" i="31"/>
  <c r="T162" i="31" s="1"/>
  <c r="R163" i="31"/>
  <c r="R164" i="31"/>
  <c r="T164" i="31" s="1"/>
  <c r="R165" i="31"/>
  <c r="T165" i="31" s="1"/>
  <c r="R166" i="31"/>
  <c r="T166" i="31" s="1"/>
  <c r="R167" i="31"/>
  <c r="T167" i="31" s="1"/>
  <c r="R168" i="31"/>
  <c r="T168" i="31" s="1"/>
  <c r="R169" i="31"/>
  <c r="R170" i="31"/>
  <c r="T170" i="31" s="1"/>
  <c r="R171" i="31"/>
  <c r="R172" i="31"/>
  <c r="T172" i="31" s="1"/>
  <c r="R173" i="31"/>
  <c r="T173" i="31" s="1"/>
  <c r="R174" i="31"/>
  <c r="T174" i="31" s="1"/>
  <c r="R175" i="31"/>
  <c r="T175" i="31" s="1"/>
  <c r="R176" i="31"/>
  <c r="T176" i="31" s="1"/>
  <c r="R177" i="31"/>
  <c r="R178" i="31"/>
  <c r="T178" i="31" s="1"/>
  <c r="R179" i="31"/>
  <c r="R180" i="31"/>
  <c r="T180" i="31" s="1"/>
  <c r="R181" i="31"/>
  <c r="T181" i="31" s="1"/>
  <c r="R182" i="31"/>
  <c r="T182" i="31" s="1"/>
  <c r="R183" i="31"/>
  <c r="T183" i="31" s="1"/>
  <c r="R184" i="31"/>
  <c r="T184" i="31" s="1"/>
  <c r="R185" i="31"/>
  <c r="R186" i="31"/>
  <c r="T186" i="31" s="1"/>
  <c r="R187" i="31"/>
  <c r="T187" i="31" s="1"/>
  <c r="R188" i="31"/>
  <c r="T188" i="31" s="1"/>
  <c r="R189" i="31"/>
  <c r="T189" i="31" s="1"/>
  <c r="R190" i="31"/>
  <c r="T190" i="31" s="1"/>
  <c r="R191" i="31"/>
  <c r="R192" i="31"/>
  <c r="T192" i="31" s="1"/>
  <c r="R193" i="31"/>
  <c r="R194" i="31"/>
  <c r="T194" i="31" s="1"/>
  <c r="R195" i="31"/>
  <c r="T195" i="31" s="1"/>
  <c r="R196" i="31"/>
  <c r="T196" i="31" s="1"/>
  <c r="R197" i="31"/>
  <c r="T197" i="31" s="1"/>
  <c r="R198" i="31"/>
  <c r="T198" i="31" s="1"/>
  <c r="R199" i="31"/>
  <c r="T199" i="31" s="1"/>
  <c r="R200" i="31"/>
  <c r="T200" i="31" s="1"/>
  <c r="R201" i="31"/>
  <c r="R202" i="31"/>
  <c r="T202" i="31" s="1"/>
  <c r="R203" i="31"/>
  <c r="T203" i="31" s="1"/>
  <c r="R204" i="31"/>
  <c r="T204" i="31" s="1"/>
  <c r="R205" i="31"/>
  <c r="T205" i="31" s="1"/>
  <c r="R206" i="31"/>
  <c r="T206" i="31" s="1"/>
  <c r="R207" i="31"/>
  <c r="R208" i="31"/>
  <c r="T208" i="31" s="1"/>
  <c r="R209" i="31"/>
  <c r="R210" i="31"/>
  <c r="T210" i="31" s="1"/>
  <c r="R211" i="31"/>
  <c r="T211" i="31" s="1"/>
  <c r="R212" i="31"/>
  <c r="T212" i="31" s="1"/>
  <c r="R213" i="31"/>
  <c r="T213" i="31" s="1"/>
  <c r="R214" i="31"/>
  <c r="T214" i="31" s="1"/>
  <c r="R215" i="31"/>
  <c r="T215" i="31" s="1"/>
  <c r="R216" i="31"/>
  <c r="T216" i="31" s="1"/>
  <c r="R217" i="31"/>
  <c r="R218" i="31"/>
  <c r="T218" i="31" s="1"/>
  <c r="R219" i="31"/>
  <c r="T219" i="31" s="1"/>
  <c r="R220" i="31"/>
  <c r="T220" i="31" s="1"/>
  <c r="R221" i="31"/>
  <c r="T221" i="31" s="1"/>
  <c r="R222" i="31"/>
  <c r="T222" i="31" s="1"/>
  <c r="R223" i="31"/>
  <c r="R224" i="31"/>
  <c r="T224" i="31" s="1"/>
  <c r="R225" i="31"/>
  <c r="R226" i="31"/>
  <c r="T226" i="31" s="1"/>
  <c r="R227" i="31"/>
  <c r="T227" i="31" s="1"/>
  <c r="R228" i="31"/>
  <c r="T228" i="31" s="1"/>
  <c r="R229" i="31"/>
  <c r="T229" i="31" s="1"/>
  <c r="R230" i="31"/>
  <c r="T230" i="31" s="1"/>
  <c r="R231" i="31"/>
  <c r="R232" i="31"/>
  <c r="T232" i="31" s="1"/>
  <c r="R233" i="31"/>
  <c r="T233" i="31" s="1"/>
  <c r="R234" i="31"/>
  <c r="T234" i="31" s="1"/>
  <c r="R235" i="31"/>
  <c r="T235" i="31" s="1"/>
  <c r="R236" i="31"/>
  <c r="T236" i="31" s="1"/>
  <c r="R237" i="31"/>
  <c r="T237" i="31" s="1"/>
  <c r="R238" i="31"/>
  <c r="T238" i="31" s="1"/>
  <c r="R239" i="31"/>
  <c r="R240" i="31"/>
  <c r="T240" i="31" s="1"/>
  <c r="R241" i="31"/>
  <c r="T241" i="31" s="1"/>
  <c r="R242" i="31"/>
  <c r="T242" i="31" s="1"/>
  <c r="R243" i="31"/>
  <c r="T243" i="31" s="1"/>
  <c r="R244" i="31"/>
  <c r="T244" i="31" s="1"/>
  <c r="R245" i="31"/>
  <c r="T245" i="31" s="1"/>
  <c r="R246" i="31"/>
  <c r="T246" i="31" s="1"/>
  <c r="R247" i="31"/>
  <c r="R248" i="31"/>
  <c r="T248" i="31" s="1"/>
  <c r="R249" i="31"/>
  <c r="T249" i="31" s="1"/>
  <c r="R250" i="31"/>
  <c r="T250" i="31" s="1"/>
  <c r="R251" i="31"/>
  <c r="T251" i="31" s="1"/>
  <c r="R252" i="31"/>
  <c r="T252" i="31" s="1"/>
  <c r="R253" i="31"/>
  <c r="T253" i="31" s="1"/>
  <c r="R254" i="31"/>
  <c r="T254" i="31" s="1"/>
  <c r="R255" i="31"/>
  <c r="R256" i="31"/>
  <c r="T256" i="31" s="1"/>
  <c r="R257" i="31"/>
  <c r="T257" i="31" s="1"/>
  <c r="R258" i="31"/>
  <c r="T258" i="31" s="1"/>
  <c r="R259" i="31"/>
  <c r="S259" i="31" s="1"/>
  <c r="R260" i="31"/>
  <c r="T260" i="31" s="1"/>
  <c r="R261" i="31"/>
  <c r="S261" i="31" s="1"/>
  <c r="R262" i="31"/>
  <c r="R263" i="31"/>
  <c r="R264" i="31"/>
  <c r="T264" i="31" s="1"/>
  <c r="R265" i="31"/>
  <c r="S265" i="31" s="1"/>
  <c r="R266" i="31"/>
  <c r="T266" i="31" s="1"/>
  <c r="R267" i="31"/>
  <c r="S267" i="31" s="1"/>
  <c r="R268" i="31"/>
  <c r="T268" i="31" s="1"/>
  <c r="R269" i="31"/>
  <c r="S269" i="31" s="1"/>
  <c r="R270" i="31"/>
  <c r="R271" i="31"/>
  <c r="R272" i="31"/>
  <c r="T272" i="31" s="1"/>
  <c r="R273" i="31"/>
  <c r="S273" i="31" s="1"/>
  <c r="R274" i="31"/>
  <c r="T274" i="31" s="1"/>
  <c r="R275" i="31"/>
  <c r="S275" i="31" s="1"/>
  <c r="R276" i="31"/>
  <c r="T276" i="31" s="1"/>
  <c r="R277" i="31"/>
  <c r="S277" i="31" s="1"/>
  <c r="R278" i="31"/>
  <c r="R279" i="31"/>
  <c r="R280" i="31"/>
  <c r="T280" i="31" s="1"/>
  <c r="R281" i="31"/>
  <c r="S281" i="31" s="1"/>
  <c r="R282" i="31"/>
  <c r="T282" i="31" s="1"/>
  <c r="R283" i="31"/>
  <c r="S283" i="31" s="1"/>
  <c r="R284" i="31"/>
  <c r="T284" i="31" s="1"/>
  <c r="R285" i="31"/>
  <c r="S285" i="31" s="1"/>
  <c r="R286" i="31"/>
  <c r="R287" i="31"/>
  <c r="R288" i="31"/>
  <c r="T288" i="31" s="1"/>
  <c r="R289" i="31"/>
  <c r="S289" i="31" s="1"/>
  <c r="R290" i="31"/>
  <c r="T290" i="31" s="1"/>
  <c r="R291" i="31"/>
  <c r="S291" i="31" s="1"/>
  <c r="R292" i="31"/>
  <c r="T292" i="31" s="1"/>
  <c r="R293" i="31"/>
  <c r="S293" i="31" s="1"/>
  <c r="R294" i="31"/>
  <c r="R295" i="31"/>
  <c r="R296" i="31"/>
  <c r="T296" i="31" s="1"/>
  <c r="R297" i="31"/>
  <c r="S297" i="31" s="1"/>
  <c r="R298" i="31"/>
  <c r="T298" i="31" s="1"/>
  <c r="R299" i="31"/>
  <c r="S299" i="31" s="1"/>
  <c r="R300" i="31"/>
  <c r="T300" i="31" s="1"/>
  <c r="R301" i="31"/>
  <c r="S301" i="31" s="1"/>
  <c r="R302" i="31"/>
  <c r="R303" i="31"/>
  <c r="R304" i="31"/>
  <c r="T304" i="31" s="1"/>
  <c r="R305" i="31"/>
  <c r="S305" i="31" s="1"/>
  <c r="R306" i="31"/>
  <c r="T306" i="31" s="1"/>
  <c r="R307" i="31"/>
  <c r="S307" i="31" s="1"/>
  <c r="R308" i="31"/>
  <c r="T308" i="31" s="1"/>
  <c r="R309" i="31"/>
  <c r="S309" i="31" s="1"/>
  <c r="R310" i="31"/>
  <c r="R311" i="31"/>
  <c r="R312" i="31"/>
  <c r="T312" i="31" s="1"/>
  <c r="R313" i="31"/>
  <c r="S313" i="31" s="1"/>
  <c r="R314" i="31"/>
  <c r="T314" i="31" s="1"/>
  <c r="R315" i="31"/>
  <c r="S315" i="31" s="1"/>
  <c r="R316" i="31"/>
  <c r="T316" i="31" s="1"/>
  <c r="R317" i="31"/>
  <c r="S317" i="31" s="1"/>
  <c r="R318" i="31"/>
  <c r="R319" i="31"/>
  <c r="R320" i="31"/>
  <c r="T320" i="31" s="1"/>
  <c r="R321" i="31"/>
  <c r="S321" i="31" s="1"/>
  <c r="R322" i="31"/>
  <c r="T322" i="31" s="1"/>
  <c r="R323" i="31"/>
  <c r="S323" i="31" s="1"/>
  <c r="R324" i="31"/>
  <c r="R325" i="31"/>
  <c r="R326" i="31"/>
  <c r="T326" i="31" s="1"/>
  <c r="R327" i="31"/>
  <c r="T327" i="31" s="1"/>
  <c r="R328" i="31"/>
  <c r="T328" i="31" s="1"/>
  <c r="R329" i="31"/>
  <c r="T329" i="31" s="1"/>
  <c r="R330" i="31"/>
  <c r="T330" i="31" s="1"/>
  <c r="R331" i="31"/>
  <c r="R332" i="31"/>
  <c r="R333" i="3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R428" i="31"/>
  <c r="T428" i="31" s="1"/>
  <c r="R429" i="31"/>
  <c r="T429" i="31" s="1"/>
  <c r="R430" i="31"/>
  <c r="R431" i="31"/>
  <c r="T431" i="31" s="1"/>
  <c r="R432" i="31"/>
  <c r="T432" i="31" s="1"/>
  <c r="R433" i="31"/>
  <c r="T433" i="31" s="1"/>
  <c r="R434" i="31"/>
  <c r="R435" i="3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T449" i="31" s="1"/>
  <c r="R450" i="31"/>
  <c r="T450" i="31" s="1"/>
  <c r="R451" i="31"/>
  <c r="R452" i="31"/>
  <c r="T452" i="31" s="1"/>
  <c r="R453" i="31"/>
  <c r="R454" i="31"/>
  <c r="R455" i="31"/>
  <c r="T455" i="31" s="1"/>
  <c r="R456" i="31"/>
  <c r="T456" i="31" s="1"/>
  <c r="R457" i="31"/>
  <c r="T457" i="31" s="1"/>
  <c r="R458" i="31"/>
  <c r="R459" i="31"/>
  <c r="T459" i="31" s="1"/>
  <c r="R460" i="31"/>
  <c r="T460" i="31" s="1"/>
  <c r="R461" i="31"/>
  <c r="T461" i="31" s="1"/>
  <c r="R462" i="31"/>
  <c r="R463" i="31"/>
  <c r="R464" i="31"/>
  <c r="T464" i="31" s="1"/>
  <c r="R465" i="31"/>
  <c r="T465" i="31" s="1"/>
  <c r="R466" i="31"/>
  <c r="R467" i="31"/>
  <c r="T467" i="31" s="1"/>
  <c r="R468" i="31"/>
  <c r="T468" i="31" s="1"/>
  <c r="R469" i="31"/>
  <c r="R470" i="31"/>
  <c r="R471" i="31"/>
  <c r="T471" i="31" s="1"/>
  <c r="R472" i="31"/>
  <c r="R473" i="31"/>
  <c r="T473" i="31" s="1"/>
  <c r="R474" i="31"/>
  <c r="R475" i="31"/>
  <c r="T475" i="31" s="1"/>
  <c r="R476" i="31"/>
  <c r="R477" i="31"/>
  <c r="R478" i="31"/>
  <c r="R479" i="31"/>
  <c r="T479" i="31" s="1"/>
  <c r="R480" i="31"/>
  <c r="R481" i="31"/>
  <c r="T481" i="31" s="1"/>
  <c r="R482" i="31"/>
  <c r="R483" i="31"/>
  <c r="T483" i="31" s="1"/>
  <c r="R484" i="31"/>
  <c r="R485" i="31"/>
  <c r="R486" i="31"/>
  <c r="R487" i="31"/>
  <c r="T487" i="31" s="1"/>
  <c r="R488" i="31"/>
  <c r="R489" i="31"/>
  <c r="T489" i="31" s="1"/>
  <c r="R490" i="31"/>
  <c r="R491" i="31"/>
  <c r="T491" i="31" s="1"/>
  <c r="R492" i="31"/>
  <c r="R493" i="3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s="1"/>
  <c r="E15" i="1"/>
  <c r="E19" i="11" s="1"/>
  <c r="E40" i="1"/>
  <c r="F34" i="15" s="1"/>
  <c r="F63" i="15" s="1"/>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1" i="31"/>
  <c r="S243" i="31"/>
  <c r="S235" i="31"/>
  <c r="S227" i="31"/>
  <c r="S432" i="31"/>
  <c r="S224" i="31"/>
  <c r="S220" i="31"/>
  <c r="S216" i="31"/>
  <c r="S212" i="31"/>
  <c r="S208" i="31"/>
  <c r="S204" i="31"/>
  <c r="S200" i="31"/>
  <c r="S196"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1" i="31"/>
  <c r="S444" i="31"/>
  <c r="S436" i="31"/>
  <c r="S124" i="31"/>
  <c r="S122" i="31"/>
  <c r="S120" i="31"/>
  <c r="S118" i="31"/>
  <c r="S116" i="31"/>
  <c r="S468" i="31"/>
  <c r="S460" i="31"/>
  <c r="S51"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50" i="31"/>
  <c r="S510"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AB29" i="35" s="1"/>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s="1"/>
  <c r="D113" i="33"/>
  <c r="E113" i="33" s="1"/>
  <c r="F113" i="33" s="1"/>
  <c r="F37" i="33"/>
  <c r="S37" i="33" s="1"/>
  <c r="D111" i="33"/>
  <c r="E111" i="33" s="1"/>
  <c r="S518" i="31"/>
  <c r="S522" i="31"/>
  <c r="S526" i="3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c r="M107" i="40"/>
  <c r="L107" i="40"/>
  <c r="K107" i="40"/>
  <c r="J107" i="40"/>
  <c r="I107" i="40"/>
  <c r="H107" i="40"/>
  <c r="G107" i="40"/>
  <c r="F107" i="40"/>
  <c r="E107" i="40"/>
  <c r="D107" i="40"/>
  <c r="C107" i="40"/>
  <c r="B105" i="40"/>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c r="I124" i="39" s="1"/>
  <c r="J124" i="39" s="1"/>
  <c r="K124" i="39" s="1"/>
  <c r="L124" i="39" s="1"/>
  <c r="M124" i="39" s="1"/>
  <c r="D120" i="39"/>
  <c r="E120" i="39" s="1"/>
  <c r="F120" i="39"/>
  <c r="G120" i="39" s="1"/>
  <c r="H120" i="39" s="1"/>
  <c r="I120" i="39" s="1"/>
  <c r="J120" i="39"/>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E103" i="39" s="1"/>
  <c r="F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c r="I126" i="39" s="1"/>
  <c r="J126" i="39" s="1"/>
  <c r="K126" i="39" s="1"/>
  <c r="L126" i="39" s="1"/>
  <c r="M126" i="39" s="1"/>
  <c r="D122" i="39"/>
  <c r="E122" i="39" s="1"/>
  <c r="F122" i="39"/>
  <c r="G122" i="39" s="1"/>
  <c r="H122" i="39" s="1"/>
  <c r="I122" i="39" s="1"/>
  <c r="J122" i="39"/>
  <c r="K122" i="39" s="1"/>
  <c r="L122" i="39" s="1"/>
  <c r="M122" i="39" s="1"/>
  <c r="B104" i="39"/>
  <c r="D97" i="39"/>
  <c r="D95" i="39"/>
  <c r="E95" i="39" s="1"/>
  <c r="F95" i="39" s="1"/>
  <c r="G95" i="39" s="1"/>
  <c r="J21" i="39"/>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c r="J63" i="37" s="1"/>
  <c r="K63" i="37" s="1"/>
  <c r="L63" i="37" s="1"/>
  <c r="M63" i="37"/>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E85" i="36" s="1"/>
  <c r="H29" i="36"/>
  <c r="U29" i="36"/>
  <c r="D81" i="36"/>
  <c r="E81" i="36"/>
  <c r="F81" i="36" s="1"/>
  <c r="G81" i="36" s="1"/>
  <c r="H81" i="36" s="1"/>
  <c r="I81" i="36" s="1"/>
  <c r="J81" i="36" s="1"/>
  <c r="K81" i="36" s="1"/>
  <c r="L81" i="36" s="1"/>
  <c r="M81" i="36" s="1"/>
  <c r="G79" i="36"/>
  <c r="F79" i="36"/>
  <c r="E79" i="36"/>
  <c r="D79" i="36"/>
  <c r="C79" i="36"/>
  <c r="B93" i="36"/>
  <c r="B91" i="36"/>
  <c r="F32" i="36"/>
  <c r="B95" i="36"/>
  <c r="H34" i="36"/>
  <c r="U34" i="36" s="1"/>
  <c r="D83" i="36"/>
  <c r="E83" i="36" s="1"/>
  <c r="F83" i="36" s="1"/>
  <c r="D78" i="36"/>
  <c r="E78" i="36" s="1"/>
  <c r="F78" i="36"/>
  <c r="G78" i="36" s="1"/>
  <c r="H78" i="36" s="1"/>
  <c r="I78" i="36" s="1"/>
  <c r="J78" i="36"/>
  <c r="K78" i="36" s="1"/>
  <c r="L78" i="36" s="1"/>
  <c r="M78" i="36" s="1"/>
  <c r="B75" i="36"/>
  <c r="B73" i="36"/>
  <c r="B71" i="36"/>
  <c r="D70" i="36"/>
  <c r="H22" i="36"/>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AA27" i="35" s="1"/>
  <c r="J22" i="35"/>
  <c r="AC22" i="35" s="1"/>
  <c r="B101" i="35"/>
  <c r="B99" i="35"/>
  <c r="B97" i="35"/>
  <c r="J34" i="35" s="1"/>
  <c r="B77" i="35"/>
  <c r="B75" i="35"/>
  <c r="B73" i="35"/>
  <c r="H23" i="35"/>
  <c r="U23" i="35" s="1"/>
  <c r="B57" i="35"/>
  <c r="B61" i="35"/>
  <c r="B59" i="35"/>
  <c r="B131" i="34"/>
  <c r="B129" i="34"/>
  <c r="B127" i="34"/>
  <c r="B99" i="34"/>
  <c r="H32" i="34" s="1"/>
  <c r="U32" i="34" s="1"/>
  <c r="B97" i="34"/>
  <c r="B95" i="34"/>
  <c r="B93" i="34"/>
  <c r="B75" i="34"/>
  <c r="H14" i="34" s="1"/>
  <c r="B73" i="34"/>
  <c r="B71" i="34"/>
  <c r="B130" i="33"/>
  <c r="B128" i="33"/>
  <c r="B126" i="33"/>
  <c r="B98" i="33"/>
  <c r="H31" i="33" s="1"/>
  <c r="B96" i="33"/>
  <c r="B94" i="33"/>
  <c r="B74" i="33"/>
  <c r="B72" i="33"/>
  <c r="B70" i="33"/>
  <c r="D96" i="35"/>
  <c r="E96" i="35" s="1"/>
  <c r="F96" i="35" s="1"/>
  <c r="G96" i="35" s="1"/>
  <c r="D94" i="35"/>
  <c r="E94" i="35" s="1"/>
  <c r="F94" i="35" s="1"/>
  <c r="G94" i="35" s="1"/>
  <c r="H94" i="35"/>
  <c r="I94" i="35" s="1"/>
  <c r="J94" i="35" s="1"/>
  <c r="K94" i="35" s="1"/>
  <c r="L94" i="35" s="1"/>
  <c r="M94" i="35" s="1"/>
  <c r="D84" i="35"/>
  <c r="E84" i="35" s="1"/>
  <c r="F84" i="35"/>
  <c r="G84" i="35" s="1"/>
  <c r="H84" i="35" s="1"/>
  <c r="I84" i="35" s="1"/>
  <c r="J84" i="35"/>
  <c r="K84" i="35" s="1"/>
  <c r="L84" i="35" s="1"/>
  <c r="M84" i="35" s="1"/>
  <c r="D80" i="35"/>
  <c r="E80" i="35" s="1"/>
  <c r="F80" i="35" s="1"/>
  <c r="G80" i="35" s="1"/>
  <c r="H80" i="35"/>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c r="G120" i="34" s="1"/>
  <c r="H120" i="34" s="1"/>
  <c r="I120" i="34" s="1"/>
  <c r="J120" i="34"/>
  <c r="K120" i="34" s="1"/>
  <c r="L120" i="34" s="1"/>
  <c r="M120" i="34" s="1"/>
  <c r="D90" i="34"/>
  <c r="E90" i="34" s="1"/>
  <c r="F90" i="34" s="1"/>
  <c r="G90" i="34" s="1"/>
  <c r="H90" i="34"/>
  <c r="I90" i="34" s="1"/>
  <c r="J90" i="34" s="1"/>
  <c r="K90" i="34" s="1"/>
  <c r="L90" i="34" s="1"/>
  <c r="M90" i="34" s="1"/>
  <c r="C15" i="34"/>
  <c r="F67" i="34"/>
  <c r="G67" i="34"/>
  <c r="H67" i="34" s="1"/>
  <c r="I67" i="34"/>
  <c r="D126" i="34"/>
  <c r="D124" i="34"/>
  <c r="E124" i="34" s="1"/>
  <c r="F124" i="34" s="1"/>
  <c r="G124" i="34" s="1"/>
  <c r="H124" i="34"/>
  <c r="I124" i="34" s="1"/>
  <c r="J124" i="34" s="1"/>
  <c r="K124" i="34" s="1"/>
  <c r="L124" i="34" s="1"/>
  <c r="M124" i="34" s="1"/>
  <c r="D118" i="34"/>
  <c r="E118" i="34" s="1"/>
  <c r="D116" i="34"/>
  <c r="E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c r="J102" i="34" s="1"/>
  <c r="K102" i="34" s="1"/>
  <c r="L102" i="34" s="1"/>
  <c r="M102" i="34" s="1"/>
  <c r="H33" i="34"/>
  <c r="U33" i="34"/>
  <c r="D92" i="34"/>
  <c r="E92" i="34"/>
  <c r="F92" i="34" s="1"/>
  <c r="G92" i="34" s="1"/>
  <c r="H92" i="34" s="1"/>
  <c r="I92" i="34"/>
  <c r="J92" i="34" s="1"/>
  <c r="K92" i="34" s="1"/>
  <c r="L92" i="34" s="1"/>
  <c r="M92" i="34" s="1"/>
  <c r="B91" i="34"/>
  <c r="B89" i="34"/>
  <c r="D88" i="34"/>
  <c r="E88" i="34" s="1"/>
  <c r="F88" i="34"/>
  <c r="G88" i="34" s="1"/>
  <c r="H88" i="34" s="1"/>
  <c r="I88" i="34" s="1"/>
  <c r="J88" i="34"/>
  <c r="K88" i="34" s="1"/>
  <c r="L88" i="34" s="1"/>
  <c r="M88" i="34" s="1"/>
  <c r="D86" i="34"/>
  <c r="E86" i="34" s="1"/>
  <c r="F86" i="34" s="1"/>
  <c r="G86" i="34" s="1"/>
  <c r="F23" i="34"/>
  <c r="D82" i="34"/>
  <c r="E82" i="34" s="1"/>
  <c r="F82" i="34"/>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Q11" i="34"/>
  <c r="Z11" i="34"/>
  <c r="Q10" i="34"/>
  <c r="Z10" i="34"/>
  <c r="F10" i="34"/>
  <c r="Q9" i="34"/>
  <c r="Z9" i="34" s="1"/>
  <c r="J8" i="34"/>
  <c r="H8" i="34"/>
  <c r="U8" i="34"/>
  <c r="F8" i="34"/>
  <c r="AA8" i="34"/>
  <c r="D121" i="33"/>
  <c r="E121" i="33"/>
  <c r="F121" i="33" s="1"/>
  <c r="G121" i="33"/>
  <c r="H121" i="33" s="1"/>
  <c r="I121" i="33" s="1"/>
  <c r="J121" i="33" s="1"/>
  <c r="K121" i="33"/>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J27" i="33" s="1"/>
  <c r="W27" i="33" s="1"/>
  <c r="D87" i="33"/>
  <c r="E87" i="33" s="1"/>
  <c r="D85" i="33"/>
  <c r="D81" i="33"/>
  <c r="E81" i="33" s="1"/>
  <c r="F81" i="33" s="1"/>
  <c r="G81" i="33" s="1"/>
  <c r="D79" i="33"/>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C63"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Q39" i="33"/>
  <c r="Z39" i="33"/>
  <c r="Q38" i="33"/>
  <c r="Z38" i="33"/>
  <c r="J38" i="33"/>
  <c r="AC38" i="33" s="1"/>
  <c r="H38" i="33"/>
  <c r="AB38" i="33" s="1"/>
  <c r="F38" i="33"/>
  <c r="Q37" i="33"/>
  <c r="Z37" i="33" s="1"/>
  <c r="Q36" i="33"/>
  <c r="Z36" i="33" s="1"/>
  <c r="Q35" i="33"/>
  <c r="Z35" i="33" s="1"/>
  <c r="H35" i="33"/>
  <c r="AB35" i="33" s="1"/>
  <c r="F35" i="33"/>
  <c r="S35" i="33" s="1"/>
  <c r="Q34" i="33"/>
  <c r="Z34" i="33" s="1"/>
  <c r="H34" i="33"/>
  <c r="AB34" i="33" s="1"/>
  <c r="F34" i="33"/>
  <c r="Q33" i="33"/>
  <c r="Z33" i="33" s="1"/>
  <c r="J33" i="33"/>
  <c r="AC33" i="33" s="1"/>
  <c r="H33" i="33"/>
  <c r="AB33" i="33" s="1"/>
  <c r="F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s="1"/>
  <c r="Q13" i="33"/>
  <c r="Z13" i="33" s="1"/>
  <c r="Q12" i="33"/>
  <c r="Z12" i="33" s="1"/>
  <c r="J12" i="33"/>
  <c r="H12" i="33"/>
  <c r="U12" i="33" s="1"/>
  <c r="F12" i="33"/>
  <c r="Q11" i="33"/>
  <c r="Z11" i="33" s="1"/>
  <c r="Q10" i="33"/>
  <c r="Z10" i="33" s="1"/>
  <c r="Q9" i="33"/>
  <c r="Z9" i="33" s="1"/>
  <c r="J8" i="33"/>
  <c r="H8" i="33"/>
  <c r="AB8" i="33" s="1"/>
  <c r="F8" i="33"/>
  <c r="AA8" i="33" s="1"/>
  <c r="M102" i="21"/>
  <c r="D102" i="21"/>
  <c r="E102" i="21"/>
  <c r="F102" i="21"/>
  <c r="G102" i="21"/>
  <c r="H102" i="21"/>
  <c r="I102" i="21"/>
  <c r="J102" i="21"/>
  <c r="K102" i="21"/>
  <c r="L102" i="21"/>
  <c r="C102" i="21"/>
  <c r="C63" i="21"/>
  <c r="G18" i="20"/>
  <c r="B88" i="43" s="1"/>
  <c r="G19" i="20"/>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c r="K123" i="21" s="1"/>
  <c r="L123" i="21" s="1"/>
  <c r="M123" i="21" s="1"/>
  <c r="F42" i="21"/>
  <c r="AA42" i="21" s="1"/>
  <c r="D119" i="21"/>
  <c r="D117" i="21"/>
  <c r="E117" i="21"/>
  <c r="D115" i="21"/>
  <c r="E115" i="21"/>
  <c r="F115" i="21" s="1"/>
  <c r="G115" i="21"/>
  <c r="H115" i="21" s="1"/>
  <c r="I115" i="21" s="1"/>
  <c r="J115" i="21" s="1"/>
  <c r="K115" i="21"/>
  <c r="L115" i="21" s="1"/>
  <c r="M115" i="21" s="1"/>
  <c r="D113" i="21"/>
  <c r="E113" i="21"/>
  <c r="F113" i="21" s="1"/>
  <c r="G113" i="21"/>
  <c r="H113" i="21" s="1"/>
  <c r="F37" i="21"/>
  <c r="AA37" i="21" s="1"/>
  <c r="D110" i="21"/>
  <c r="E110" i="21" s="1"/>
  <c r="F110" i="21" s="1"/>
  <c r="G110" i="21" s="1"/>
  <c r="H110" i="21"/>
  <c r="I110" i="21" s="1"/>
  <c r="J110" i="21" s="1"/>
  <c r="K110" i="21" s="1"/>
  <c r="L110" i="21" s="1"/>
  <c r="M110" i="21" s="1"/>
  <c r="J36" i="21"/>
  <c r="D108" i="21"/>
  <c r="E108" i="21"/>
  <c r="F108" i="21" s="1"/>
  <c r="G108" i="21"/>
  <c r="H108" i="21" s="1"/>
  <c r="I108" i="21" s="1"/>
  <c r="J108" i="21" s="1"/>
  <c r="K108" i="21"/>
  <c r="L108" i="21" s="1"/>
  <c r="M108" i="21" s="1"/>
  <c r="D106" i="21"/>
  <c r="D101" i="21"/>
  <c r="D89" i="21"/>
  <c r="E89" i="21"/>
  <c r="F89" i="21" s="1"/>
  <c r="G89" i="21"/>
  <c r="H89" i="21" s="1"/>
  <c r="I89" i="21" s="1"/>
  <c r="J89" i="21" s="1"/>
  <c r="K89" i="21"/>
  <c r="L89" i="21" s="1"/>
  <c r="M89" i="21" s="1"/>
  <c r="D67" i="21"/>
  <c r="E67" i="21"/>
  <c r="F67" i="21"/>
  <c r="G67" i="21"/>
  <c r="H67" i="21"/>
  <c r="I67" i="21"/>
  <c r="J67" i="21"/>
  <c r="K67" i="21"/>
  <c r="L67" i="21"/>
  <c r="M67" i="21"/>
  <c r="C67" i="21"/>
  <c r="D69" i="21"/>
  <c r="E69" i="21" s="1"/>
  <c r="F69" i="21"/>
  <c r="G69" i="21" s="1"/>
  <c r="H69" i="21" s="1"/>
  <c r="I69" i="21" s="1"/>
  <c r="J69" i="21"/>
  <c r="K69" i="21" s="1"/>
  <c r="L69" i="21" s="1"/>
  <c r="M69" i="21" s="1"/>
  <c r="D66" i="21"/>
  <c r="E66" i="21" s="1"/>
  <c r="F66" i="21" s="1"/>
  <c r="G66" i="21" s="1"/>
  <c r="H66" i="2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c r="J8" i="21"/>
  <c r="AC8" i="21"/>
  <c r="H8" i="21"/>
  <c r="U8"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AA41" i="21"/>
  <c r="W41" i="21"/>
  <c r="F45" i="39"/>
  <c r="S45" i="39" s="1"/>
  <c r="J45" i="39"/>
  <c r="W45" i="39"/>
  <c r="J44" i="39"/>
  <c r="F36" i="39"/>
  <c r="S36" i="39" s="1"/>
  <c r="H36" i="39"/>
  <c r="AB36" i="39" s="1"/>
  <c r="J36" i="39"/>
  <c r="AC36" i="39" s="1"/>
  <c r="S8" i="39"/>
  <c r="U38" i="39"/>
  <c r="H32" i="37"/>
  <c r="U8" i="37"/>
  <c r="F39" i="37"/>
  <c r="S39" i="37"/>
  <c r="U14" i="37"/>
  <c r="W30" i="37"/>
  <c r="F29" i="36"/>
  <c r="AA29" i="36"/>
  <c r="F16" i="36"/>
  <c r="S16" i="36"/>
  <c r="W22" i="36"/>
  <c r="AA31" i="36"/>
  <c r="AC31" i="36"/>
  <c r="U31" i="36"/>
  <c r="AB34" i="36"/>
  <c r="H22" i="35"/>
  <c r="U31" i="35"/>
  <c r="S32" i="35"/>
  <c r="S31" i="35"/>
  <c r="W31" i="35"/>
  <c r="U32" i="35"/>
  <c r="F36" i="34"/>
  <c r="AA36" i="34" s="1"/>
  <c r="H39" i="33"/>
  <c r="AB39" i="33" s="1"/>
  <c r="F26" i="33"/>
  <c r="AA26" i="33" s="1"/>
  <c r="W8" i="21"/>
  <c r="AC38" i="21"/>
  <c r="H39" i="37"/>
  <c r="S27" i="35"/>
  <c r="F11" i="40"/>
  <c r="AA11" i="40"/>
  <c r="S8" i="40"/>
  <c r="H11" i="40"/>
  <c r="W8" i="40"/>
  <c r="U9" i="40"/>
  <c r="S34" i="40"/>
  <c r="U34" i="40"/>
  <c r="S39" i="40"/>
  <c r="W39" i="40"/>
  <c r="F42" i="39"/>
  <c r="AA42" i="39" s="1"/>
  <c r="F41" i="39"/>
  <c r="H40" i="39"/>
  <c r="AB40" i="39" s="1"/>
  <c r="H39" i="39"/>
  <c r="U39" i="39" s="1"/>
  <c r="S38" i="39"/>
  <c r="H34" i="39"/>
  <c r="AB34" i="39"/>
  <c r="E109" i="39"/>
  <c r="F109" i="39"/>
  <c r="H31" i="39"/>
  <c r="AB31" i="39"/>
  <c r="F31" i="39"/>
  <c r="AA31" i="39"/>
  <c r="H19" i="39"/>
  <c r="AB19" i="39" s="1"/>
  <c r="F19" i="39"/>
  <c r="S19" i="39" s="1"/>
  <c r="H17" i="39"/>
  <c r="U17" i="39" s="1"/>
  <c r="F17" i="39"/>
  <c r="J23" i="40"/>
  <c r="H42" i="39"/>
  <c r="AB42" i="39" s="1"/>
  <c r="J34" i="39"/>
  <c r="G109" i="39"/>
  <c r="H109" i="39" s="1"/>
  <c r="I109" i="39" s="1"/>
  <c r="J109" i="39" s="1"/>
  <c r="K109" i="39" s="1"/>
  <c r="L109" i="39" s="1"/>
  <c r="M109" i="39" s="1"/>
  <c r="J31" i="39"/>
  <c r="W31" i="39"/>
  <c r="H29" i="39"/>
  <c r="J19" i="39"/>
  <c r="AC19" i="39" s="1"/>
  <c r="J17" i="39"/>
  <c r="J29" i="39"/>
  <c r="F29" i="39"/>
  <c r="F11" i="21"/>
  <c r="S11" i="21" s="1"/>
  <c r="C25" i="39"/>
  <c r="H11" i="39"/>
  <c r="AB39" i="39"/>
  <c r="H11" i="21"/>
  <c r="U11" i="21"/>
  <c r="J11" i="21"/>
  <c r="AC11" i="21"/>
  <c r="U33" i="21"/>
  <c r="H36" i="40"/>
  <c r="F35" i="40"/>
  <c r="J30" i="40"/>
  <c r="F30" i="40"/>
  <c r="F96" i="40"/>
  <c r="G96" i="40" s="1"/>
  <c r="H96" i="40" s="1"/>
  <c r="I96" i="40" s="1"/>
  <c r="J96" i="40" s="1"/>
  <c r="K96" i="40" s="1"/>
  <c r="L96" i="40" s="1"/>
  <c r="M96" i="40" s="1"/>
  <c r="H27" i="40"/>
  <c r="H23" i="40"/>
  <c r="J11" i="40"/>
  <c r="AB12" i="33"/>
  <c r="S44" i="39"/>
  <c r="F37" i="39"/>
  <c r="S37" i="39"/>
  <c r="J34" i="36"/>
  <c r="U30" i="36"/>
  <c r="F22" i="35"/>
  <c r="AA22" i="35"/>
  <c r="H10" i="35"/>
  <c r="U10" i="35"/>
  <c r="AB29" i="36"/>
  <c r="F85" i="36"/>
  <c r="G85" i="36" s="1"/>
  <c r="H85" i="36"/>
  <c r="I85" i="36" s="1"/>
  <c r="J85" i="36" s="1"/>
  <c r="K85" i="36" s="1"/>
  <c r="L85" i="36" s="1"/>
  <c r="M85" i="36" s="1"/>
  <c r="J29" i="36"/>
  <c r="AC29" i="36" s="1"/>
  <c r="F12" i="36"/>
  <c r="F34" i="36"/>
  <c r="AA34" i="36" s="1"/>
  <c r="H20" i="36"/>
  <c r="U20" i="36" s="1"/>
  <c r="J20" i="36"/>
  <c r="W20" i="36"/>
  <c r="AB8" i="36"/>
  <c r="F14" i="35"/>
  <c r="F23" i="35"/>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s="1"/>
  <c r="M101" i="37" s="1"/>
  <c r="J34" i="37"/>
  <c r="AA39" i="37"/>
  <c r="J43" i="34"/>
  <c r="AC43" i="34"/>
  <c r="H43" i="34"/>
  <c r="AB43" i="34"/>
  <c r="U42" i="34"/>
  <c r="F118" i="34"/>
  <c r="H40" i="34"/>
  <c r="U40" i="34"/>
  <c r="E114" i="34"/>
  <c r="F38" i="34"/>
  <c r="F114" i="34"/>
  <c r="G114" i="34" s="1"/>
  <c r="H114" i="34"/>
  <c r="I114" i="34" s="1"/>
  <c r="J114" i="34" s="1"/>
  <c r="K114" i="34" s="1"/>
  <c r="L114" i="34" s="1"/>
  <c r="M114" i="34" s="1"/>
  <c r="F28" i="34"/>
  <c r="AA28" i="34" s="1"/>
  <c r="J19" i="34"/>
  <c r="J15" i="34"/>
  <c r="H15" i="34"/>
  <c r="AB15" i="34" s="1"/>
  <c r="J10" i="34"/>
  <c r="W10" i="34" s="1"/>
  <c r="H10" i="34"/>
  <c r="F41" i="33"/>
  <c r="S41" i="33" s="1"/>
  <c r="J34" i="33"/>
  <c r="AC34" i="33" s="1"/>
  <c r="F23" i="33"/>
  <c r="AA23" i="33" s="1"/>
  <c r="F19" i="33"/>
  <c r="S19" i="33" s="1"/>
  <c r="J19" i="33"/>
  <c r="W19" i="33" s="1"/>
  <c r="J17" i="33"/>
  <c r="AC17" i="33" s="1"/>
  <c r="F11" i="33"/>
  <c r="AA11" i="33" s="1"/>
  <c r="U40" i="33"/>
  <c r="U8" i="33"/>
  <c r="S8" i="33"/>
  <c r="F37" i="40"/>
  <c r="AA37" i="40"/>
  <c r="F36" i="40"/>
  <c r="AA36" i="40"/>
  <c r="J27" i="40"/>
  <c r="W27" i="40"/>
  <c r="F27" i="40"/>
  <c r="S27" i="40"/>
  <c r="F23" i="40"/>
  <c r="AA23" i="40"/>
  <c r="AB30" i="36"/>
  <c r="W32" i="35"/>
  <c r="F29" i="35"/>
  <c r="S29" i="35"/>
  <c r="U34" i="37"/>
  <c r="AB42" i="34"/>
  <c r="H38" i="34"/>
  <c r="U15" i="34"/>
  <c r="G113" i="33"/>
  <c r="H113" i="33" s="1"/>
  <c r="I113" i="33"/>
  <c r="J113" i="33" s="1"/>
  <c r="K113" i="33" s="1"/>
  <c r="L113" i="33" s="1"/>
  <c r="M113" i="33" s="1"/>
  <c r="H37" i="33"/>
  <c r="AB37" i="33" s="1"/>
  <c r="AA37" i="33"/>
  <c r="AB11" i="33"/>
  <c r="AC27" i="40"/>
  <c r="AC42" i="34"/>
  <c r="W42" i="34"/>
  <c r="AA42" i="34"/>
  <c r="S42" i="34"/>
  <c r="W38" i="34"/>
  <c r="J37" i="33"/>
  <c r="AC37" i="33" s="1"/>
  <c r="J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H28" i="33"/>
  <c r="U28" i="33" s="1"/>
  <c r="F28" i="33"/>
  <c r="S28" i="33" s="1"/>
  <c r="J28" i="33"/>
  <c r="AC28" i="33" s="1"/>
  <c r="F33" i="35"/>
  <c r="S33" i="35" s="1"/>
  <c r="J33" i="35"/>
  <c r="F30" i="35"/>
  <c r="E89" i="35"/>
  <c r="F89" i="35" s="1"/>
  <c r="G89" i="35" s="1"/>
  <c r="H89" i="35" s="1"/>
  <c r="I89" i="35" s="1"/>
  <c r="J89" i="35" s="1"/>
  <c r="K89" i="35" s="1"/>
  <c r="L89" i="35" s="1"/>
  <c r="M89" i="35" s="1"/>
  <c r="H10" i="36"/>
  <c r="AB10" i="36"/>
  <c r="G83" i="36"/>
  <c r="H83" i="36" s="1"/>
  <c r="I83" i="36"/>
  <c r="J83" i="36" s="1"/>
  <c r="K83" i="36" s="1"/>
  <c r="L83" i="36" s="1"/>
  <c r="M83" i="36" s="1"/>
  <c r="F28" i="36"/>
  <c r="AA28" i="36"/>
  <c r="J29" i="33"/>
  <c r="W29" i="33" s="1"/>
  <c r="J31" i="33"/>
  <c r="W31" i="33" s="1"/>
  <c r="F31" i="33"/>
  <c r="J45" i="33"/>
  <c r="W45" i="33" s="1"/>
  <c r="J14" i="34"/>
  <c r="W14" i="34" s="1"/>
  <c r="F14" i="34"/>
  <c r="S14" i="34" s="1"/>
  <c r="U14" i="34"/>
  <c r="F32" i="34"/>
  <c r="S32" i="34" s="1"/>
  <c r="J32" i="34"/>
  <c r="H46" i="34"/>
  <c r="U46" i="34" s="1"/>
  <c r="F46" i="34"/>
  <c r="J46" i="34"/>
  <c r="H11" i="35"/>
  <c r="U11" i="35" s="1"/>
  <c r="J11" i="35"/>
  <c r="F11" i="35"/>
  <c r="S11" i="35" s="1"/>
  <c r="J26" i="36"/>
  <c r="H28" i="36"/>
  <c r="H32" i="36"/>
  <c r="J32" i="36"/>
  <c r="W32" i="36" s="1"/>
  <c r="J11" i="36"/>
  <c r="W11" i="36" s="1"/>
  <c r="H11" i="36"/>
  <c r="F11" i="36"/>
  <c r="AA11" i="36" s="1"/>
  <c r="H13" i="36"/>
  <c r="AB13" i="36" s="1"/>
  <c r="J13" i="36"/>
  <c r="F13" i="36"/>
  <c r="H36" i="37"/>
  <c r="H37" i="37"/>
  <c r="U37" i="37" s="1"/>
  <c r="AC12" i="40"/>
  <c r="W12" i="40"/>
  <c r="H14" i="33"/>
  <c r="F14" i="33"/>
  <c r="AA14" i="33" s="1"/>
  <c r="J14" i="33"/>
  <c r="AC14" i="33" s="1"/>
  <c r="H30" i="33"/>
  <c r="AB30" i="33"/>
  <c r="F30" i="33"/>
  <c r="S30" i="33"/>
  <c r="J30" i="33"/>
  <c r="AC30" i="33"/>
  <c r="H44" i="33"/>
  <c r="AB44" i="33"/>
  <c r="J44" i="33"/>
  <c r="AC44" i="33"/>
  <c r="F44" i="33"/>
  <c r="S44" i="33"/>
  <c r="J46" i="33"/>
  <c r="W46" i="33" s="1"/>
  <c r="F46" i="33"/>
  <c r="AA46" i="33" s="1"/>
  <c r="H46" i="33"/>
  <c r="AB46" i="33" s="1"/>
  <c r="H13" i="34"/>
  <c r="U13" i="34" s="1"/>
  <c r="J13" i="34"/>
  <c r="F13" i="34"/>
  <c r="AA13" i="34" s="1"/>
  <c r="J29" i="34"/>
  <c r="AC29" i="34" s="1"/>
  <c r="F29" i="34"/>
  <c r="S29" i="34" s="1"/>
  <c r="H29" i="34"/>
  <c r="U29" i="34" s="1"/>
  <c r="J31" i="34"/>
  <c r="AC31" i="34" s="1"/>
  <c r="H31" i="34"/>
  <c r="F31" i="34"/>
  <c r="H45" i="34"/>
  <c r="J45" i="34"/>
  <c r="F45" i="34"/>
  <c r="S45" i="34" s="1"/>
  <c r="H47" i="34"/>
  <c r="U47" i="34" s="1"/>
  <c r="F47" i="34"/>
  <c r="AA47" i="34" s="1"/>
  <c r="J47" i="34"/>
  <c r="F13" i="35"/>
  <c r="J13" i="35"/>
  <c r="H13" i="35"/>
  <c r="J25" i="35"/>
  <c r="F25" i="35"/>
  <c r="H25" i="35"/>
  <c r="J35" i="35"/>
  <c r="F35" i="35"/>
  <c r="H35" i="35"/>
  <c r="J25" i="36"/>
  <c r="F25" i="36"/>
  <c r="S25" i="36" s="1"/>
  <c r="H25" i="36"/>
  <c r="H13" i="37"/>
  <c r="F13" i="37"/>
  <c r="J13" i="37"/>
  <c r="F28" i="37"/>
  <c r="AA28" i="37" s="1"/>
  <c r="J28" i="37"/>
  <c r="H28" i="37"/>
  <c r="U28" i="37" s="1"/>
  <c r="H38" i="37"/>
  <c r="AB38" i="37" s="1"/>
  <c r="J38" i="37"/>
  <c r="F38" i="37"/>
  <c r="S38" i="37" s="1"/>
  <c r="F43" i="39"/>
  <c r="H43" i="39"/>
  <c r="J14" i="39"/>
  <c r="W14" i="39" s="1"/>
  <c r="H14" i="39"/>
  <c r="AB14" i="39" s="1"/>
  <c r="F12" i="40"/>
  <c r="AA12" i="40" s="1"/>
  <c r="H12" i="40"/>
  <c r="U12" i="40" s="1"/>
  <c r="H30" i="40"/>
  <c r="AB30"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W30" i="33"/>
  <c r="S14" i="33"/>
  <c r="J10" i="36"/>
  <c r="AC10" i="36"/>
  <c r="AB46" i="21"/>
  <c r="U14" i="21"/>
  <c r="AC14" i="21"/>
  <c r="AC11" i="36"/>
  <c r="AC29"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J25" i="21"/>
  <c r="AC25" i="21" s="1"/>
  <c r="H17" i="37"/>
  <c r="F73" i="37"/>
  <c r="G73" i="37" s="1"/>
  <c r="F23" i="37"/>
  <c r="F32" i="37"/>
  <c r="AA36" i="39"/>
  <c r="F39" i="33"/>
  <c r="AA39" i="33" s="1"/>
  <c r="F42" i="33"/>
  <c r="AA42" i="33" s="1"/>
  <c r="F14" i="36"/>
  <c r="AA14" i="36"/>
  <c r="F22" i="36"/>
  <c r="AA22" i="36"/>
  <c r="F26" i="36"/>
  <c r="AA26" i="36"/>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s="1"/>
  <c r="J23" i="37"/>
  <c r="W23" i="37" s="1"/>
  <c r="S30" i="31"/>
  <c r="AB20" i="35"/>
  <c r="AA11" i="35"/>
  <c r="S28" i="37"/>
  <c r="S25" i="37"/>
  <c r="W14" i="33"/>
  <c r="AC31" i="33"/>
  <c r="AA30" i="33"/>
  <c r="S11" i="33"/>
  <c r="AC33" i="21"/>
  <c r="AB38" i="21"/>
  <c r="W10" i="36"/>
  <c r="H37" i="21"/>
  <c r="U37" i="21" s="1"/>
  <c r="J37" i="21"/>
  <c r="W37" i="21" s="1"/>
  <c r="H19" i="34"/>
  <c r="F36" i="35"/>
  <c r="AA36" i="35" s="1"/>
  <c r="J9" i="37"/>
  <c r="H9" i="37"/>
  <c r="F9" i="37"/>
  <c r="F11" i="37"/>
  <c r="S11" i="37" s="1"/>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AC43" i="39"/>
  <c r="W43" i="39"/>
  <c r="U45" i="39"/>
  <c r="AB45" i="39"/>
  <c r="AB44" i="39"/>
  <c r="U44" i="39"/>
  <c r="G103" i="39"/>
  <c r="AC13" i="39"/>
  <c r="H37" i="39"/>
  <c r="AC37" i="39"/>
  <c r="H25" i="39"/>
  <c r="U25" i="39"/>
  <c r="J25" i="39"/>
  <c r="W25" i="39"/>
  <c r="F25" i="39"/>
  <c r="S25" i="39"/>
  <c r="F15" i="39"/>
  <c r="S15" i="39"/>
  <c r="H15" i="39"/>
  <c r="U15" i="39"/>
  <c r="J15" i="39"/>
  <c r="W15" i="39"/>
  <c r="H41" i="39"/>
  <c r="AB41" i="39"/>
  <c r="F11" i="39"/>
  <c r="AA11" i="39"/>
  <c r="H21" i="39"/>
  <c r="U21" i="39"/>
  <c r="F32" i="39"/>
  <c r="S32" i="39"/>
  <c r="W19" i="39"/>
  <c r="U34" i="39"/>
  <c r="S42" i="39"/>
  <c r="W39" i="39"/>
  <c r="W8" i="39"/>
  <c r="AB25" i="39"/>
  <c r="J11" i="39"/>
  <c r="J32" i="39"/>
  <c r="AC32" i="39" s="1"/>
  <c r="AA15" i="39"/>
  <c r="E66" i="39"/>
  <c r="E61" i="40"/>
  <c r="F34" i="43"/>
  <c r="C21" i="11"/>
  <c r="C29" i="11" s="1"/>
  <c r="D27" i="11" s="1"/>
  <c r="H55" i="39"/>
  <c r="G60" i="40"/>
  <c r="C60" i="40" s="1"/>
  <c r="H16" i="44"/>
  <c r="D17" i="43"/>
  <c r="I17" i="43"/>
  <c r="D108" i="9"/>
  <c r="F22" i="43"/>
  <c r="G22" i="43"/>
  <c r="H14" i="44"/>
  <c r="W40" i="39"/>
  <c r="AC20" i="35"/>
  <c r="S39" i="34"/>
  <c r="AC1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S27" i="34" s="1"/>
  <c r="S28" i="34"/>
  <c r="J33" i="34"/>
  <c r="W33" i="34"/>
  <c r="J37" i="34"/>
  <c r="W37" i="34"/>
  <c r="AB33" i="34"/>
  <c r="J26" i="35"/>
  <c r="W26" i="35"/>
  <c r="F26" i="35"/>
  <c r="AA26" i="35"/>
  <c r="H26" i="35"/>
  <c r="U26" i="35"/>
  <c r="U28" i="21"/>
  <c r="K145" i="21"/>
  <c r="K144" i="21"/>
  <c r="K141" i="21"/>
  <c r="K143" i="21"/>
  <c r="W25" i="21"/>
  <c r="B101" i="9"/>
  <c r="C112" i="9"/>
  <c r="H110" i="9" s="1"/>
  <c r="F23" i="21"/>
  <c r="AA23" i="21" s="1"/>
  <c r="J23" i="21"/>
  <c r="H23" i="21"/>
  <c r="U23" i="21" s="1"/>
  <c r="F17" i="21"/>
  <c r="J17" i="21"/>
  <c r="H17" i="21"/>
  <c r="J15" i="21"/>
  <c r="W15" i="21" s="1"/>
  <c r="U35" i="21"/>
  <c r="AC35" i="21"/>
  <c r="H103" i="57"/>
  <c r="A131" i="9"/>
  <c r="A135" i="57"/>
  <c r="B103" i="57"/>
  <c r="B107" i="57"/>
  <c r="C112" i="57"/>
  <c r="H107" i="57"/>
  <c r="D128" i="57"/>
  <c r="AC15" i="21"/>
  <c r="C110" i="57"/>
  <c r="H104" i="57"/>
  <c r="B113" i="43"/>
  <c r="I118" i="43"/>
  <c r="J118" i="43" s="1"/>
  <c r="K118" i="43" s="1"/>
  <c r="L118" i="43" s="1"/>
  <c r="M118" i="43" s="1"/>
  <c r="M101" i="43"/>
  <c r="K101" i="43"/>
  <c r="I101" i="43"/>
  <c r="G101" i="43"/>
  <c r="E101" i="43"/>
  <c r="C101" i="43"/>
  <c r="C104" i="43"/>
  <c r="N101" i="43"/>
  <c r="N107" i="43"/>
  <c r="L101" i="43"/>
  <c r="J101" i="43"/>
  <c r="H101" i="43"/>
  <c r="F101" i="43"/>
  <c r="D101" i="43"/>
  <c r="S419" i="31"/>
  <c r="S403" i="31"/>
  <c r="S387" i="31"/>
  <c r="S371" i="31"/>
  <c r="S355" i="31"/>
  <c r="S339" i="31"/>
  <c r="T323" i="31"/>
  <c r="T315" i="31"/>
  <c r="T307" i="31"/>
  <c r="T299" i="31"/>
  <c r="T291" i="31"/>
  <c r="T283" i="31"/>
  <c r="T275" i="31"/>
  <c r="T267" i="31"/>
  <c r="T259" i="31"/>
  <c r="S113" i="31"/>
  <c r="S105" i="31"/>
  <c r="S81" i="31"/>
  <c r="S89" i="31"/>
  <c r="S97" i="31"/>
  <c r="S461" i="31"/>
  <c r="S433" i="31"/>
  <c r="S127" i="31"/>
  <c r="S135" i="31"/>
  <c r="S143" i="31"/>
  <c r="S151" i="31"/>
  <c r="S159" i="31"/>
  <c r="S167" i="31"/>
  <c r="S175" i="31"/>
  <c r="S183" i="31"/>
  <c r="S199" i="31"/>
  <c r="S215" i="31"/>
  <c r="C114" i="57"/>
  <c r="H109" i="57" s="1"/>
  <c r="D47" i="15"/>
  <c r="AB12" i="37"/>
  <c r="J37" i="37"/>
  <c r="W37" i="37"/>
  <c r="AB40" i="37"/>
  <c r="U40" i="37"/>
  <c r="U15" i="21"/>
  <c r="AB15" i="21"/>
  <c r="AA16" i="35"/>
  <c r="S14" i="39"/>
  <c r="U29" i="35"/>
  <c r="AB21" i="39"/>
  <c r="W44" i="33"/>
  <c r="AB46" i="34"/>
  <c r="AA14" i="34"/>
  <c r="W44" i="21"/>
  <c r="AB38" i="34"/>
  <c r="U38" i="34"/>
  <c r="F40" i="34"/>
  <c r="G118" i="34"/>
  <c r="AB20" i="36"/>
  <c r="AA16" i="36"/>
  <c r="AC44" i="39"/>
  <c r="W44" i="39"/>
  <c r="H13" i="21"/>
  <c r="U13" i="21" s="1"/>
  <c r="J13" i="21"/>
  <c r="AC13" i="21" s="1"/>
  <c r="F13" i="21"/>
  <c r="AA13" i="21"/>
  <c r="J45" i="21"/>
  <c r="F45" i="21"/>
  <c r="S42" i="21"/>
  <c r="C23" i="40"/>
  <c r="AC8" i="34"/>
  <c r="W8" i="34"/>
  <c r="J9" i="34"/>
  <c r="AC9" i="34"/>
  <c r="F9" i="34"/>
  <c r="S9" i="34"/>
  <c r="AA19" i="34"/>
  <c r="S19" i="34"/>
  <c r="S9" i="36"/>
  <c r="J12" i="36"/>
  <c r="W12" i="36"/>
  <c r="H12" i="36"/>
  <c r="AB12" i="36"/>
  <c r="AA9" i="39"/>
  <c r="S9" i="39"/>
  <c r="F12" i="39"/>
  <c r="S12" i="39" s="1"/>
  <c r="R29" i="31"/>
  <c r="T29" i="31" s="1"/>
  <c r="F15" i="21"/>
  <c r="S15" i="21"/>
  <c r="C106" i="9"/>
  <c r="H102" i="9"/>
  <c r="AA30" i="21"/>
  <c r="J36" i="34"/>
  <c r="S8" i="34"/>
  <c r="J19" i="40"/>
  <c r="AC19" i="40"/>
  <c r="W9" i="39"/>
  <c r="U14" i="39"/>
  <c r="H32" i="39"/>
  <c r="U32" i="39"/>
  <c r="F21" i="39"/>
  <c r="AA21" i="39"/>
  <c r="F31" i="37"/>
  <c r="AA31" i="37"/>
  <c r="S44" i="21"/>
  <c r="AC36" i="40"/>
  <c r="F17" i="37"/>
  <c r="AA17" i="37" s="1"/>
  <c r="AB13" i="40"/>
  <c r="S12" i="40"/>
  <c r="U44" i="33"/>
  <c r="AB11" i="35"/>
  <c r="AB32" i="34"/>
  <c r="H45" i="21"/>
  <c r="AB45" i="21" s="1"/>
  <c r="J14" i="36"/>
  <c r="AC14" i="36" s="1"/>
  <c r="AC30" i="21"/>
  <c r="S15" i="34"/>
  <c r="J40" i="34"/>
  <c r="S37" i="40"/>
  <c r="H19" i="33"/>
  <c r="AB19" i="33" s="1"/>
  <c r="AA41" i="33"/>
  <c r="J23" i="34"/>
  <c r="W23" i="34"/>
  <c r="AB17" i="39"/>
  <c r="W22" i="35"/>
  <c r="S30" i="36"/>
  <c r="S38" i="21"/>
  <c r="AA38" i="21"/>
  <c r="E106" i="21"/>
  <c r="F106" i="21"/>
  <c r="G106" i="21" s="1"/>
  <c r="H106" i="21" s="1"/>
  <c r="I106" i="21" s="1"/>
  <c r="J106" i="21" s="1"/>
  <c r="K106" i="21" s="1"/>
  <c r="L106" i="21" s="1"/>
  <c r="M106" i="21" s="1"/>
  <c r="F34" i="21"/>
  <c r="S34" i="21" s="1"/>
  <c r="H34" i="21"/>
  <c r="J34" i="21"/>
  <c r="AC36" i="21"/>
  <c r="W36" i="21"/>
  <c r="E101" i="33"/>
  <c r="H9" i="34"/>
  <c r="AB9" i="34"/>
  <c r="H28" i="34"/>
  <c r="U28" i="34"/>
  <c r="F116" i="34"/>
  <c r="G116" i="34" s="1"/>
  <c r="H116" i="34"/>
  <c r="I116" i="34" s="1"/>
  <c r="J116" i="34" s="1"/>
  <c r="K116" i="34" s="1"/>
  <c r="L116" i="34" s="1"/>
  <c r="M116" i="34" s="1"/>
  <c r="J39" i="34"/>
  <c r="J27" i="36"/>
  <c r="AC27" i="36" s="1"/>
  <c r="F37" i="34"/>
  <c r="AA37" i="34"/>
  <c r="H37" i="34"/>
  <c r="U37" i="34"/>
  <c r="AB12" i="40"/>
  <c r="AC14" i="39"/>
  <c r="AA32" i="34"/>
  <c r="U10" i="36"/>
  <c r="W28" i="33"/>
  <c r="AA14" i="35"/>
  <c r="S14" i="35"/>
  <c r="W11" i="21"/>
  <c r="AA45" i="39"/>
  <c r="H27" i="21"/>
  <c r="AB27" i="21"/>
  <c r="J27" i="21"/>
  <c r="W27" i="21"/>
  <c r="F27" i="21"/>
  <c r="AA27" i="21"/>
  <c r="J29" i="21"/>
  <c r="AC29" i="21"/>
  <c r="H29" i="21"/>
  <c r="U29" i="21"/>
  <c r="F29" i="21"/>
  <c r="J31" i="21"/>
  <c r="H31" i="21"/>
  <c r="AB31" i="21" s="1"/>
  <c r="F31" i="21"/>
  <c r="AA31" i="21"/>
  <c r="H39" i="21"/>
  <c r="U39" i="21"/>
  <c r="F117" i="21"/>
  <c r="G117" i="21"/>
  <c r="E117" i="33"/>
  <c r="F117" i="33"/>
  <c r="G117" i="33" s="1"/>
  <c r="J39" i="33"/>
  <c r="AC39" i="33" s="1"/>
  <c r="E125" i="33"/>
  <c r="F125" i="33" s="1"/>
  <c r="H43" i="33"/>
  <c r="U43" i="33"/>
  <c r="E91" i="33"/>
  <c r="F91" i="33" s="1"/>
  <c r="G91" i="33" s="1"/>
  <c r="H91" i="33" s="1"/>
  <c r="I91" i="33" s="1"/>
  <c r="J91" i="33" s="1"/>
  <c r="K91" i="33" s="1"/>
  <c r="L91" i="33" s="1"/>
  <c r="M91" i="33" s="1"/>
  <c r="F27" i="33"/>
  <c r="S27" i="33" s="1"/>
  <c r="H41" i="33"/>
  <c r="U41" i="33" s="1"/>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30" i="36"/>
  <c r="W30" i="36"/>
  <c r="H35" i="39"/>
  <c r="U35" i="39" s="1"/>
  <c r="J35" i="39"/>
  <c r="AC35" i="39" s="1"/>
  <c r="AA19" i="39"/>
  <c r="H16" i="36"/>
  <c r="U16" i="36"/>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W33" i="33"/>
  <c r="AA38" i="33"/>
  <c r="S38" i="33"/>
  <c r="W38" i="33"/>
  <c r="AA10" i="34"/>
  <c r="S10" i="34"/>
  <c r="F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H40" i="40"/>
  <c r="F40" i="40"/>
  <c r="N6" i="43"/>
  <c r="G4" i="47" s="1"/>
  <c r="M1" i="43"/>
  <c r="F101" i="9"/>
  <c r="F33" i="9"/>
  <c r="C25" i="57"/>
  <c r="N102" i="43"/>
  <c r="G103" i="43"/>
  <c r="U15" i="37"/>
  <c r="AB24" i="36"/>
  <c r="H25" i="34"/>
  <c r="AB35" i="39"/>
  <c r="AC40" i="37"/>
  <c r="S27" i="37"/>
  <c r="AA12" i="37"/>
  <c r="AA34" i="35"/>
  <c r="S34" i="35"/>
  <c r="AB24" i="35"/>
  <c r="J17" i="34"/>
  <c r="AC17" i="34"/>
  <c r="F17" i="34"/>
  <c r="AA17" i="34" s="1"/>
  <c r="H27" i="33"/>
  <c r="AB27" i="33" s="1"/>
  <c r="F43" i="33"/>
  <c r="S43" i="33"/>
  <c r="G125" i="33"/>
  <c r="J43" i="33"/>
  <c r="AC43" i="33"/>
  <c r="AA29" i="21"/>
  <c r="S29" i="21"/>
  <c r="W29" i="21"/>
  <c r="AC27" i="21"/>
  <c r="H27" i="36"/>
  <c r="AB27" i="36"/>
  <c r="F27" i="36"/>
  <c r="AA27" i="36"/>
  <c r="J28" i="34"/>
  <c r="W28" i="34"/>
  <c r="H11" i="34"/>
  <c r="S17" i="37"/>
  <c r="J11" i="37"/>
  <c r="AC11" i="37"/>
  <c r="W9" i="34"/>
  <c r="AB13" i="21"/>
  <c r="AC37" i="37"/>
  <c r="U38" i="40"/>
  <c r="F23" i="39"/>
  <c r="AA23" i="39"/>
  <c r="F97" i="39"/>
  <c r="G97" i="39"/>
  <c r="S26" i="37"/>
  <c r="S24" i="36"/>
  <c r="F44" i="34"/>
  <c r="F126" i="34"/>
  <c r="G126" i="34" s="1"/>
  <c r="J44" i="34"/>
  <c r="AC44" i="34" s="1"/>
  <c r="S40" i="21"/>
  <c r="U31" i="37"/>
  <c r="W27" i="37"/>
  <c r="AB27" i="37"/>
  <c r="H60" i="37"/>
  <c r="H10" i="37"/>
  <c r="U10" i="37"/>
  <c r="S24" i="35"/>
  <c r="AB43" i="33"/>
  <c r="S31" i="21"/>
  <c r="AB29" i="21"/>
  <c r="W27" i="36"/>
  <c r="U9" i="34"/>
  <c r="F101" i="33"/>
  <c r="G101" i="33" s="1"/>
  <c r="U45" i="21"/>
  <c r="U12" i="36"/>
  <c r="AC45" i="21"/>
  <c r="W45" i="21"/>
  <c r="W13" i="21"/>
  <c r="AA44" i="34"/>
  <c r="S44" i="34"/>
  <c r="S27" i="36"/>
  <c r="I60" i="37"/>
  <c r="J10" i="37"/>
  <c r="AC10" i="37"/>
  <c r="H23" i="39"/>
  <c r="AB23" i="39"/>
  <c r="J11" i="34"/>
  <c r="W11" i="34"/>
  <c r="W17" i="34"/>
  <c r="J25" i="34"/>
  <c r="W25" i="34"/>
  <c r="U23" i="39"/>
  <c r="K53" i="43"/>
  <c r="M53" i="43"/>
  <c r="N53" i="43" s="1"/>
  <c r="K49" i="43"/>
  <c r="J49" i="43" s="1"/>
  <c r="D49" i="43"/>
  <c r="M49" i="43"/>
  <c r="N49" i="43" s="1"/>
  <c r="K54" i="43"/>
  <c r="M54" i="43"/>
  <c r="N54" i="43" s="1"/>
  <c r="K50" i="43"/>
  <c r="J50" i="43" s="1"/>
  <c r="M50" i="43"/>
  <c r="N50" i="43" s="1"/>
  <c r="K55" i="43"/>
  <c r="M55" i="43"/>
  <c r="N55" i="43" s="1"/>
  <c r="K51" i="43"/>
  <c r="J51" i="43" s="1"/>
  <c r="D51" i="43"/>
  <c r="M51" i="43"/>
  <c r="N51" i="43" s="1"/>
  <c r="K48" i="43"/>
  <c r="J48" i="43" s="1"/>
  <c r="D48" i="43"/>
  <c r="M48" i="43"/>
  <c r="N48" i="43" s="1"/>
  <c r="K52" i="43"/>
  <c r="J52" i="43" s="1"/>
  <c r="D52" i="43"/>
  <c r="M52" i="43"/>
  <c r="N52" i="43" s="1"/>
  <c r="K56" i="43"/>
  <c r="M56" i="43"/>
  <c r="N56" i="43" s="1"/>
  <c r="F43" i="15"/>
  <c r="F72" i="15" s="1"/>
  <c r="D93" i="9"/>
  <c r="D37" i="11"/>
  <c r="C37" i="11" s="1"/>
  <c r="M29" i="15"/>
  <c r="P51" i="15"/>
  <c r="D10" i="11"/>
  <c r="C2" i="31"/>
  <c r="I23" i="31" s="1"/>
  <c r="P60" i="15"/>
  <c r="D3" i="35"/>
  <c r="D3" i="34"/>
  <c r="D78" i="9"/>
  <c r="D95" i="57"/>
  <c r="D80" i="57"/>
  <c r="A16" i="55"/>
  <c r="B46" i="60" s="1"/>
  <c r="D3" i="33"/>
  <c r="D3" i="37"/>
  <c r="D3" i="36"/>
  <c r="AA32" i="40"/>
  <c r="W32" i="40"/>
  <c r="W31" i="40"/>
  <c r="AC9" i="40"/>
  <c r="S9" i="40"/>
  <c r="AA27" i="40"/>
  <c r="W35" i="40"/>
  <c r="W34" i="40"/>
  <c r="AB39" i="40"/>
  <c r="J37" i="40"/>
  <c r="W37" i="40" s="1"/>
  <c r="H35" i="40"/>
  <c r="H37" i="40"/>
  <c r="U37" i="40" s="1"/>
  <c r="H28" i="40"/>
  <c r="F28" i="40"/>
  <c r="AA28" i="40" s="1"/>
  <c r="J28" i="40"/>
  <c r="F98" i="40"/>
  <c r="G98" i="40" s="1"/>
  <c r="H98" i="40"/>
  <c r="I98" i="40" s="1"/>
  <c r="J98" i="40" s="1"/>
  <c r="K98" i="40" s="1"/>
  <c r="L98" i="40" s="1"/>
  <c r="M98" i="40" s="1"/>
  <c r="F21" i="40"/>
  <c r="S21" i="40" s="1"/>
  <c r="H21" i="40"/>
  <c r="F90" i="40"/>
  <c r="G90" i="40" s="1"/>
  <c r="J21" i="40"/>
  <c r="W21" i="40" s="1"/>
  <c r="W19" i="40"/>
  <c r="F86" i="40"/>
  <c r="G86" i="40"/>
  <c r="H17" i="40"/>
  <c r="U17" i="40"/>
  <c r="J17" i="40"/>
  <c r="F17" i="40"/>
  <c r="S17" i="40" s="1"/>
  <c r="F84" i="40"/>
  <c r="G84" i="40" s="1"/>
  <c r="F15" i="40"/>
  <c r="AA15" i="40" s="1"/>
  <c r="J15" i="40"/>
  <c r="H15" i="40"/>
  <c r="AB15" i="40" s="1"/>
  <c r="AC25" i="40"/>
  <c r="W25" i="40"/>
  <c r="U19" i="40"/>
  <c r="U14" i="40"/>
  <c r="U8" i="40"/>
  <c r="S36" i="40"/>
  <c r="AC38" i="39"/>
  <c r="AA37" i="39"/>
  <c r="AC25" i="39"/>
  <c r="S23" i="39"/>
  <c r="S21" i="39"/>
  <c r="AC23" i="39"/>
  <c r="W27" i="39"/>
  <c r="AC27" i="39"/>
  <c r="W35" i="39"/>
  <c r="AC15" i="39"/>
  <c r="U41" i="39"/>
  <c r="AB15" i="39"/>
  <c r="U42" i="39"/>
  <c r="AB13" i="39"/>
  <c r="U19" i="39"/>
  <c r="AB27" i="39"/>
  <c r="U27" i="39"/>
  <c r="AA27" i="39"/>
  <c r="S27" i="39"/>
  <c r="S31" i="39"/>
  <c r="AA12" i="39"/>
  <c r="S13" i="39"/>
  <c r="S34" i="36"/>
  <c r="AC24" i="36"/>
  <c r="S11" i="36"/>
  <c r="S22" i="36"/>
  <c r="AC16" i="36"/>
  <c r="W14" i="36"/>
  <c r="S26" i="36"/>
  <c r="U27" i="36"/>
  <c r="AA25" i="36"/>
  <c r="S14" i="36"/>
  <c r="U14" i="36"/>
  <c r="S10" i="36"/>
  <c r="W18" i="36"/>
  <c r="AC18" i="36"/>
  <c r="AC12" i="36"/>
  <c r="AC32" i="36"/>
  <c r="AC20" i="36"/>
  <c r="W29" i="36"/>
  <c r="W8" i="36"/>
  <c r="AB16" i="36"/>
  <c r="U13" i="36"/>
  <c r="AB18" i="36"/>
  <c r="U18" i="36"/>
  <c r="S28" i="36"/>
  <c r="S29" i="36"/>
  <c r="W24" i="35"/>
  <c r="W23" i="35"/>
  <c r="AB23" i="35"/>
  <c r="W10" i="35"/>
  <c r="AB16" i="35"/>
  <c r="W34" i="35"/>
  <c r="AC26" i="35"/>
  <c r="W28" i="35"/>
  <c r="U14" i="35"/>
  <c r="AB10" i="35"/>
  <c r="U8" i="35"/>
  <c r="S20" i="35"/>
  <c r="S10" i="35"/>
  <c r="W32" i="37"/>
  <c r="W26" i="37"/>
  <c r="AB28" i="37"/>
  <c r="AC12" i="37"/>
  <c r="J33" i="37"/>
  <c r="F33" i="37"/>
  <c r="AA33" i="37" s="1"/>
  <c r="H99" i="37"/>
  <c r="I99" i="37" s="1"/>
  <c r="J99" i="37"/>
  <c r="K99" i="37" s="1"/>
  <c r="L99" i="37" s="1"/>
  <c r="M99" i="37" s="1"/>
  <c r="H33" i="37"/>
  <c r="AB33" i="37" s="1"/>
  <c r="AC35" i="37"/>
  <c r="W35" i="37"/>
  <c r="S31" i="37"/>
  <c r="H35" i="37"/>
  <c r="F35" i="37"/>
  <c r="AA35" i="37" s="1"/>
  <c r="F103" i="37"/>
  <c r="G103" i="37" s="1"/>
  <c r="H103" i="37" s="1"/>
  <c r="I103" i="37" s="1"/>
  <c r="J103" i="37" s="1"/>
  <c r="K103" i="37" s="1"/>
  <c r="L103" i="37" s="1"/>
  <c r="M103" i="37" s="1"/>
  <c r="AC23" i="37"/>
  <c r="J19" i="37"/>
  <c r="W19" i="37"/>
  <c r="F19" i="37"/>
  <c r="G75" i="37"/>
  <c r="H19" i="37"/>
  <c r="U19" i="37"/>
  <c r="AC17" i="37"/>
  <c r="S15" i="37"/>
  <c r="J15" i="37"/>
  <c r="W10" i="37"/>
  <c r="S10" i="37"/>
  <c r="AA11" i="37"/>
  <c r="AB10" i="37"/>
  <c r="AC21" i="37"/>
  <c r="W21" i="37"/>
  <c r="W11" i="37"/>
  <c r="W14" i="37"/>
  <c r="AC19" i="37"/>
  <c r="W39" i="37"/>
  <c r="AB11" i="37"/>
  <c r="S37" i="37"/>
  <c r="AA14" i="37"/>
  <c r="AA38" i="37"/>
  <c r="W35" i="34"/>
  <c r="AC28" i="34"/>
  <c r="AB41" i="34"/>
  <c r="S36" i="34"/>
  <c r="U43" i="34"/>
  <c r="S43" i="34"/>
  <c r="S17" i="34"/>
  <c r="AB17" i="34"/>
  <c r="AA9" i="34"/>
  <c r="W31" i="34"/>
  <c r="U36" i="34"/>
  <c r="U21" i="34"/>
  <c r="AB21" i="34"/>
  <c r="AA41" i="34"/>
  <c r="W42" i="33"/>
  <c r="U34" i="33"/>
  <c r="U38" i="33"/>
  <c r="W37" i="33"/>
  <c r="W43" i="33"/>
  <c r="AC41" i="33"/>
  <c r="U46" i="33"/>
  <c r="AC46" i="33"/>
  <c r="AC19" i="33"/>
  <c r="W21" i="33"/>
  <c r="AC21" i="33"/>
  <c r="U39" i="33"/>
  <c r="S42" i="33"/>
  <c r="W42" i="21"/>
  <c r="AA39" i="21"/>
  <c r="W39" i="21"/>
  <c r="AA34" i="21"/>
  <c r="AA15" i="21"/>
  <c r="AC26" i="21"/>
  <c r="AC32" i="21"/>
  <c r="AB39" i="21"/>
  <c r="W40" i="21"/>
  <c r="AC37" i="21"/>
  <c r="AC28" i="21"/>
  <c r="U27" i="21"/>
  <c r="AB23" i="21"/>
  <c r="U19" i="21"/>
  <c r="U43" i="21"/>
  <c r="U26" i="21"/>
  <c r="AB44" i="21"/>
  <c r="U30" i="21"/>
  <c r="AB36" i="21"/>
  <c r="AA36" i="21"/>
  <c r="AA43" i="21"/>
  <c r="AB32" i="21"/>
  <c r="S28" i="21"/>
  <c r="AB21" i="21"/>
  <c r="U21" i="21"/>
  <c r="AC19" i="21"/>
  <c r="S13" i="21"/>
  <c r="U12" i="21"/>
  <c r="AB11" i="21"/>
  <c r="U10" i="21"/>
  <c r="AB8" i="21"/>
  <c r="AA11" i="21"/>
  <c r="AA14" i="21"/>
  <c r="S8" i="21"/>
  <c r="S497" i="31"/>
  <c r="S489" i="31"/>
  <c r="S481" i="31"/>
  <c r="S473" i="31"/>
  <c r="S449" i="31"/>
  <c r="S79" i="31"/>
  <c r="S75" i="31"/>
  <c r="S73" i="31"/>
  <c r="S71" i="31"/>
  <c r="S69" i="31"/>
  <c r="S67" i="31"/>
  <c r="S65" i="31"/>
  <c r="S63" i="31"/>
  <c r="S61" i="31"/>
  <c r="S59" i="31"/>
  <c r="S57" i="31"/>
  <c r="S53" i="31"/>
  <c r="S49" i="31"/>
  <c r="S45" i="31"/>
  <c r="S41" i="31"/>
  <c r="S37" i="31"/>
  <c r="S221" i="31"/>
  <c r="S213" i="31"/>
  <c r="S205" i="31"/>
  <c r="S197" i="31"/>
  <c r="S189" i="31"/>
  <c r="S181" i="31"/>
  <c r="S173" i="31"/>
  <c r="S165" i="31"/>
  <c r="S157" i="31"/>
  <c r="S149" i="31"/>
  <c r="S141" i="31"/>
  <c r="S133" i="31"/>
  <c r="S443" i="31"/>
  <c r="S501" i="31"/>
  <c r="S455" i="31"/>
  <c r="S95" i="31"/>
  <c r="S87" i="31"/>
  <c r="S33" i="31"/>
  <c r="S107" i="31"/>
  <c r="S511" i="31"/>
  <c r="S329"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9" i="31"/>
  <c r="S495" i="31"/>
  <c r="D33" i="50"/>
  <c r="D12" i="50"/>
  <c r="B26" i="60" s="1"/>
  <c r="D34" i="50"/>
  <c r="D13" i="50"/>
  <c r="B27" i="60" s="1"/>
  <c r="D31" i="50"/>
  <c r="D32" i="50" s="1"/>
  <c r="D10" i="50"/>
  <c r="D11" i="50"/>
  <c r="B25" i="60" s="1"/>
  <c r="D112" i="57"/>
  <c r="D35" i="50"/>
  <c r="D14" i="50"/>
  <c r="B28" i="60" s="1"/>
  <c r="C18" i="9"/>
  <c r="D18" i="9" s="1"/>
  <c r="D22" i="15"/>
  <c r="A14" i="52"/>
  <c r="B61" i="60"/>
  <c r="Y25" i="31"/>
  <c r="C37" i="57" s="1"/>
  <c r="F125" i="57" s="1"/>
  <c r="V25" i="31"/>
  <c r="C36" i="57" s="1"/>
  <c r="D125" i="57" s="1"/>
  <c r="D3" i="21"/>
  <c r="M6" i="43"/>
  <c r="M5" i="43"/>
  <c r="F81" i="43"/>
  <c r="H85" i="43" s="1"/>
  <c r="H13" i="44"/>
  <c r="G59" i="40"/>
  <c r="C59" i="40" s="1"/>
  <c r="H11" i="44"/>
  <c r="C51" i="10"/>
  <c r="A8" i="54"/>
  <c r="B8" i="60" s="1"/>
  <c r="F2" i="21"/>
  <c r="F2" i="34"/>
  <c r="F2" i="35"/>
  <c r="F2" i="33"/>
  <c r="D36" i="57"/>
  <c r="C114" i="9"/>
  <c r="H112" i="9"/>
  <c r="C120" i="57"/>
  <c r="H11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53" i="10"/>
  <c r="D123" i="9"/>
  <c r="D6" i="52"/>
  <c r="D124" i="9"/>
  <c r="D7" i="52"/>
  <c r="N49" i="57"/>
  <c r="B58" i="60"/>
  <c r="A125" i="57"/>
  <c r="N47" i="9"/>
  <c r="N104" i="46"/>
  <c r="J17" i="43"/>
  <c r="C7" i="21"/>
  <c r="C58" i="21" s="1"/>
  <c r="D58" i="21" s="1"/>
  <c r="E58" i="21" s="1"/>
  <c r="F58" i="21" s="1"/>
  <c r="C7" i="33"/>
  <c r="E7" i="33" s="1"/>
  <c r="G7" i="33" s="1"/>
  <c r="I7" i="33" s="1"/>
  <c r="C58" i="33"/>
  <c r="D58" i="33" s="1"/>
  <c r="C7" i="37"/>
  <c r="C52" i="37"/>
  <c r="D52" i="37" s="1"/>
  <c r="D102" i="43"/>
  <c r="D115" i="43"/>
  <c r="E115" i="43" s="1"/>
  <c r="F115" i="43" s="1"/>
  <c r="N106" i="43"/>
  <c r="G37" i="47"/>
  <c r="G19" i="43"/>
  <c r="O19" i="43" s="1"/>
  <c r="F36" i="43"/>
  <c r="C17" i="43"/>
  <c r="F35" i="43"/>
  <c r="F37" i="43"/>
  <c r="F39" i="43"/>
  <c r="K17" i="43"/>
  <c r="C7" i="34"/>
  <c r="E7" i="34" s="1"/>
  <c r="G7" i="34" s="1"/>
  <c r="I7" i="34" s="1"/>
  <c r="C7" i="36"/>
  <c r="C46" i="36" s="1"/>
  <c r="F38" i="43"/>
  <c r="K86" i="43"/>
  <c r="J86" i="43"/>
  <c r="D86" i="43"/>
  <c r="M87" i="43"/>
  <c r="N87" i="43" s="1"/>
  <c r="K82" i="43"/>
  <c r="J82" i="43" s="1"/>
  <c r="D82" i="43"/>
  <c r="M83" i="43"/>
  <c r="N83" i="43"/>
  <c r="D117" i="43"/>
  <c r="E117" i="43"/>
  <c r="F117" i="43" s="1"/>
  <c r="G117" i="43"/>
  <c r="H117" i="43" s="1"/>
  <c r="E105" i="43"/>
  <c r="M12" i="43"/>
  <c r="M8" i="43"/>
  <c r="N7" i="43"/>
  <c r="M3" i="43"/>
  <c r="M11" i="43"/>
  <c r="N8" i="43"/>
  <c r="H8" i="44"/>
  <c r="H12" i="44"/>
  <c r="C63" i="39"/>
  <c r="G64" i="39"/>
  <c r="C64" i="39"/>
  <c r="M85" i="43"/>
  <c r="N85" i="43"/>
  <c r="K85" i="43"/>
  <c r="J85" i="43"/>
  <c r="D85" i="43"/>
  <c r="M82" i="43"/>
  <c r="N82" i="43" s="1"/>
  <c r="K83" i="43"/>
  <c r="J83" i="43" s="1"/>
  <c r="D83" i="43"/>
  <c r="J107" i="43"/>
  <c r="N105" i="43"/>
  <c r="E106" i="43"/>
  <c r="M107" i="43"/>
  <c r="M104" i="43"/>
  <c r="B115" i="43"/>
  <c r="C115" i="43" s="1"/>
  <c r="D118" i="43"/>
  <c r="E118" i="43" s="1"/>
  <c r="F118" i="43"/>
  <c r="M7" i="15"/>
  <c r="J6" i="15" s="1"/>
  <c r="F35" i="15"/>
  <c r="F64" i="15" s="1"/>
  <c r="E18" i="1"/>
  <c r="C17" i="15"/>
  <c r="A2" i="9"/>
  <c r="S23" i="40"/>
  <c r="S38" i="40"/>
  <c r="AB31" i="40"/>
  <c r="AC14" i="40"/>
  <c r="AC13" i="40"/>
  <c r="S14" i="40"/>
  <c r="S31" i="40"/>
  <c r="U15" i="40"/>
  <c r="S11" i="40"/>
  <c r="AB32" i="39"/>
  <c r="W42" i="39"/>
  <c r="W32" i="39"/>
  <c r="AA32" i="39"/>
  <c r="S11" i="39"/>
  <c r="AA25" i="39"/>
  <c r="U40" i="39"/>
  <c r="AC41" i="39"/>
  <c r="W36" i="39"/>
  <c r="S34" i="39"/>
  <c r="S39" i="39"/>
  <c r="U9" i="39"/>
  <c r="S20" i="36"/>
  <c r="S8" i="36"/>
  <c r="AB34" i="35"/>
  <c r="U33" i="35"/>
  <c r="S36" i="35"/>
  <c r="AA33" i="35"/>
  <c r="AA29" i="35"/>
  <c r="S22" i="35"/>
  <c r="U28" i="35"/>
  <c r="AB27" i="35"/>
  <c r="S26" i="35"/>
  <c r="AB26" i="35"/>
  <c r="AC16" i="35"/>
  <c r="S28" i="35"/>
  <c r="U29" i="37"/>
  <c r="U30" i="37"/>
  <c r="S40" i="37"/>
  <c r="AC29" i="37"/>
  <c r="U26" i="37"/>
  <c r="U38" i="37"/>
  <c r="W25" i="37"/>
  <c r="G84" i="34"/>
  <c r="J21" i="34"/>
  <c r="AB40" i="34"/>
  <c r="AC23" i="34"/>
  <c r="AB28" i="34"/>
  <c r="AB37" i="34"/>
  <c r="W41" i="34"/>
  <c r="AA45" i="34"/>
  <c r="AB35" i="34"/>
  <c r="W29" i="34"/>
  <c r="W43" i="34"/>
  <c r="U34" i="34"/>
  <c r="AC25" i="34"/>
  <c r="W44" i="34"/>
  <c r="AB44" i="34"/>
  <c r="AA33" i="34"/>
  <c r="AB47" i="34"/>
  <c r="AB14" i="34"/>
  <c r="AA29" i="34"/>
  <c r="AB13" i="34"/>
  <c r="S13" i="34"/>
  <c r="AB29" i="34"/>
  <c r="U19" i="33"/>
  <c r="AA43" i="33"/>
  <c r="U33" i="33"/>
  <c r="AA28" i="33"/>
  <c r="U30" i="33"/>
  <c r="S39" i="33"/>
  <c r="W35" i="33"/>
  <c r="W40" i="33"/>
  <c r="W26" i="33"/>
  <c r="AC45" i="33"/>
  <c r="AA19" i="33"/>
  <c r="G83" i="21"/>
  <c r="J21" i="21"/>
  <c r="S27" i="21"/>
  <c r="AA32" i="21"/>
  <c r="AB25" i="21"/>
  <c r="U40" i="21"/>
  <c r="S46" i="21"/>
  <c r="AC46" i="21"/>
  <c r="AA26" i="21"/>
  <c r="W10" i="21"/>
  <c r="W12" i="21"/>
  <c r="S35" i="21"/>
  <c r="C15" i="39"/>
  <c r="C17" i="39"/>
  <c r="C19" i="39"/>
  <c r="C15" i="40"/>
  <c r="C17" i="40"/>
  <c r="B54" i="43"/>
  <c r="U30" i="40"/>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U33" i="37"/>
  <c r="S33" i="37"/>
  <c r="S35" i="37"/>
  <c r="AA19" i="37"/>
  <c r="S19" i="37"/>
  <c r="AB19" i="37"/>
  <c r="AC15" i="37"/>
  <c r="W15" i="37"/>
  <c r="AC21" i="34"/>
  <c r="W21" i="34"/>
  <c r="AC21" i="21"/>
  <c r="W21" i="21"/>
  <c r="M86" i="43"/>
  <c r="N86" i="43"/>
  <c r="F34" i="11"/>
  <c r="E19" i="1"/>
  <c r="D20" i="1"/>
  <c r="D18" i="1"/>
  <c r="F19" i="1"/>
  <c r="F18" i="1"/>
  <c r="C11" i="12" s="1"/>
  <c r="D19" i="1"/>
  <c r="K87" i="43"/>
  <c r="J87" i="43" s="1"/>
  <c r="D87" i="43"/>
  <c r="L106" i="9"/>
  <c r="A18" i="55"/>
  <c r="B48" i="60" s="1"/>
  <c r="J22" i="43"/>
  <c r="M84" i="43"/>
  <c r="N84" i="43"/>
  <c r="K84" i="43"/>
  <c r="J84" i="43"/>
  <c r="D84" i="43"/>
  <c r="M81" i="43"/>
  <c r="N81" i="43" s="1"/>
  <c r="K81" i="43"/>
  <c r="J81" i="43" s="1"/>
  <c r="D81" i="43"/>
  <c r="M88" i="43"/>
  <c r="N88" i="43"/>
  <c r="K88" i="43"/>
  <c r="J88" i="43"/>
  <c r="D88" i="43"/>
  <c r="I114" i="57"/>
  <c r="D131" i="57" s="1"/>
  <c r="H14" i="62" s="1"/>
  <c r="B7" i="62" s="1"/>
  <c r="B41" i="1"/>
  <c r="M27" i="15" s="1"/>
  <c r="E81" i="43"/>
  <c r="B79" i="43" s="1"/>
  <c r="C13" i="12"/>
  <c r="C36" i="11"/>
  <c r="D118" i="57"/>
  <c r="D119" i="57"/>
  <c r="I115" i="57" s="1"/>
  <c r="D132" i="57" s="1"/>
  <c r="D134" i="57"/>
  <c r="D130" i="9"/>
  <c r="D13" i="52"/>
  <c r="N46" i="9"/>
  <c r="H9" i="44"/>
  <c r="H7" i="44"/>
  <c r="H10" i="44"/>
  <c r="N12" i="43"/>
  <c r="N4" i="43"/>
  <c r="M7" i="43"/>
  <c r="C6" i="43" s="1"/>
  <c r="N1" i="43"/>
  <c r="M10" i="43"/>
  <c r="M2" i="43"/>
  <c r="H15" i="44"/>
  <c r="H5" i="44"/>
  <c r="N10" i="43"/>
  <c r="N2" i="43"/>
  <c r="G15" i="47"/>
  <c r="N11" i="43"/>
  <c r="N9" i="43"/>
  <c r="M4" i="43"/>
  <c r="N5" i="43"/>
  <c r="N3" i="43"/>
  <c r="M9" i="43"/>
  <c r="E17" i="43"/>
  <c r="N17" i="43"/>
  <c r="L17" i="43"/>
  <c r="O17" i="43"/>
  <c r="M17" i="43"/>
  <c r="C15" i="59"/>
  <c r="D15" i="59"/>
  <c r="D16" i="59"/>
  <c r="B17" i="59"/>
  <c r="B16" i="59" s="1"/>
  <c r="AB17" i="59"/>
  <c r="U17" i="59"/>
  <c r="AA16" i="59"/>
  <c r="X16" i="59"/>
  <c r="AB16" i="59"/>
  <c r="AA15" i="59"/>
  <c r="Y15" i="59"/>
  <c r="Z15" i="59"/>
  <c r="Y13" i="59"/>
  <c r="Z13" i="59"/>
  <c r="AB13" i="59"/>
  <c r="AB11" i="59"/>
  <c r="Z12" i="59"/>
  <c r="X13" i="59"/>
  <c r="X11" i="59"/>
  <c r="AA13" i="59"/>
  <c r="AA11" i="59"/>
  <c r="AB12" i="59"/>
  <c r="X12" i="59"/>
  <c r="U13" i="59"/>
  <c r="J30" i="35"/>
  <c r="H30" i="35"/>
  <c r="U30" i="35" s="1"/>
  <c r="N56" i="9"/>
  <c r="O56" i="9"/>
  <c r="O58" i="57"/>
  <c r="K58" i="57"/>
  <c r="K59" i="57"/>
  <c r="K61" i="57" s="1"/>
  <c r="K63" i="57" s="1"/>
  <c r="N58" i="57"/>
  <c r="K56" i="9"/>
  <c r="K57" i="9" s="1"/>
  <c r="K59" i="9"/>
  <c r="K61" i="9" s="1"/>
  <c r="L58" i="57"/>
  <c r="C14" i="59"/>
  <c r="C13" i="59"/>
  <c r="X3" i="59"/>
  <c r="Y3" i="59"/>
  <c r="Z3" i="59"/>
  <c r="D14" i="59"/>
  <c r="F48" i="43"/>
  <c r="H50" i="43" s="1"/>
  <c r="S17" i="59"/>
  <c r="B15" i="59"/>
  <c r="B14" i="59" s="1"/>
  <c r="B13" i="59"/>
  <c r="AB30" i="35"/>
  <c r="I116" i="57"/>
  <c r="D133" i="57" s="1"/>
  <c r="D120" i="57"/>
  <c r="I114" i="9"/>
  <c r="D129" i="9"/>
  <c r="I112" i="9"/>
  <c r="D116" i="9"/>
  <c r="D114" i="9"/>
  <c r="D115" i="9"/>
  <c r="AA27" i="34"/>
  <c r="AC11" i="34"/>
  <c r="AC33" i="34"/>
  <c r="S34" i="34"/>
  <c r="W34" i="34"/>
  <c r="AC37" i="34"/>
  <c r="S37" i="34"/>
  <c r="AB8" i="34"/>
  <c r="D59" i="43"/>
  <c r="E59" i="43" s="1"/>
  <c r="B57" i="43"/>
  <c r="D116" i="43"/>
  <c r="E116" i="43"/>
  <c r="F116" i="43" s="1"/>
  <c r="G116" i="43" s="1"/>
  <c r="H116" i="43" s="1"/>
  <c r="B116" i="43"/>
  <c r="C116" i="43" s="1"/>
  <c r="B117" i="43"/>
  <c r="C117" i="43" s="1"/>
  <c r="C105" i="43"/>
  <c r="D105" i="43"/>
  <c r="L104" i="43"/>
  <c r="H86" i="43"/>
  <c r="H84" i="43"/>
  <c r="F59" i="43"/>
  <c r="H62" i="43" s="1"/>
  <c r="D42" i="50"/>
  <c r="D43" i="50" s="1"/>
  <c r="F70" i="43"/>
  <c r="H70" i="43" s="1"/>
  <c r="D18" i="50"/>
  <c r="B31" i="60" s="1"/>
  <c r="A10" i="52"/>
  <c r="B66" i="60"/>
  <c r="G26" i="47"/>
  <c r="H83" i="43"/>
  <c r="B20" i="60"/>
  <c r="C18" i="50"/>
  <c r="AA8" i="37"/>
  <c r="AC8" i="37"/>
  <c r="AC36" i="37"/>
  <c r="S36" i="37"/>
  <c r="S30" i="37"/>
  <c r="AA29" i="37"/>
  <c r="C21" i="50"/>
  <c r="C10" i="11"/>
  <c r="E13" i="1" s="1"/>
  <c r="B103" i="9"/>
  <c r="C40" i="11"/>
  <c r="C47" i="11" s="1"/>
  <c r="D45" i="11"/>
  <c r="J18" i="15"/>
  <c r="C19" i="11"/>
  <c r="B105" i="57"/>
  <c r="C118" i="57"/>
  <c r="H114" i="57" s="1"/>
  <c r="S29" i="31"/>
  <c r="C116" i="57"/>
  <c r="H112" i="57"/>
  <c r="C17" i="12"/>
  <c r="B36" i="50"/>
  <c r="B56" i="60"/>
  <c r="C16" i="43"/>
  <c r="J20" i="15"/>
  <c r="D127" i="9"/>
  <c r="C63" i="15"/>
  <c r="G118" i="43"/>
  <c r="H118" i="43"/>
  <c r="I117" i="43"/>
  <c r="J117" i="43"/>
  <c r="K117" i="43" s="1"/>
  <c r="L117" i="43"/>
  <c r="M117" i="43" s="1"/>
  <c r="M106" i="43"/>
  <c r="M102" i="43"/>
  <c r="I105" i="43"/>
  <c r="E107" i="43"/>
  <c r="N103" i="43"/>
  <c r="J106" i="43"/>
  <c r="N104" i="43"/>
  <c r="B118" i="43"/>
  <c r="C118" i="43" s="1"/>
  <c r="I116" i="43"/>
  <c r="J116" i="43" s="1"/>
  <c r="K116" i="43"/>
  <c r="L116" i="43" s="1"/>
  <c r="M116" i="43" s="1"/>
  <c r="I115" i="43"/>
  <c r="J115" i="43"/>
  <c r="K115" i="43" s="1"/>
  <c r="L115" i="43"/>
  <c r="M115" i="43" s="1"/>
  <c r="H49" i="43"/>
  <c r="B13" i="1"/>
  <c r="L49" i="15" s="1"/>
  <c r="F102" i="43"/>
  <c r="J103" i="43"/>
  <c r="M103" i="43"/>
  <c r="M105" i="43"/>
  <c r="E22" i="43"/>
  <c r="D22" i="43"/>
  <c r="C21" i="43" s="1"/>
  <c r="H22" i="43"/>
  <c r="B39" i="50"/>
  <c r="B57" i="60"/>
  <c r="J105" i="43"/>
  <c r="I104" i="43"/>
  <c r="D107" i="43"/>
  <c r="D106" i="43"/>
  <c r="H105" i="43"/>
  <c r="L107" i="43"/>
  <c r="L103" i="43"/>
  <c r="L105" i="43"/>
  <c r="L106" i="43"/>
  <c r="L102" i="43"/>
  <c r="C102" i="43"/>
  <c r="S7" i="43"/>
  <c r="C106" i="43"/>
  <c r="C107" i="43"/>
  <c r="C103" i="43"/>
  <c r="G107" i="43"/>
  <c r="G102" i="43"/>
  <c r="K102" i="43"/>
  <c r="A4" i="52"/>
  <c r="A6" i="54"/>
  <c r="B7" i="60" s="1"/>
  <c r="A4" i="54"/>
  <c r="B6" i="60" s="1"/>
  <c r="A121" i="9"/>
  <c r="C13" i="50"/>
  <c r="C94" i="9"/>
  <c r="C109" i="9"/>
  <c r="H106" i="9"/>
  <c r="C111" i="9"/>
  <c r="H108" i="9"/>
  <c r="H105" i="9"/>
  <c r="C110" i="9"/>
  <c r="H107" i="9" s="1"/>
  <c r="D21" i="50"/>
  <c r="B33" i="60" s="1"/>
  <c r="C12" i="50"/>
  <c r="C96" i="57"/>
  <c r="C113" i="57"/>
  <c r="H108" i="57" s="1"/>
  <c r="C115" i="57"/>
  <c r="H110" i="57" s="1"/>
  <c r="C34" i="15"/>
  <c r="C14" i="50"/>
  <c r="X9" i="59"/>
  <c r="Y9" i="59"/>
  <c r="Z9" i="59"/>
  <c r="AF3" i="59"/>
  <c r="P25" i="43"/>
  <c r="C32" i="15"/>
  <c r="S4" i="43"/>
  <c r="S6" i="43"/>
  <c r="S5" i="43"/>
  <c r="C23" i="43"/>
  <c r="S3" i="43"/>
  <c r="S2" i="43"/>
  <c r="P24" i="43"/>
  <c r="B66" i="40" s="1"/>
  <c r="P21" i="43"/>
  <c r="B71" i="39" s="1"/>
  <c r="P23" i="43"/>
  <c r="P22" i="43"/>
  <c r="G58" i="21"/>
  <c r="H58" i="21" s="1"/>
  <c r="I58" i="21" s="1"/>
  <c r="J58" i="21" s="1"/>
  <c r="F41" i="15"/>
  <c r="F70" i="15" s="1"/>
  <c r="C33" i="15"/>
  <c r="D55" i="9"/>
  <c r="N53" i="9"/>
  <c r="D56" i="9"/>
  <c r="N54" i="9"/>
  <c r="D59" i="9"/>
  <c r="N55" i="9"/>
  <c r="N49" i="9"/>
  <c r="M67" i="9" s="1"/>
  <c r="N67" i="9" s="1"/>
  <c r="M65" i="9"/>
  <c r="N65" i="9" s="1"/>
  <c r="M63" i="9"/>
  <c r="N63" i="9" s="1"/>
  <c r="N69" i="9" s="1"/>
  <c r="O69" i="9" s="1"/>
  <c r="D20" i="9"/>
  <c r="E2" i="21"/>
  <c r="C19" i="9"/>
  <c r="C20" i="9"/>
  <c r="E2" i="11"/>
  <c r="E2" i="36"/>
  <c r="D19" i="9"/>
  <c r="E2" i="35"/>
  <c r="E2" i="33"/>
  <c r="H23" i="31"/>
  <c r="E2" i="34"/>
  <c r="E2" i="37"/>
  <c r="B14" i="1" l="1"/>
  <c r="H10" i="39" s="1"/>
  <c r="I20" i="43"/>
  <c r="C1" i="61"/>
  <c r="F7" i="15"/>
  <c r="B51" i="1"/>
  <c r="J52" i="15"/>
  <c r="M60" i="15" s="1"/>
  <c r="W34" i="33"/>
  <c r="B10" i="48"/>
  <c r="D10" i="48" s="1"/>
  <c r="B12" i="48"/>
  <c r="D12" i="48" s="1"/>
  <c r="F15" i="48"/>
  <c r="H15" i="48" s="1"/>
  <c r="C18" i="57"/>
  <c r="D18" i="57" s="1"/>
  <c r="L60" i="15"/>
  <c r="Q72" i="15" s="1"/>
  <c r="N60" i="15"/>
  <c r="B11" i="48"/>
  <c r="D11" i="48" s="1"/>
  <c r="F12" i="48"/>
  <c r="H12" i="48" s="1"/>
  <c r="F5" i="48"/>
  <c r="H5" i="48" s="1"/>
  <c r="F10" i="48"/>
  <c r="H10" i="48" s="1"/>
  <c r="B9" i="48"/>
  <c r="D9" i="48" s="1"/>
  <c r="B6" i="48"/>
  <c r="D6" i="48" s="1"/>
  <c r="B4" i="48"/>
  <c r="D4" i="48" s="1"/>
  <c r="F7" i="48"/>
  <c r="H7" i="48" s="1"/>
  <c r="F13" i="48"/>
  <c r="H13" i="48" s="1"/>
  <c r="B8" i="48"/>
  <c r="D8" i="48" s="1"/>
  <c r="F9" i="48"/>
  <c r="H9" i="48" s="1"/>
  <c r="B13" i="48"/>
  <c r="D13" i="48" s="1"/>
  <c r="F8" i="48"/>
  <c r="H8" i="48" s="1"/>
  <c r="F6" i="48"/>
  <c r="H6" i="48" s="1"/>
  <c r="F4" i="48"/>
  <c r="H4" i="48" s="1"/>
  <c r="B7" i="48"/>
  <c r="D7" i="48" s="1"/>
  <c r="F11" i="48"/>
  <c r="H11" i="48" s="1"/>
  <c r="B5" i="48"/>
  <c r="D5" i="48" s="1"/>
  <c r="F14" i="48"/>
  <c r="H14" i="48" s="1"/>
  <c r="G115" i="43"/>
  <c r="H115" i="43" s="1"/>
  <c r="D113" i="43"/>
  <c r="I113" i="9"/>
  <c r="D128" i="9" s="1"/>
  <c r="D41" i="50"/>
  <c r="B63" i="60" s="1"/>
  <c r="B12" i="59"/>
  <c r="B11" i="59" s="1"/>
  <c r="B10" i="59" s="1"/>
  <c r="B9" i="59" s="1"/>
  <c r="S13" i="59"/>
  <c r="C12" i="59"/>
  <c r="T13" i="59"/>
  <c r="W30" i="35"/>
  <c r="AC30" i="35"/>
  <c r="AC33" i="37"/>
  <c r="W33" i="37"/>
  <c r="J56" i="43"/>
  <c r="D56" i="43"/>
  <c r="J54" i="43"/>
  <c r="D54" i="43"/>
  <c r="U11" i="34"/>
  <c r="AB11" i="34"/>
  <c r="U25" i="34"/>
  <c r="AB25" i="34"/>
  <c r="AA40" i="40"/>
  <c r="S40" i="40"/>
  <c r="AC40" i="40"/>
  <c r="W40" i="40"/>
  <c r="S25" i="34"/>
  <c r="AA25" i="34"/>
  <c r="AC29" i="35"/>
  <c r="W29" i="35"/>
  <c r="AC34" i="21"/>
  <c r="W34" i="21"/>
  <c r="AC40" i="34"/>
  <c r="W40" i="34"/>
  <c r="W36" i="34"/>
  <c r="AC36" i="34"/>
  <c r="AA45" i="21"/>
  <c r="S45" i="21"/>
  <c r="D103" i="43"/>
  <c r="D104" i="43"/>
  <c r="H107" i="43"/>
  <c r="H102" i="43"/>
  <c r="H104" i="43"/>
  <c r="H106" i="43"/>
  <c r="H103" i="43"/>
  <c r="G105" i="43"/>
  <c r="G104" i="43"/>
  <c r="G106" i="43"/>
  <c r="K107" i="43"/>
  <c r="K106" i="43"/>
  <c r="K103" i="43"/>
  <c r="K104" i="43"/>
  <c r="K105" i="43"/>
  <c r="AC17" i="21"/>
  <c r="W17" i="21"/>
  <c r="AB23" i="34"/>
  <c r="U23" i="34"/>
  <c r="F15" i="47"/>
  <c r="B13" i="47" s="1"/>
  <c r="F37" i="47"/>
  <c r="B35" i="47" s="1"/>
  <c r="AB9" i="37"/>
  <c r="U9" i="37"/>
  <c r="S23" i="37"/>
  <c r="AA23" i="37"/>
  <c r="U17" i="37"/>
  <c r="AB17" i="37"/>
  <c r="S25" i="21"/>
  <c r="AA25" i="21"/>
  <c r="AA43" i="39"/>
  <c r="S43" i="39"/>
  <c r="AC38" i="37"/>
  <c r="W38" i="37"/>
  <c r="S13" i="37"/>
  <c r="AA13" i="37"/>
  <c r="AB25" i="36"/>
  <c r="U25" i="36"/>
  <c r="AC25" i="36"/>
  <c r="W25" i="36"/>
  <c r="AA35" i="35"/>
  <c r="S35" i="35"/>
  <c r="AB25" i="35"/>
  <c r="U25" i="35"/>
  <c r="W25" i="35"/>
  <c r="AC25" i="35"/>
  <c r="AC13" i="35"/>
  <c r="W13" i="35"/>
  <c r="AC47" i="34"/>
  <c r="W47" i="34"/>
  <c r="W45" i="34"/>
  <c r="AC45" i="34"/>
  <c r="S31" i="34"/>
  <c r="AA31" i="34"/>
  <c r="U14" i="33"/>
  <c r="AB14" i="33"/>
  <c r="AB36" i="37"/>
  <c r="U36" i="37"/>
  <c r="W13" i="36"/>
  <c r="AC13" i="36"/>
  <c r="AB32" i="36"/>
  <c r="U32" i="36"/>
  <c r="W26" i="36"/>
  <c r="AC26" i="36"/>
  <c r="AC11" i="35"/>
  <c r="W11" i="35"/>
  <c r="W46" i="34"/>
  <c r="AC46" i="34"/>
  <c r="AA31" i="33"/>
  <c r="S31" i="33"/>
  <c r="AC33" i="35"/>
  <c r="W33" i="35"/>
  <c r="AB10" i="34"/>
  <c r="U10" i="34"/>
  <c r="W19" i="34"/>
  <c r="AC19" i="34"/>
  <c r="AA38" i="34"/>
  <c r="S38" i="34"/>
  <c r="AA23" i="35"/>
  <c r="S23" i="35"/>
  <c r="AA12" i="36"/>
  <c r="S12" i="36"/>
  <c r="W11" i="40"/>
  <c r="AC11" i="40"/>
  <c r="U27" i="40"/>
  <c r="AB27" i="40"/>
  <c r="W30" i="40"/>
  <c r="AC30" i="40"/>
  <c r="U36" i="40"/>
  <c r="AB36" i="40"/>
  <c r="AA29" i="39"/>
  <c r="S29" i="39"/>
  <c r="W17" i="39"/>
  <c r="AC17" i="39"/>
  <c r="U29" i="39"/>
  <c r="AB29" i="39"/>
  <c r="AA17" i="39"/>
  <c r="S17" i="39"/>
  <c r="AB39" i="37"/>
  <c r="U39" i="37"/>
  <c r="AB32" i="37"/>
  <c r="U32" i="37"/>
  <c r="AA10" i="21"/>
  <c r="S10" i="21"/>
  <c r="AA23" i="34"/>
  <c r="S23" i="34"/>
  <c r="AC14" i="35"/>
  <c r="W14" i="35"/>
  <c r="J13" i="33"/>
  <c r="H13" i="33"/>
  <c r="F13" i="33"/>
  <c r="H29" i="33"/>
  <c r="F29" i="33"/>
  <c r="AB31" i="33"/>
  <c r="U31" i="33"/>
  <c r="H45" i="33"/>
  <c r="F45" i="33"/>
  <c r="J12" i="34"/>
  <c r="H12" i="34"/>
  <c r="H30" i="34"/>
  <c r="F30" i="34"/>
  <c r="J30" i="34"/>
  <c r="J12" i="35"/>
  <c r="H12" i="35"/>
  <c r="F12" i="35"/>
  <c r="AC28" i="36"/>
  <c r="W28" i="36"/>
  <c r="H33" i="36"/>
  <c r="J33" i="36"/>
  <c r="F33" i="36"/>
  <c r="AC31" i="37"/>
  <c r="W31" i="37"/>
  <c r="AA40" i="39"/>
  <c r="S40" i="39"/>
  <c r="H12" i="39"/>
  <c r="J12" i="39"/>
  <c r="AC21" i="39"/>
  <c r="W21" i="39"/>
  <c r="D13" i="59"/>
  <c r="C34" i="11"/>
  <c r="C14" i="15"/>
  <c r="AB35" i="37"/>
  <c r="U35" i="37"/>
  <c r="AC38" i="40"/>
  <c r="J55" i="43"/>
  <c r="D55" i="43"/>
  <c r="D50" i="43"/>
  <c r="J53" i="43"/>
  <c r="D53" i="43"/>
  <c r="U31" i="21"/>
  <c r="AB40" i="40"/>
  <c r="U40" i="40"/>
  <c r="W31" i="21"/>
  <c r="AC31" i="21"/>
  <c r="W39" i="34"/>
  <c r="AC39" i="34"/>
  <c r="U34" i="21"/>
  <c r="AB34" i="21"/>
  <c r="AA40" i="34"/>
  <c r="S40" i="34"/>
  <c r="F104" i="43"/>
  <c r="F106" i="43"/>
  <c r="F103" i="43"/>
  <c r="F105" i="43"/>
  <c r="F107" i="43"/>
  <c r="J102" i="43"/>
  <c r="J104" i="43"/>
  <c r="E102" i="43"/>
  <c r="E104" i="43"/>
  <c r="E103" i="43"/>
  <c r="I102" i="43"/>
  <c r="I103" i="43"/>
  <c r="I106" i="43"/>
  <c r="I107" i="43"/>
  <c r="S23" i="21"/>
  <c r="AB17" i="21"/>
  <c r="U17" i="21"/>
  <c r="AA17" i="21"/>
  <c r="S17" i="21"/>
  <c r="AC23" i="21"/>
  <c r="W23" i="21"/>
  <c r="AA35" i="34"/>
  <c r="S35" i="34"/>
  <c r="W11" i="39"/>
  <c r="AC11" i="39"/>
  <c r="U37" i="39"/>
  <c r="AB37" i="39"/>
  <c r="S19" i="40"/>
  <c r="AA19" i="40"/>
  <c r="F26" i="47"/>
  <c r="B24" i="47" s="1"/>
  <c r="AA9" i="37"/>
  <c r="S9" i="37"/>
  <c r="W9" i="37"/>
  <c r="AC9" i="37"/>
  <c r="U19" i="34"/>
  <c r="AB19" i="34"/>
  <c r="S32" i="37"/>
  <c r="AA32" i="37"/>
  <c r="S46" i="33"/>
  <c r="AC14" i="34"/>
  <c r="U43" i="39"/>
  <c r="AB43" i="39"/>
  <c r="AC28" i="37"/>
  <c r="W28" i="37"/>
  <c r="W13" i="37"/>
  <c r="AC13" i="37"/>
  <c r="U13" i="37"/>
  <c r="AB13" i="37"/>
  <c r="AB35" i="35"/>
  <c r="U35" i="35"/>
  <c r="AC35" i="35"/>
  <c r="W35" i="35"/>
  <c r="S25" i="35"/>
  <c r="AA25" i="35"/>
  <c r="U13" i="35"/>
  <c r="AB13" i="35"/>
  <c r="S13" i="35"/>
  <c r="AA13" i="35"/>
  <c r="U45" i="34"/>
  <c r="AB45" i="34"/>
  <c r="AB31" i="34"/>
  <c r="U31" i="34"/>
  <c r="W13" i="34"/>
  <c r="AC13" i="34"/>
  <c r="S13" i="36"/>
  <c r="AA13" i="36"/>
  <c r="AB11" i="36"/>
  <c r="U11" i="36"/>
  <c r="U28" i="36"/>
  <c r="AB28" i="36"/>
  <c r="S46" i="34"/>
  <c r="AA46" i="34"/>
  <c r="W32" i="34"/>
  <c r="AC32" i="34"/>
  <c r="S30" i="35"/>
  <c r="AA30" i="35"/>
  <c r="U26" i="33"/>
  <c r="AB26" i="33"/>
  <c r="AC11" i="33"/>
  <c r="W11" i="33"/>
  <c r="AC15" i="34"/>
  <c r="W15" i="34"/>
  <c r="W34" i="37"/>
  <c r="AC34" i="37"/>
  <c r="W34" i="36"/>
  <c r="AC34" i="36"/>
  <c r="AB23" i="40"/>
  <c r="U23" i="40"/>
  <c r="AA30" i="40"/>
  <c r="S30" i="40"/>
  <c r="S35" i="40"/>
  <c r="AA35" i="40"/>
  <c r="AB11" i="39"/>
  <c r="U11" i="39"/>
  <c r="AC29" i="39"/>
  <c r="W29" i="39"/>
  <c r="AC34" i="39"/>
  <c r="W34" i="39"/>
  <c r="AC23" i="40"/>
  <c r="W23" i="40"/>
  <c r="AA41" i="39"/>
  <c r="S41" i="39"/>
  <c r="AB11" i="40"/>
  <c r="U11" i="40"/>
  <c r="U39" i="34"/>
  <c r="AB22" i="35"/>
  <c r="U22" i="35"/>
  <c r="B71" i="43"/>
  <c r="C21" i="39"/>
  <c r="B49" i="43"/>
  <c r="C27" i="39"/>
  <c r="B74" i="43"/>
  <c r="B65" i="43"/>
  <c r="B85" i="43"/>
  <c r="B41" i="47"/>
  <c r="F9" i="21"/>
  <c r="J9" i="21"/>
  <c r="H9" i="21"/>
  <c r="AC8" i="33"/>
  <c r="W8" i="33"/>
  <c r="S12" i="33"/>
  <c r="AA12" i="33"/>
  <c r="W12" i="33"/>
  <c r="AC12" i="33"/>
  <c r="AA33" i="33"/>
  <c r="S33" i="33"/>
  <c r="AA34" i="33"/>
  <c r="S34" i="33"/>
  <c r="H9" i="33"/>
  <c r="J9" i="33"/>
  <c r="F9" i="33"/>
  <c r="AA9" i="33" s="1"/>
  <c r="E79" i="33"/>
  <c r="F79" i="33" s="1"/>
  <c r="G79" i="33" s="1"/>
  <c r="H17" i="33"/>
  <c r="AB17" i="33" s="1"/>
  <c r="F17" i="33"/>
  <c r="AA17" i="33" s="1"/>
  <c r="E85" i="33"/>
  <c r="F85" i="33" s="1"/>
  <c r="G85" i="33" s="1"/>
  <c r="J23" i="33"/>
  <c r="AC23" i="33" s="1"/>
  <c r="H23" i="33"/>
  <c r="AB23" i="33" s="1"/>
  <c r="F12" i="34"/>
  <c r="J27" i="34"/>
  <c r="H27" i="34"/>
  <c r="H36" i="35"/>
  <c r="J36" i="35"/>
  <c r="W27" i="35"/>
  <c r="AC27" i="35"/>
  <c r="AB22" i="36"/>
  <c r="U22" i="36"/>
  <c r="J23" i="36"/>
  <c r="H23" i="36"/>
  <c r="F23" i="36"/>
  <c r="J33" i="40"/>
  <c r="F33" i="40"/>
  <c r="H33" i="40"/>
  <c r="M64" i="9"/>
  <c r="N64" i="9" s="1"/>
  <c r="M68" i="9"/>
  <c r="N68" i="9" s="1"/>
  <c r="M66" i="9"/>
  <c r="N66" i="9" s="1"/>
  <c r="J58" i="15"/>
  <c r="J56" i="15" s="1"/>
  <c r="J59" i="15" s="1"/>
  <c r="Q48" i="15" s="1"/>
  <c r="D11" i="52"/>
  <c r="S34" i="37"/>
  <c r="AA35" i="39"/>
  <c r="S40" i="33"/>
  <c r="J9" i="35"/>
  <c r="H9" i="35"/>
  <c r="F9" i="35"/>
  <c r="O59" i="59"/>
  <c r="O58" i="59"/>
  <c r="D59" i="59"/>
  <c r="D48" i="59"/>
  <c r="C49" i="59"/>
  <c r="D51" i="59"/>
  <c r="C52" i="59"/>
  <c r="I4" i="47"/>
  <c r="D4" i="47"/>
  <c r="F4" i="47" s="1"/>
  <c r="B2" i="47" s="1"/>
  <c r="D45" i="59"/>
  <c r="T45" i="59"/>
  <c r="C109" i="43"/>
  <c r="E109" i="43"/>
  <c r="G109" i="43"/>
  <c r="I109" i="43"/>
  <c r="K109" i="43"/>
  <c r="M109" i="43"/>
  <c r="C30" i="58"/>
  <c r="C31" i="58"/>
  <c r="B66" i="43"/>
  <c r="Y22" i="59"/>
  <c r="Z22" i="59" s="1"/>
  <c r="C23" i="59"/>
  <c r="F23" i="59"/>
  <c r="F24" i="59" s="1"/>
  <c r="F25" i="59" s="1"/>
  <c r="V25" i="59" s="1"/>
  <c r="X26" i="59"/>
  <c r="B27" i="59"/>
  <c r="B28" i="59" s="1"/>
  <c r="B29" i="59" s="1"/>
  <c r="S29" i="59" s="1"/>
  <c r="Y30" i="59"/>
  <c r="Z30" i="59" s="1"/>
  <c r="C31" i="59"/>
  <c r="F31" i="59"/>
  <c r="F32" i="59" s="1"/>
  <c r="F33" i="59" s="1"/>
  <c r="V33" i="59" s="1"/>
  <c r="V69" i="59"/>
  <c r="F68" i="59"/>
  <c r="F67" i="59" s="1"/>
  <c r="AB15" i="59"/>
  <c r="X15" i="59"/>
  <c r="X14" i="59"/>
  <c r="AB10" i="59"/>
  <c r="U9" i="59"/>
  <c r="Y7" i="59"/>
  <c r="Z7" i="59" s="1"/>
  <c r="AB7" i="59"/>
  <c r="H17" i="43"/>
  <c r="C92" i="9"/>
  <c r="C94" i="57"/>
  <c r="K100" i="43"/>
  <c r="G100" i="43"/>
  <c r="C100" i="43"/>
  <c r="D109" i="43"/>
  <c r="F109" i="43"/>
  <c r="H109" i="43"/>
  <c r="J109" i="43"/>
  <c r="L109" i="43"/>
  <c r="N109" i="43"/>
  <c r="E26" i="58"/>
  <c r="C32" i="58"/>
  <c r="S21" i="21"/>
  <c r="U21" i="37"/>
  <c r="U18" i="35"/>
  <c r="C29" i="39"/>
  <c r="B55" i="43"/>
  <c r="U21" i="59"/>
  <c r="D60" i="59"/>
  <c r="AB21" i="59"/>
  <c r="AB19" i="59"/>
  <c r="AB3" i="59"/>
  <c r="S21" i="59"/>
  <c r="C76" i="59"/>
  <c r="C68" i="59"/>
  <c r="D61" i="59"/>
  <c r="X20" i="59"/>
  <c r="Y20" i="59"/>
  <c r="Z20" i="59" s="1"/>
  <c r="Y19" i="59"/>
  <c r="Z19" i="59" s="1"/>
  <c r="X22" i="59"/>
  <c r="B23" i="59"/>
  <c r="B24" i="59" s="1"/>
  <c r="B25" i="59" s="1"/>
  <c r="S25" i="59" s="1"/>
  <c r="X21" i="59"/>
  <c r="X18" i="59"/>
  <c r="Y26" i="59"/>
  <c r="Z26" i="59" s="1"/>
  <c r="C27" i="59"/>
  <c r="AB26" i="59"/>
  <c r="F27" i="59"/>
  <c r="F28" i="59" s="1"/>
  <c r="F29" i="59" s="1"/>
  <c r="V29" i="59" s="1"/>
  <c r="AB27" i="59"/>
  <c r="Y28" i="59"/>
  <c r="Z28" i="59" s="1"/>
  <c r="Y29" i="59"/>
  <c r="Z29" i="59" s="1"/>
  <c r="AB29" i="59"/>
  <c r="X30" i="59"/>
  <c r="B31" i="59"/>
  <c r="B32" i="59" s="1"/>
  <c r="B33" i="59" s="1"/>
  <c r="S33" i="59" s="1"/>
  <c r="C40" i="59"/>
  <c r="D40" i="59" s="1"/>
  <c r="D39" i="59"/>
  <c r="F48" i="59"/>
  <c r="F49" i="59" s="1"/>
  <c r="V49" i="59" s="1"/>
  <c r="F56" i="59"/>
  <c r="F57" i="59" s="1"/>
  <c r="V57" i="59" s="1"/>
  <c r="P58" i="59"/>
  <c r="P59" i="59"/>
  <c r="S69" i="59"/>
  <c r="B68" i="59"/>
  <c r="B67" i="59" s="1"/>
  <c r="AA25" i="59"/>
  <c r="X24" i="59"/>
  <c r="X17" i="59"/>
  <c r="AB14" i="59"/>
  <c r="Y14" i="59"/>
  <c r="Z14" i="59" s="1"/>
  <c r="AA9" i="59"/>
  <c r="AB9" i="59"/>
  <c r="X6" i="59"/>
  <c r="X8" i="59"/>
  <c r="X10" i="59"/>
  <c r="X7" i="59"/>
  <c r="AA8" i="59"/>
  <c r="Y5" i="59"/>
  <c r="Z5" i="59" s="1"/>
  <c r="Y6" i="59"/>
  <c r="Z6" i="59" s="1"/>
  <c r="AB5" i="59"/>
  <c r="AB6" i="59"/>
  <c r="X5" i="59"/>
  <c r="AA5" i="59"/>
  <c r="AA22" i="59"/>
  <c r="X23" i="59"/>
  <c r="AA24" i="59"/>
  <c r="X25" i="59"/>
  <c r="AA26" i="59"/>
  <c r="X27" i="59"/>
  <c r="AA28" i="59"/>
  <c r="X29" i="59"/>
  <c r="AA30" i="59"/>
  <c r="P61" i="59"/>
  <c r="AA17" i="59"/>
  <c r="F16" i="59"/>
  <c r="F15" i="59" s="1"/>
  <c r="F14" i="59" s="1"/>
  <c r="F13" i="59" s="1"/>
  <c r="V17" i="59"/>
  <c r="Y17" i="59"/>
  <c r="Z17" i="59" s="1"/>
  <c r="Y16" i="59"/>
  <c r="Z16" i="59" s="1"/>
  <c r="AA14" i="59"/>
  <c r="AA12" i="59"/>
  <c r="Y11" i="59"/>
  <c r="Z11" i="59" s="1"/>
  <c r="Y10" i="59"/>
  <c r="Z10" i="59" s="1"/>
  <c r="AA10" i="59"/>
  <c r="Y8" i="59"/>
  <c r="Z8" i="59" s="1"/>
  <c r="AB8" i="59"/>
  <c r="AA7" i="59"/>
  <c r="AA6" i="59"/>
  <c r="J36" i="33"/>
  <c r="AC36" i="33" s="1"/>
  <c r="F111" i="33"/>
  <c r="F36" i="33"/>
  <c r="F32" i="33"/>
  <c r="AA32" i="33" s="1"/>
  <c r="H32" i="33"/>
  <c r="AB32" i="33" s="1"/>
  <c r="J32" i="33"/>
  <c r="W32" i="33" s="1"/>
  <c r="H101" i="33"/>
  <c r="I101" i="33" s="1"/>
  <c r="J101" i="33" s="1"/>
  <c r="K101" i="33" s="1"/>
  <c r="L101" i="33" s="1"/>
  <c r="M101" i="33" s="1"/>
  <c r="H66" i="33"/>
  <c r="I66" i="33" s="1"/>
  <c r="F10" i="33"/>
  <c r="H10" i="33"/>
  <c r="U10" i="33" s="1"/>
  <c r="T513" i="31"/>
  <c r="S513" i="31"/>
  <c r="T507" i="31"/>
  <c r="S507" i="31"/>
  <c r="T493" i="31"/>
  <c r="S493" i="31"/>
  <c r="T485" i="31"/>
  <c r="S485" i="31"/>
  <c r="T477" i="31"/>
  <c r="S477" i="31"/>
  <c r="T469" i="31"/>
  <c r="S469" i="31"/>
  <c r="T463" i="31"/>
  <c r="S463" i="31"/>
  <c r="T453" i="31"/>
  <c r="S453" i="31"/>
  <c r="T451" i="31"/>
  <c r="S451" i="31"/>
  <c r="T441" i="31"/>
  <c r="S441" i="31"/>
  <c r="T435" i="31"/>
  <c r="S435" i="31"/>
  <c r="T427" i="31"/>
  <c r="S427" i="31"/>
  <c r="T411" i="31"/>
  <c r="S411" i="31"/>
  <c r="T395" i="31"/>
  <c r="S395" i="31"/>
  <c r="T379" i="31"/>
  <c r="S379" i="31"/>
  <c r="T363" i="31"/>
  <c r="S363" i="31"/>
  <c r="T347" i="31"/>
  <c r="S347" i="31"/>
  <c r="T333" i="31"/>
  <c r="S333" i="31"/>
  <c r="T331" i="31"/>
  <c r="S331" i="31"/>
  <c r="T325" i="31"/>
  <c r="S325" i="31"/>
  <c r="S319" i="31"/>
  <c r="T319" i="31"/>
  <c r="S311" i="31"/>
  <c r="T311" i="31"/>
  <c r="S303" i="31"/>
  <c r="T303" i="31"/>
  <c r="S295" i="31"/>
  <c r="T295" i="31"/>
  <c r="S287" i="31"/>
  <c r="T287" i="31"/>
  <c r="S279" i="31"/>
  <c r="T279" i="31"/>
  <c r="S271" i="31"/>
  <c r="T271" i="31"/>
  <c r="S263" i="31"/>
  <c r="T263" i="31"/>
  <c r="T255" i="31"/>
  <c r="S255" i="31"/>
  <c r="T247" i="31"/>
  <c r="S247" i="31"/>
  <c r="T239" i="31"/>
  <c r="S239" i="31"/>
  <c r="T231" i="31"/>
  <c r="S231" i="31"/>
  <c r="T225" i="31"/>
  <c r="S225" i="31"/>
  <c r="T223" i="31"/>
  <c r="S223" i="31"/>
  <c r="T217" i="31"/>
  <c r="S217" i="31"/>
  <c r="T209" i="31"/>
  <c r="S209" i="31"/>
  <c r="T207" i="31"/>
  <c r="S207" i="31"/>
  <c r="T201" i="31"/>
  <c r="S201" i="31"/>
  <c r="T193" i="31"/>
  <c r="S193" i="31"/>
  <c r="T191" i="31"/>
  <c r="S191" i="31"/>
  <c r="T185" i="31"/>
  <c r="S185" i="31"/>
  <c r="T179" i="31"/>
  <c r="S179" i="31"/>
  <c r="T177" i="31"/>
  <c r="S177" i="31"/>
  <c r="T171" i="31"/>
  <c r="S171" i="31"/>
  <c r="T169" i="31"/>
  <c r="S169" i="31"/>
  <c r="T163" i="31"/>
  <c r="S163" i="31"/>
  <c r="T161" i="31"/>
  <c r="S161" i="31"/>
  <c r="T155" i="31"/>
  <c r="S155" i="31"/>
  <c r="T153" i="31"/>
  <c r="S153" i="31"/>
  <c r="T147" i="31"/>
  <c r="S147" i="31"/>
  <c r="T145" i="31"/>
  <c r="S145" i="31"/>
  <c r="T139" i="31"/>
  <c r="S139" i="31"/>
  <c r="T137" i="31"/>
  <c r="S137" i="31"/>
  <c r="T131" i="31"/>
  <c r="S131" i="31"/>
  <c r="T129" i="31"/>
  <c r="S129" i="31"/>
  <c r="T111" i="31"/>
  <c r="S111" i="31"/>
  <c r="T109" i="31"/>
  <c r="S109" i="31"/>
  <c r="T103" i="31"/>
  <c r="S103" i="31"/>
  <c r="T101" i="31"/>
  <c r="S101" i="31"/>
  <c r="T99" i="31"/>
  <c r="S99" i="31"/>
  <c r="T93" i="31"/>
  <c r="S93" i="31"/>
  <c r="T91" i="31"/>
  <c r="S91" i="31"/>
  <c r="T85" i="31"/>
  <c r="S85" i="31"/>
  <c r="T83" i="31"/>
  <c r="S83" i="31"/>
  <c r="T43" i="31"/>
  <c r="S43" i="31"/>
  <c r="S487" i="31"/>
  <c r="S471" i="31"/>
  <c r="S515" i="31"/>
  <c r="S459" i="31"/>
  <c r="S467" i="31"/>
  <c r="S509" i="31"/>
  <c r="S439" i="31"/>
  <c r="S447" i="31"/>
  <c r="S431" i="31"/>
  <c r="S429" i="31"/>
  <c r="S219" i="31"/>
  <c r="S211" i="31"/>
  <c r="S203" i="31"/>
  <c r="S195" i="31"/>
  <c r="S187" i="31"/>
  <c r="S445" i="31"/>
  <c r="S437" i="31"/>
  <c r="S505" i="31"/>
  <c r="S465" i="31"/>
  <c r="S457"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475" i="31"/>
  <c r="S229" i="31"/>
  <c r="S233" i="31"/>
  <c r="S237" i="31"/>
  <c r="S241" i="31"/>
  <c r="S245" i="31"/>
  <c r="S249" i="31"/>
  <c r="S253" i="31"/>
  <c r="S257" i="31"/>
  <c r="L58" i="15"/>
  <c r="J60" i="15"/>
  <c r="L59" i="15"/>
  <c r="J54" i="15"/>
  <c r="Q50" i="15" s="1"/>
  <c r="I55" i="15"/>
  <c r="S9" i="33"/>
  <c r="AB28" i="33"/>
  <c r="F87" i="33"/>
  <c r="G87" i="33" s="1"/>
  <c r="H87" i="33" s="1"/>
  <c r="I87" i="33" s="1"/>
  <c r="J87" i="33" s="1"/>
  <c r="K87" i="33" s="1"/>
  <c r="L87" i="33" s="1"/>
  <c r="M87" i="33" s="1"/>
  <c r="J25" i="33"/>
  <c r="F25" i="33"/>
  <c r="AA25" i="33" s="1"/>
  <c r="H25" i="33"/>
  <c r="AB25" i="33" s="1"/>
  <c r="S25" i="33"/>
  <c r="U23" i="33"/>
  <c r="S23" i="33"/>
  <c r="W23" i="33"/>
  <c r="U21" i="33"/>
  <c r="W17" i="33"/>
  <c r="S17" i="33"/>
  <c r="U17" i="33"/>
  <c r="F77" i="33"/>
  <c r="G77" i="33" s="1"/>
  <c r="F15" i="33"/>
  <c r="AA15" i="33" s="1"/>
  <c r="J15" i="33"/>
  <c r="AC15" i="33" s="1"/>
  <c r="H15" i="33"/>
  <c r="AB15" i="33" s="1"/>
  <c r="S524" i="31"/>
  <c r="S520" i="31"/>
  <c r="S516" i="31"/>
  <c r="S512" i="31"/>
  <c r="S452" i="31"/>
  <c r="S448" i="31"/>
  <c r="S456" i="31"/>
  <c r="S464" i="31"/>
  <c r="S440" i="31"/>
  <c r="S194" i="31"/>
  <c r="S198" i="31"/>
  <c r="S202" i="31"/>
  <c r="S206" i="31"/>
  <c r="S210" i="31"/>
  <c r="S214" i="31"/>
  <c r="S218" i="31"/>
  <c r="S222" i="31"/>
  <c r="S428"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0" i="31"/>
  <c r="S336" i="31"/>
  <c r="S342" i="31"/>
  <c r="S346" i="31"/>
  <c r="S352" i="31"/>
  <c r="S358" i="31"/>
  <c r="S362" i="31"/>
  <c r="S368" i="31"/>
  <c r="S374" i="31"/>
  <c r="S378" i="31"/>
  <c r="S384" i="31"/>
  <c r="S390" i="31"/>
  <c r="S394" i="31"/>
  <c r="S400" i="31"/>
  <c r="S406" i="31"/>
  <c r="S410" i="31"/>
  <c r="S416" i="31"/>
  <c r="S422" i="31"/>
  <c r="AC27" i="33"/>
  <c r="U27" i="33"/>
  <c r="AA27" i="33"/>
  <c r="S26" i="33"/>
  <c r="AB41" i="33"/>
  <c r="U37" i="33"/>
  <c r="U35" i="33"/>
  <c r="AA35" i="33"/>
  <c r="W39" i="33"/>
  <c r="AB42" i="33"/>
  <c r="E48" i="43"/>
  <c r="B46" i="43" s="1"/>
  <c r="C24" i="43" s="1"/>
  <c r="F11" i="12"/>
  <c r="C14" i="12" s="1"/>
  <c r="F50" i="11"/>
  <c r="F13" i="15"/>
  <c r="K58" i="21"/>
  <c r="L58" i="21" s="1"/>
  <c r="M58" i="21" s="1"/>
  <c r="N58" i="21" s="1"/>
  <c r="O58" i="21" s="1"/>
  <c r="J7" i="21" s="1"/>
  <c r="E52" i="37"/>
  <c r="F52" i="37" s="1"/>
  <c r="G52" i="37" s="1"/>
  <c r="H52" i="37" s="1"/>
  <c r="I52" i="37" s="1"/>
  <c r="J52" i="37" s="1"/>
  <c r="K52" i="37" s="1"/>
  <c r="L52" i="37" s="1"/>
  <c r="M52" i="37" s="1"/>
  <c r="N52" i="37" s="1"/>
  <c r="O52" i="37" s="1"/>
  <c r="F7" i="37"/>
  <c r="E58" i="33"/>
  <c r="F58" i="33" s="1"/>
  <c r="G58" i="33" s="1"/>
  <c r="H58" i="33" s="1"/>
  <c r="I58" i="33" s="1"/>
  <c r="J58" i="33" s="1"/>
  <c r="K58" i="33" s="1"/>
  <c r="L58" i="33" s="1"/>
  <c r="M58" i="33" s="1"/>
  <c r="N58" i="33" s="1"/>
  <c r="O58" i="33" s="1"/>
  <c r="H7" i="33"/>
  <c r="AB7" i="33" s="1"/>
  <c r="D63" i="40"/>
  <c r="C65" i="40"/>
  <c r="M17" i="15"/>
  <c r="C77" i="9"/>
  <c r="C74" i="9" s="1"/>
  <c r="C79" i="57"/>
  <c r="C76" i="57" s="1"/>
  <c r="C24" i="12"/>
  <c r="C29" i="12" s="1"/>
  <c r="D28" i="12" s="1"/>
  <c r="D46" i="36"/>
  <c r="C70" i="39"/>
  <c r="D68" i="39"/>
  <c r="D48" i="35"/>
  <c r="E48" i="35" s="1"/>
  <c r="F48" i="35" s="1"/>
  <c r="G48" i="35" s="1"/>
  <c r="H48" i="35" s="1"/>
  <c r="I48" i="35" s="1"/>
  <c r="J48" i="35" s="1"/>
  <c r="K48" i="35" s="1"/>
  <c r="L48" i="35" s="1"/>
  <c r="M48" i="35" s="1"/>
  <c r="N48" i="35" s="1"/>
  <c r="O48" i="35" s="1"/>
  <c r="C59" i="34"/>
  <c r="A13" i="54"/>
  <c r="B10" i="60" s="1"/>
  <c r="A10" i="54"/>
  <c r="B9" i="60" s="1"/>
  <c r="H60" i="43"/>
  <c r="H74" i="43"/>
  <c r="S527" i="31"/>
  <c r="S525" i="31"/>
  <c r="S523" i="31"/>
  <c r="S521" i="31"/>
  <c r="S519" i="31"/>
  <c r="S503" i="31"/>
  <c r="S483" i="31"/>
  <c r="S499" i="31"/>
  <c r="N51" i="57"/>
  <c r="D20" i="50"/>
  <c r="D39" i="50"/>
  <c r="D40" i="50" s="1"/>
  <c r="D7" i="62"/>
  <c r="C7" i="62"/>
  <c r="C15" i="12"/>
  <c r="C12" i="12"/>
  <c r="E125" i="57"/>
  <c r="L108" i="57"/>
  <c r="D126" i="57"/>
  <c r="G125" i="57"/>
  <c r="F126" i="57"/>
  <c r="C18" i="15"/>
  <c r="D19" i="50"/>
  <c r="B32" i="60" s="1"/>
  <c r="U32" i="33"/>
  <c r="S32" i="33"/>
  <c r="AC32" i="33"/>
  <c r="W36" i="33"/>
  <c r="U7" i="33"/>
  <c r="D22" i="50"/>
  <c r="B35" i="60" s="1"/>
  <c r="H53" i="43"/>
  <c r="H51" i="43"/>
  <c r="E10" i="43"/>
  <c r="E9" i="43"/>
  <c r="E8" i="43"/>
  <c r="C7" i="43" s="1"/>
  <c r="C5" i="43" s="1"/>
  <c r="E11" i="43"/>
  <c r="H67" i="43"/>
  <c r="H56" i="43"/>
  <c r="H82" i="43"/>
  <c r="H88" i="43"/>
  <c r="H81" i="43"/>
  <c r="H87" i="43"/>
  <c r="G17" i="43"/>
  <c r="D5" i="43"/>
  <c r="H73" i="43"/>
  <c r="H64" i="43"/>
  <c r="H63" i="43"/>
  <c r="H78" i="43"/>
  <c r="H61" i="43"/>
  <c r="H59" i="43"/>
  <c r="H66" i="43"/>
  <c r="H65" i="43"/>
  <c r="H76" i="43"/>
  <c r="H71" i="43"/>
  <c r="H77" i="43"/>
  <c r="H72" i="43"/>
  <c r="H55" i="43"/>
  <c r="H48" i="43"/>
  <c r="H52" i="43"/>
  <c r="H54" i="43"/>
  <c r="H75" i="43"/>
  <c r="F52" i="9"/>
  <c r="F54" i="9"/>
  <c r="D70" i="57"/>
  <c r="F48" i="9"/>
  <c r="P52" i="9" s="1"/>
  <c r="F30" i="11"/>
  <c r="F28" i="15"/>
  <c r="C28" i="15" s="1"/>
  <c r="F54" i="57"/>
  <c r="M18" i="15"/>
  <c r="F55" i="57"/>
  <c r="F32" i="15"/>
  <c r="F61" i="15" s="1"/>
  <c r="F50" i="57"/>
  <c r="P54" i="57" s="1"/>
  <c r="F56" i="57"/>
  <c r="F53" i="9"/>
  <c r="F31" i="12"/>
  <c r="D68" i="9"/>
  <c r="L61" i="15"/>
  <c r="J61" i="15"/>
  <c r="Q46" i="15" s="1"/>
  <c r="L57" i="15"/>
  <c r="F10" i="39"/>
  <c r="H10" i="40"/>
  <c r="Q59" i="15"/>
  <c r="U10" i="39"/>
  <c r="AB10" i="39"/>
  <c r="J10" i="40"/>
  <c r="J10" i="39"/>
  <c r="I14" i="62"/>
  <c r="B8" i="62" s="1"/>
  <c r="D12" i="52"/>
  <c r="C35" i="11"/>
  <c r="C38" i="11"/>
  <c r="F51" i="15"/>
  <c r="F31" i="15"/>
  <c r="C6" i="15"/>
  <c r="P9" i="64" s="1"/>
  <c r="C31" i="12"/>
  <c r="C23" i="12"/>
  <c r="C8" i="11"/>
  <c r="C18" i="12"/>
  <c r="G20" i="9"/>
  <c r="C102" i="9"/>
  <c r="C101" i="9"/>
  <c r="D22" i="9"/>
  <c r="G19" i="9"/>
  <c r="C32" i="9" s="1"/>
  <c r="D102" i="9"/>
  <c r="D101" i="9"/>
  <c r="E3" i="4" l="1"/>
  <c r="B5" i="55" s="1"/>
  <c r="B55" i="60" s="1"/>
  <c r="C3" i="4"/>
  <c r="B4" i="55" s="1"/>
  <c r="B53" i="60" s="1"/>
  <c r="F10" i="40"/>
  <c r="F7" i="33"/>
  <c r="J7" i="33"/>
  <c r="J7" i="37"/>
  <c r="H7" i="37"/>
  <c r="L1" i="61"/>
  <c r="J1" i="61"/>
  <c r="U25" i="33"/>
  <c r="AB10" i="33"/>
  <c r="J10" i="33"/>
  <c r="P10" i="64"/>
  <c r="P11" i="64" s="1"/>
  <c r="P12" i="64" s="1"/>
  <c r="P13" i="64" s="1"/>
  <c r="P14" i="64" s="1"/>
  <c r="H7" i="21"/>
  <c r="F12" i="59"/>
  <c r="F11" i="59" s="1"/>
  <c r="F10" i="59" s="1"/>
  <c r="F9" i="59" s="1"/>
  <c r="V13" i="59"/>
  <c r="C28" i="59"/>
  <c r="D27" i="59"/>
  <c r="D68" i="59"/>
  <c r="C67" i="59"/>
  <c r="D67" i="59" s="1"/>
  <c r="C24" i="59"/>
  <c r="D23" i="59"/>
  <c r="AA9" i="35"/>
  <c r="S9" i="35"/>
  <c r="AC9" i="35"/>
  <c r="W9" i="35"/>
  <c r="AA33" i="40"/>
  <c r="S33" i="40"/>
  <c r="AA23" i="36"/>
  <c r="S23" i="36"/>
  <c r="W23" i="36"/>
  <c r="AC23" i="36"/>
  <c r="AB36" i="35"/>
  <c r="U36" i="35"/>
  <c r="W27" i="34"/>
  <c r="AC27" i="34"/>
  <c r="AB9" i="33"/>
  <c r="U9" i="33"/>
  <c r="AC9" i="21"/>
  <c r="W9" i="21"/>
  <c r="C15" i="15"/>
  <c r="C16" i="15"/>
  <c r="AB12" i="39"/>
  <c r="U12" i="39"/>
  <c r="W33" i="36"/>
  <c r="AC33" i="36"/>
  <c r="S12" i="35"/>
  <c r="AA12" i="35"/>
  <c r="AC12" i="35"/>
  <c r="W12" i="35"/>
  <c r="AA30" i="34"/>
  <c r="S30" i="34"/>
  <c r="U12" i="34"/>
  <c r="AB12" i="34"/>
  <c r="S45" i="33"/>
  <c r="AA45" i="33"/>
  <c r="S29" i="33"/>
  <c r="AA29" i="33"/>
  <c r="S13" i="33"/>
  <c r="AA13" i="33"/>
  <c r="W13" i="33"/>
  <c r="AC13" i="33"/>
  <c r="C75" i="59"/>
  <c r="D75" i="59" s="1"/>
  <c r="D76" i="59"/>
  <c r="C19" i="43"/>
  <c r="C32" i="59"/>
  <c r="D31" i="59"/>
  <c r="D52" i="59"/>
  <c r="C53" i="59"/>
  <c r="D49" i="59"/>
  <c r="T49" i="59"/>
  <c r="AB9" i="35"/>
  <c r="U9" i="35"/>
  <c r="U33" i="40"/>
  <c r="AB33" i="40"/>
  <c r="AC33" i="40"/>
  <c r="W33" i="40"/>
  <c r="AB23" i="36"/>
  <c r="U23" i="36"/>
  <c r="W36" i="35"/>
  <c r="AC36" i="35"/>
  <c r="AB27" i="34"/>
  <c r="U27" i="34"/>
  <c r="AA12" i="34"/>
  <c r="S12" i="34"/>
  <c r="AC9" i="33"/>
  <c r="W9" i="33"/>
  <c r="U9" i="21"/>
  <c r="AB9" i="21"/>
  <c r="S9" i="21"/>
  <c r="AA9" i="21"/>
  <c r="AC12" i="39"/>
  <c r="W12" i="39"/>
  <c r="AA33" i="36"/>
  <c r="S33" i="36"/>
  <c r="AB33" i="36"/>
  <c r="U33" i="36"/>
  <c r="U12" i="35"/>
  <c r="AB12" i="35"/>
  <c r="AC30" i="34"/>
  <c r="W30" i="34"/>
  <c r="AB30" i="34"/>
  <c r="U30" i="34"/>
  <c r="W12" i="34"/>
  <c r="AC12" i="34"/>
  <c r="U45" i="33"/>
  <c r="AB45" i="33"/>
  <c r="AB29" i="33"/>
  <c r="U29" i="33"/>
  <c r="AB13" i="33"/>
  <c r="U13" i="33"/>
  <c r="C11" i="59"/>
  <c r="D12" i="59"/>
  <c r="S9" i="59"/>
  <c r="B8" i="59"/>
  <c r="B7" i="59" s="1"/>
  <c r="B6" i="59" s="1"/>
  <c r="B5" i="59" s="1"/>
  <c r="U15" i="33"/>
  <c r="S15" i="33"/>
  <c r="B34" i="1"/>
  <c r="G111" i="33"/>
  <c r="H111" i="33" s="1"/>
  <c r="I111" i="33" s="1"/>
  <c r="J111" i="33" s="1"/>
  <c r="K111" i="33" s="1"/>
  <c r="L111" i="33" s="1"/>
  <c r="M111" i="33" s="1"/>
  <c r="H36" i="33"/>
  <c r="S36" i="33"/>
  <c r="AA36" i="33"/>
  <c r="AA10" i="33"/>
  <c r="S10" i="33"/>
  <c r="Q58" i="15"/>
  <c r="Q71" i="15"/>
  <c r="AC25" i="33"/>
  <c r="W25" i="33"/>
  <c r="W15" i="33"/>
  <c r="W7" i="21"/>
  <c r="AC7" i="21"/>
  <c r="V48" i="21" s="1"/>
  <c r="I48" i="21" s="1"/>
  <c r="D59" i="34"/>
  <c r="E59" i="34" s="1"/>
  <c r="F59" i="34" s="1"/>
  <c r="G59" i="34" s="1"/>
  <c r="H59" i="34" s="1"/>
  <c r="I59" i="34" s="1"/>
  <c r="J59" i="34" s="1"/>
  <c r="K59" i="34" s="1"/>
  <c r="L59" i="34" s="1"/>
  <c r="M59" i="34" s="1"/>
  <c r="N59" i="34" s="1"/>
  <c r="O59" i="34" s="1"/>
  <c r="J7" i="35"/>
  <c r="H7" i="35"/>
  <c r="E46" i="36"/>
  <c r="D65" i="40"/>
  <c r="E63" i="40"/>
  <c r="S7" i="37"/>
  <c r="AA7" i="37"/>
  <c r="R42" i="37" s="1"/>
  <c r="F7" i="21"/>
  <c r="F7" i="35"/>
  <c r="E68" i="39"/>
  <c r="D70" i="39"/>
  <c r="AC7" i="37"/>
  <c r="V42" i="37" s="1"/>
  <c r="I42" i="37" s="1"/>
  <c r="W7" i="37"/>
  <c r="AB7" i="37"/>
  <c r="T42" i="37" s="1"/>
  <c r="G42" i="37" s="1"/>
  <c r="U7" i="37"/>
  <c r="U7" i="21"/>
  <c r="AB7" i="21"/>
  <c r="T48" i="21" s="1"/>
  <c r="G48" i="21" s="1"/>
  <c r="C33" i="11"/>
  <c r="C39" i="11" s="1"/>
  <c r="C46" i="11" s="1"/>
  <c r="C45" i="11" s="1"/>
  <c r="M69" i="57"/>
  <c r="N69" i="57" s="1"/>
  <c r="M67" i="57"/>
  <c r="N67" i="57" s="1"/>
  <c r="M66" i="57"/>
  <c r="N66" i="57" s="1"/>
  <c r="M70" i="57"/>
  <c r="N70" i="57" s="1"/>
  <c r="M68" i="57"/>
  <c r="N68" i="57" s="1"/>
  <c r="M65" i="57"/>
  <c r="N65" i="57" s="1"/>
  <c r="N71" i="57" s="1"/>
  <c r="O71" i="57" s="1"/>
  <c r="C16" i="12"/>
  <c r="C21" i="12" s="1"/>
  <c r="C22" i="12" s="1"/>
  <c r="C30" i="12" s="1"/>
  <c r="C28" i="12" s="1"/>
  <c r="C30" i="11"/>
  <c r="F48" i="11"/>
  <c r="C48" i="11"/>
  <c r="C31" i="15"/>
  <c r="U10" i="40"/>
  <c r="AB10" i="40"/>
  <c r="Q55" i="15"/>
  <c r="Q64" i="15"/>
  <c r="S10" i="39"/>
  <c r="AA10" i="39"/>
  <c r="L47" i="15"/>
  <c r="W10" i="39"/>
  <c r="AC10" i="39"/>
  <c r="W10" i="40"/>
  <c r="AC10" i="40"/>
  <c r="F60" i="15"/>
  <c r="C50" i="15"/>
  <c r="D8" i="62"/>
  <c r="C8" i="62"/>
  <c r="H121" i="9"/>
  <c r="F4" i="61"/>
  <c r="F7" i="61"/>
  <c r="D4" i="61"/>
  <c r="F3" i="61"/>
  <c r="D7" i="61"/>
  <c r="F6" i="61"/>
  <c r="D5" i="61"/>
  <c r="D6" i="61"/>
  <c r="F5" i="61"/>
  <c r="D3" i="61"/>
  <c r="B18" i="49" l="1"/>
  <c r="B4" i="60" s="1"/>
  <c r="AA10" i="40"/>
  <c r="S10" i="40"/>
  <c r="E20" i="43"/>
  <c r="K1" i="61"/>
  <c r="I1" i="61"/>
  <c r="B31" i="1" s="1"/>
  <c r="J7" i="34"/>
  <c r="W7" i="33"/>
  <c r="AC7" i="33"/>
  <c r="AA7" i="33"/>
  <c r="S7" i="33"/>
  <c r="AC10" i="33"/>
  <c r="V48" i="33" s="1"/>
  <c r="I48" i="33" s="1"/>
  <c r="I52" i="33" s="1"/>
  <c r="J52" i="33" s="1"/>
  <c r="W10" i="33"/>
  <c r="P15" i="64"/>
  <c r="Q15" i="64" s="1"/>
  <c r="S5" i="59"/>
  <c r="D53" i="59"/>
  <c r="T53" i="59"/>
  <c r="C19" i="15"/>
  <c r="C20" i="15" s="1"/>
  <c r="C26" i="15" s="1"/>
  <c r="D24" i="59"/>
  <c r="C25" i="59"/>
  <c r="D28" i="59"/>
  <c r="C29" i="59"/>
  <c r="V9" i="59"/>
  <c r="F8" i="59"/>
  <c r="F7" i="59" s="1"/>
  <c r="F6" i="59" s="1"/>
  <c r="F5" i="59" s="1"/>
  <c r="V5" i="59" s="1"/>
  <c r="H7" i="34"/>
  <c r="U7" i="34" s="1"/>
  <c r="R48" i="33"/>
  <c r="E48" i="33" s="1"/>
  <c r="E52" i="33" s="1"/>
  <c r="F52" i="33" s="1"/>
  <c r="C10" i="59"/>
  <c r="D11" i="59"/>
  <c r="D32" i="59"/>
  <c r="C33" i="59"/>
  <c r="U36" i="33"/>
  <c r="AB36" i="33"/>
  <c r="T48" i="33" s="1"/>
  <c r="G48" i="33" s="1"/>
  <c r="G53" i="21"/>
  <c r="H53" i="21" s="1"/>
  <c r="G52" i="21"/>
  <c r="H52" i="21" s="1"/>
  <c r="G46" i="37"/>
  <c r="H46" i="37" s="1"/>
  <c r="G47" i="37"/>
  <c r="H47" i="37" s="1"/>
  <c r="I46" i="37"/>
  <c r="J46" i="37" s="1"/>
  <c r="S7" i="35"/>
  <c r="AA7" i="35"/>
  <c r="R38" i="35" s="1"/>
  <c r="R43" i="37"/>
  <c r="E42" i="37"/>
  <c r="F63" i="40"/>
  <c r="E65" i="40"/>
  <c r="F46" i="36"/>
  <c r="U7" i="35"/>
  <c r="AB7" i="35"/>
  <c r="T38" i="35" s="1"/>
  <c r="G38" i="35" s="1"/>
  <c r="W7" i="34"/>
  <c r="AC7" i="34"/>
  <c r="V49" i="34" s="1"/>
  <c r="I49" i="34" s="1"/>
  <c r="F7" i="34"/>
  <c r="I52" i="21"/>
  <c r="J52" i="21" s="1"/>
  <c r="F68" i="39"/>
  <c r="E70" i="39"/>
  <c r="S7" i="21"/>
  <c r="AA7" i="21"/>
  <c r="R48" i="21" s="1"/>
  <c r="W7" i="35"/>
  <c r="AC7" i="35"/>
  <c r="V38" i="35" s="1"/>
  <c r="I38" i="35" s="1"/>
  <c r="AB7" i="34"/>
  <c r="T49" i="34" s="1"/>
  <c r="G49" i="34" s="1"/>
  <c r="H122" i="9"/>
  <c r="I121" i="9"/>
  <c r="D106" i="9"/>
  <c r="D112" i="9" s="1"/>
  <c r="C103" i="9"/>
  <c r="I102" i="9"/>
  <c r="G1" i="61"/>
  <c r="E27" i="1" l="1"/>
  <c r="F11" i="15"/>
  <c r="M11" i="15"/>
  <c r="J10" i="15" s="1"/>
  <c r="J5" i="15" s="1"/>
  <c r="N28" i="43"/>
  <c r="P28" i="43"/>
  <c r="O28" i="43"/>
  <c r="M28" i="43"/>
  <c r="G20" i="43" s="1"/>
  <c r="C20" i="43" s="1"/>
  <c r="C33" i="43" s="1"/>
  <c r="E53" i="33"/>
  <c r="F53" i="33" s="1"/>
  <c r="R49" i="33"/>
  <c r="C49" i="33" s="1"/>
  <c r="R27" i="31" s="1"/>
  <c r="S27" i="31" s="1"/>
  <c r="I53" i="33"/>
  <c r="J53" i="33" s="1"/>
  <c r="D10" i="59"/>
  <c r="C9" i="59"/>
  <c r="D33" i="59"/>
  <c r="M19" i="43"/>
  <c r="T33" i="59"/>
  <c r="D29" i="59"/>
  <c r="T29" i="59"/>
  <c r="D25" i="59"/>
  <c r="T25" i="59"/>
  <c r="G52" i="33"/>
  <c r="H52" i="33" s="1"/>
  <c r="G53" i="33"/>
  <c r="H53" i="33" s="1"/>
  <c r="E48" i="21"/>
  <c r="R49" i="21"/>
  <c r="I42" i="35"/>
  <c r="J42" i="35" s="1"/>
  <c r="G68" i="39"/>
  <c r="F70" i="39"/>
  <c r="I53" i="34"/>
  <c r="J53" i="34" s="1"/>
  <c r="G42" i="35"/>
  <c r="H42" i="35" s="1"/>
  <c r="G43" i="35"/>
  <c r="H43" i="35" s="1"/>
  <c r="G46" i="36"/>
  <c r="G63" i="40"/>
  <c r="F65" i="40"/>
  <c r="C43" i="37"/>
  <c r="B2" i="37" s="1"/>
  <c r="B3" i="37" s="1"/>
  <c r="C42" i="37"/>
  <c r="G53" i="34"/>
  <c r="H53" i="34" s="1"/>
  <c r="G54" i="34"/>
  <c r="H54" i="34" s="1"/>
  <c r="S7" i="34"/>
  <c r="AA7" i="34"/>
  <c r="R49" i="34" s="1"/>
  <c r="E46" i="37"/>
  <c r="F46" i="37" s="1"/>
  <c r="E47" i="37"/>
  <c r="F47" i="37" s="1"/>
  <c r="R39" i="35"/>
  <c r="E38" i="35"/>
  <c r="I47" i="37"/>
  <c r="J47" i="37" s="1"/>
  <c r="C61" i="15"/>
  <c r="D107" i="9"/>
  <c r="C104" i="9"/>
  <c r="I103" i="9"/>
  <c r="D45" i="9"/>
  <c r="N48" i="9"/>
  <c r="I110" i="9"/>
  <c r="D125" i="9" s="1"/>
  <c r="D117" i="9"/>
  <c r="I115" i="9" s="1"/>
  <c r="D113" i="9"/>
  <c r="I111" i="9" s="1"/>
  <c r="D126" i="9" s="1"/>
  <c r="T7" i="43" l="1"/>
  <c r="V7" i="43" s="1"/>
  <c r="C36" i="43"/>
  <c r="G36" i="43" s="1"/>
  <c r="I36" i="43" s="1"/>
  <c r="C34" i="43"/>
  <c r="G34" i="43" s="1"/>
  <c r="I34" i="43" s="1"/>
  <c r="C37" i="43"/>
  <c r="G37" i="43" s="1"/>
  <c r="I37" i="43" s="1"/>
  <c r="T2" i="43"/>
  <c r="V2" i="43" s="1"/>
  <c r="C29" i="43"/>
  <c r="E29" i="43" s="1"/>
  <c r="T8" i="43"/>
  <c r="V8" i="43" s="1"/>
  <c r="T11" i="43"/>
  <c r="V11" i="43" s="1"/>
  <c r="T4" i="43"/>
  <c r="V4" i="43" s="1"/>
  <c r="T9" i="43"/>
  <c r="V9" i="43" s="1"/>
  <c r="T10" i="43"/>
  <c r="V10" i="43" s="1"/>
  <c r="T13" i="43"/>
  <c r="V13" i="43" s="1"/>
  <c r="C35" i="43"/>
  <c r="E35" i="43" s="1"/>
  <c r="T3" i="43"/>
  <c r="V3" i="43" s="1"/>
  <c r="T5" i="43"/>
  <c r="V5" i="43" s="1"/>
  <c r="T14" i="43"/>
  <c r="V14" i="43" s="1"/>
  <c r="T16" i="43"/>
  <c r="V16" i="43" s="1"/>
  <c r="T12" i="43"/>
  <c r="V12" i="43" s="1"/>
  <c r="T6" i="43"/>
  <c r="V6" i="43" s="1"/>
  <c r="T15" i="43"/>
  <c r="V15" i="43" s="1"/>
  <c r="E41" i="43"/>
  <c r="C41" i="43" s="1"/>
  <c r="C38" i="43" s="1"/>
  <c r="E38" i="43" s="1"/>
  <c r="C10" i="15"/>
  <c r="C5" i="15" s="1"/>
  <c r="C38" i="15" s="1"/>
  <c r="C54" i="15"/>
  <c r="C49" i="15" s="1"/>
  <c r="C67" i="15" s="1"/>
  <c r="J26" i="15"/>
  <c r="J29" i="15" s="1"/>
  <c r="J24" i="15"/>
  <c r="F24" i="15"/>
  <c r="F25" i="12"/>
  <c r="F22" i="11"/>
  <c r="T27" i="31"/>
  <c r="C33" i="57"/>
  <c r="C48" i="33"/>
  <c r="R28" i="31"/>
  <c r="T28" i="31" s="1"/>
  <c r="B2" i="33"/>
  <c r="B3" i="33" s="1"/>
  <c r="T9" i="59"/>
  <c r="D9" i="59"/>
  <c r="C8" i="59"/>
  <c r="C38" i="35"/>
  <c r="C39" i="35"/>
  <c r="E49" i="34"/>
  <c r="R50" i="34"/>
  <c r="H46" i="36"/>
  <c r="E52" i="21"/>
  <c r="F52" i="21" s="1"/>
  <c r="E53" i="21"/>
  <c r="F53" i="21" s="1"/>
  <c r="I53" i="21"/>
  <c r="J53" i="21" s="1"/>
  <c r="E42" i="35"/>
  <c r="F42" i="35" s="1"/>
  <c r="E43" i="35"/>
  <c r="F43" i="35" s="1"/>
  <c r="G65" i="40"/>
  <c r="H63" i="40"/>
  <c r="G70" i="39"/>
  <c r="H68" i="39"/>
  <c r="I43" i="35"/>
  <c r="J43" i="35" s="1"/>
  <c r="C49" i="21"/>
  <c r="B2" i="21" s="1"/>
  <c r="B3" i="21" s="1"/>
  <c r="C48" i="21"/>
  <c r="S28" i="31"/>
  <c r="S25" i="31" s="1"/>
  <c r="C78" i="9"/>
  <c r="C73" i="9" s="1"/>
  <c r="C64" i="9"/>
  <c r="C63" i="9" s="1"/>
  <c r="C67" i="9" s="1"/>
  <c r="C68" i="9" s="1"/>
  <c r="D54" i="9" s="1"/>
  <c r="D52" i="9"/>
  <c r="D53" i="9"/>
  <c r="D48" i="9" s="1"/>
  <c r="N52" i="9" s="1"/>
  <c r="O57" i="9" s="1"/>
  <c r="C72" i="9"/>
  <c r="C93" i="9"/>
  <c r="C86" i="9" s="1"/>
  <c r="C85" i="9"/>
  <c r="E33" i="43"/>
  <c r="G33" i="43"/>
  <c r="I33" i="43" s="1"/>
  <c r="J19" i="15"/>
  <c r="J17" i="15" s="1"/>
  <c r="E37" i="43"/>
  <c r="G38" i="43" l="1"/>
  <c r="I38" i="43" s="1"/>
  <c r="G35" i="43"/>
  <c r="I35" i="43" s="1"/>
  <c r="C6" i="11"/>
  <c r="C30" i="43"/>
  <c r="E30" i="43" s="1"/>
  <c r="E36" i="43"/>
  <c r="E34" i="43"/>
  <c r="C39" i="43"/>
  <c r="G39" i="43" s="1"/>
  <c r="I39" i="43" s="1"/>
  <c r="C26" i="12"/>
  <c r="D25" i="12" s="1"/>
  <c r="C27" i="12"/>
  <c r="C25" i="12" s="1"/>
  <c r="C44" i="11"/>
  <c r="D41" i="11" s="1"/>
  <c r="F41" i="11"/>
  <c r="C42" i="11"/>
  <c r="C24" i="11"/>
  <c r="C26" i="11"/>
  <c r="D22" i="11" s="1"/>
  <c r="C43" i="11"/>
  <c r="C24" i="15"/>
  <c r="C23" i="15"/>
  <c r="T25" i="31"/>
  <c r="R25" i="31" s="1"/>
  <c r="C7" i="59"/>
  <c r="D8" i="59"/>
  <c r="C49" i="34"/>
  <c r="C50" i="34"/>
  <c r="B3" i="35"/>
  <c r="B2" i="35"/>
  <c r="H70" i="39"/>
  <c r="I68" i="39"/>
  <c r="H65" i="40"/>
  <c r="I63" i="40"/>
  <c r="I46" i="36"/>
  <c r="E53" i="34"/>
  <c r="F53" i="34" s="1"/>
  <c r="E54" i="34"/>
  <c r="F54" i="34" s="1"/>
  <c r="I54" i="34"/>
  <c r="J54" i="34" s="1"/>
  <c r="C79" i="9"/>
  <c r="C81" i="9" s="1"/>
  <c r="C62" i="15"/>
  <c r="C60" i="15" s="1"/>
  <c r="O58" i="9"/>
  <c r="Q57" i="9"/>
  <c r="O59" i="9"/>
  <c r="C95" i="9"/>
  <c r="C27" i="43" l="1"/>
  <c r="E39" i="43"/>
  <c r="C26" i="43" s="1"/>
  <c r="B2" i="43" s="1"/>
  <c r="B3" i="43" s="1"/>
  <c r="C41" i="11"/>
  <c r="C49" i="11" s="1"/>
  <c r="C51" i="11" s="1"/>
  <c r="C29" i="15"/>
  <c r="C32" i="12"/>
  <c r="B23" i="31"/>
  <c r="B2" i="31" s="1"/>
  <c r="C34" i="57" s="1"/>
  <c r="H125" i="57" s="1"/>
  <c r="D7" i="59"/>
  <c r="C6" i="59"/>
  <c r="I65" i="40"/>
  <c r="J63" i="40"/>
  <c r="I70" i="39"/>
  <c r="J68" i="39"/>
  <c r="B2" i="34"/>
  <c r="B3" i="34"/>
  <c r="J46" i="36"/>
  <c r="B24" i="31"/>
  <c r="B3" i="31" s="1"/>
  <c r="C35" i="57" s="1"/>
  <c r="I125" i="57" s="1"/>
  <c r="C80" i="9"/>
  <c r="E80" i="9" s="1"/>
  <c r="E81" i="9" s="1"/>
  <c r="C97" i="9"/>
  <c r="D58" i="9" s="1"/>
  <c r="C96" i="9"/>
  <c r="E96" i="9" s="1"/>
  <c r="E97" i="9" s="1"/>
  <c r="O60" i="9"/>
  <c r="O61" i="9"/>
  <c r="C7" i="11"/>
  <c r="C5" i="11" s="1"/>
  <c r="B2" i="12" l="1"/>
  <c r="B3" i="12"/>
  <c r="Q47" i="15"/>
  <c r="C13" i="15"/>
  <c r="C36" i="15"/>
  <c r="J14" i="15"/>
  <c r="C58" i="15"/>
  <c r="C65" i="15" s="1"/>
  <c r="D6" i="59"/>
  <c r="C5" i="59"/>
  <c r="J70" i="39"/>
  <c r="K68" i="39"/>
  <c r="K63" i="40"/>
  <c r="J65" i="40"/>
  <c r="K46" i="36"/>
  <c r="D111" i="57"/>
  <c r="I4" i="52"/>
  <c r="I105" i="57"/>
  <c r="C108" i="57"/>
  <c r="C107" i="57"/>
  <c r="I104" i="57"/>
  <c r="D110" i="57"/>
  <c r="H126" i="57"/>
  <c r="H5" i="52" s="1"/>
  <c r="H4" i="52"/>
  <c r="C20" i="11"/>
  <c r="C25" i="11" s="1"/>
  <c r="C23" i="11"/>
  <c r="J13" i="15" l="1"/>
  <c r="J23" i="15" s="1"/>
  <c r="J22" i="15"/>
  <c r="C37" i="15"/>
  <c r="C30" i="15" s="1"/>
  <c r="C39" i="15" s="1"/>
  <c r="Q68" i="15"/>
  <c r="C57" i="15"/>
  <c r="C66" i="15" s="1"/>
  <c r="C59" i="15" s="1"/>
  <c r="C68" i="15" s="1"/>
  <c r="C69" i="15" s="1"/>
  <c r="J34" i="15"/>
  <c r="T5" i="59"/>
  <c r="D5" i="59"/>
  <c r="M20" i="43"/>
  <c r="K70" i="39"/>
  <c r="L68" i="39"/>
  <c r="L46" i="36"/>
  <c r="K65" i="40"/>
  <c r="L63" i="40"/>
  <c r="N50" i="57"/>
  <c r="D7" i="50"/>
  <c r="I112" i="57"/>
  <c r="D28" i="50"/>
  <c r="D29" i="50" s="1"/>
  <c r="D47" i="57"/>
  <c r="D121" i="57"/>
  <c r="D116" i="57"/>
  <c r="D117" i="57" s="1"/>
  <c r="D30" i="50"/>
  <c r="D9" i="50"/>
  <c r="B21" i="60" s="1"/>
  <c r="C22" i="11"/>
  <c r="C28" i="11"/>
  <c r="C27" i="11" s="1"/>
  <c r="J38" i="15" l="1"/>
  <c r="J39" i="15" s="1"/>
  <c r="J16" i="15"/>
  <c r="J25" i="15" s="1"/>
  <c r="C72" i="15"/>
  <c r="Q67" i="15"/>
  <c r="Q66" i="15" s="1"/>
  <c r="C40" i="15"/>
  <c r="C47" i="15" s="1"/>
  <c r="L65" i="40"/>
  <c r="M63" i="40"/>
  <c r="M68" i="39"/>
  <c r="L70" i="39"/>
  <c r="M46" i="36"/>
  <c r="N46" i="36" s="1"/>
  <c r="O46" i="36" s="1"/>
  <c r="F7" i="36" s="1"/>
  <c r="D38" i="50"/>
  <c r="B62" i="60" s="1"/>
  <c r="I113" i="57"/>
  <c r="D61" i="57"/>
  <c r="N57" i="57" s="1"/>
  <c r="C95" i="57"/>
  <c r="C88" i="57" s="1"/>
  <c r="D57" i="57"/>
  <c r="N55" i="57" s="1"/>
  <c r="C66" i="57"/>
  <c r="C65" i="57" s="1"/>
  <c r="C69" i="57" s="1"/>
  <c r="C70" i="57" s="1"/>
  <c r="D56" i="57" s="1"/>
  <c r="D54" i="57"/>
  <c r="C74" i="57"/>
  <c r="C87" i="57"/>
  <c r="C80" i="57"/>
  <c r="C75" i="57" s="1"/>
  <c r="D55" i="57"/>
  <c r="D50" i="57" s="1"/>
  <c r="N54" i="57" s="1"/>
  <c r="D36" i="50"/>
  <c r="D37" i="50" s="1"/>
  <c r="D15" i="50"/>
  <c r="D129" i="57"/>
  <c r="D8" i="52" s="1"/>
  <c r="D44" i="50"/>
  <c r="I117" i="57"/>
  <c r="D23" i="50" s="1"/>
  <c r="B34" i="60" s="1"/>
  <c r="B19" i="60"/>
  <c r="D8" i="50"/>
  <c r="B22" i="60" s="1"/>
  <c r="C31" i="11"/>
  <c r="C52" i="11" s="1"/>
  <c r="B2" i="11" s="1"/>
  <c r="C19" i="57"/>
  <c r="Q54" i="15" l="1"/>
  <c r="Q60" i="15" s="1"/>
  <c r="C43" i="15"/>
  <c r="Q45" i="15"/>
  <c r="Q51" i="15" s="1"/>
  <c r="J41" i="15"/>
  <c r="B2" i="15"/>
  <c r="L52" i="15"/>
  <c r="Q65" i="15" s="1"/>
  <c r="Q63" i="15"/>
  <c r="Q73" i="15" s="1"/>
  <c r="B3" i="15"/>
  <c r="C81" i="57"/>
  <c r="C97" i="57"/>
  <c r="AA7" i="36"/>
  <c r="R36" i="36" s="1"/>
  <c r="S7" i="36"/>
  <c r="M65" i="40"/>
  <c r="N63" i="40"/>
  <c r="J7" i="36"/>
  <c r="H7" i="36"/>
  <c r="M70" i="39"/>
  <c r="N68" i="39"/>
  <c r="B29" i="60"/>
  <c r="D16" i="50"/>
  <c r="B30" i="60" s="1"/>
  <c r="C82" i="57"/>
  <c r="E82" i="57" s="1"/>
  <c r="E83" i="57" s="1"/>
  <c r="D17" i="50"/>
  <c r="D130" i="57"/>
  <c r="C98" i="57"/>
  <c r="E98" i="57" s="1"/>
  <c r="E99" i="57" s="1"/>
  <c r="B3" i="11"/>
  <c r="C56" i="11"/>
  <c r="C57" i="11" s="1"/>
  <c r="C103" i="57"/>
  <c r="C20" i="57"/>
  <c r="D20" i="57"/>
  <c r="D19" i="57"/>
  <c r="D104" i="57" l="1"/>
  <c r="D103" i="57"/>
  <c r="G19" i="57"/>
  <c r="D22" i="57"/>
  <c r="D35" i="9"/>
  <c r="J42" i="15"/>
  <c r="O68" i="39"/>
  <c r="O70" i="39" s="1"/>
  <c r="N70" i="39"/>
  <c r="AB7" i="36"/>
  <c r="T36" i="36" s="1"/>
  <c r="G36" i="36" s="1"/>
  <c r="U7" i="36"/>
  <c r="N65" i="40"/>
  <c r="O63" i="40"/>
  <c r="O65" i="40" s="1"/>
  <c r="AC7" i="36"/>
  <c r="V36" i="36" s="1"/>
  <c r="I36" i="36" s="1"/>
  <c r="W7" i="36"/>
  <c r="R37" i="36"/>
  <c r="E36" i="36"/>
  <c r="C99" i="57"/>
  <c r="D60" i="57" s="1"/>
  <c r="D58" i="57" s="1"/>
  <c r="N56" i="57" s="1"/>
  <c r="O59" i="57" s="1"/>
  <c r="D9" i="52"/>
  <c r="D10" i="52"/>
  <c r="C83" i="57"/>
  <c r="C104" i="57"/>
  <c r="G20" i="57"/>
  <c r="C105" i="57"/>
  <c r="D14" i="62" l="1"/>
  <c r="B5" i="62" s="1"/>
  <c r="C106" i="57"/>
  <c r="C35" i="9"/>
  <c r="D34" i="9"/>
  <c r="I40" i="36"/>
  <c r="J40" i="36" s="1"/>
  <c r="I41" i="36"/>
  <c r="J41" i="36" s="1"/>
  <c r="G41" i="36"/>
  <c r="H41" i="36" s="1"/>
  <c r="G40" i="36"/>
  <c r="H40" i="36" s="1"/>
  <c r="H7" i="39"/>
  <c r="F7" i="39"/>
  <c r="J7" i="39"/>
  <c r="E40" i="36"/>
  <c r="F40" i="36" s="1"/>
  <c r="E41" i="36"/>
  <c r="F41" i="36" s="1"/>
  <c r="J7" i="40"/>
  <c r="F7" i="40"/>
  <c r="H7" i="40"/>
  <c r="C37" i="36"/>
  <c r="B2" i="36" s="1"/>
  <c r="B3" i="36" s="1"/>
  <c r="C36" i="36"/>
  <c r="O61" i="57"/>
  <c r="O60" i="57"/>
  <c r="Q59" i="57"/>
  <c r="G14" i="62" l="1"/>
  <c r="B6" i="62" s="1"/>
  <c r="C6" i="62" s="1"/>
  <c r="E14" i="62"/>
  <c r="H2" i="65" s="1"/>
  <c r="F14" i="62"/>
  <c r="F121" i="9"/>
  <c r="C34" i="9"/>
  <c r="D121" i="9" s="1"/>
  <c r="AB7" i="40"/>
  <c r="T42" i="40" s="1"/>
  <c r="G42" i="40" s="1"/>
  <c r="U7" i="40"/>
  <c r="AC7" i="40"/>
  <c r="V42" i="40" s="1"/>
  <c r="I42" i="40" s="1"/>
  <c r="W7" i="40"/>
  <c r="AA7" i="39"/>
  <c r="R47" i="39" s="1"/>
  <c r="S7" i="39"/>
  <c r="S7" i="40"/>
  <c r="AA7" i="40"/>
  <c r="R42" i="40" s="1"/>
  <c r="W7" i="39"/>
  <c r="AC7" i="39"/>
  <c r="V47" i="39" s="1"/>
  <c r="I47" i="39" s="1"/>
  <c r="U7" i="39"/>
  <c r="AB7" i="39"/>
  <c r="T47" i="39" s="1"/>
  <c r="G47" i="39" s="1"/>
  <c r="O62" i="57"/>
  <c r="O63" i="57"/>
  <c r="C5" i="62"/>
  <c r="D5" i="62"/>
  <c r="D6" i="62" l="1"/>
  <c r="D4" i="52"/>
  <c r="B37" i="60" s="1"/>
  <c r="E121" i="9"/>
  <c r="E4" i="52" s="1"/>
  <c r="B38" i="60" s="1"/>
  <c r="D122" i="9"/>
  <c r="D5" i="52" s="1"/>
  <c r="B39" i="60" s="1"/>
  <c r="F4" i="52"/>
  <c r="B40" i="60" s="1"/>
  <c r="F122" i="9"/>
  <c r="F5" i="52" s="1"/>
  <c r="B42" i="60" s="1"/>
  <c r="G121" i="9"/>
  <c r="G4" i="52" s="1"/>
  <c r="B41" i="60" s="1"/>
  <c r="R48" i="39"/>
  <c r="E47" i="39"/>
  <c r="G46" i="40"/>
  <c r="H46" i="40" s="1"/>
  <c r="G47" i="40"/>
  <c r="H47" i="40" s="1"/>
  <c r="G51" i="39"/>
  <c r="H51" i="39" s="1"/>
  <c r="G52" i="39"/>
  <c r="H52" i="39" s="1"/>
  <c r="I51" i="39"/>
  <c r="J51" i="39" s="1"/>
  <c r="I52" i="39"/>
  <c r="J52" i="39" s="1"/>
  <c r="E42" i="40"/>
  <c r="I47" i="40" s="1"/>
  <c r="J47" i="40" s="1"/>
  <c r="R43" i="40"/>
  <c r="I46" i="40"/>
  <c r="J46" i="40" s="1"/>
  <c r="E47" i="40" l="1"/>
  <c r="F47" i="40" s="1"/>
  <c r="E46" i="40"/>
  <c r="F46" i="40" s="1"/>
  <c r="C48" i="39"/>
  <c r="C47" i="39"/>
  <c r="C43" i="40"/>
  <c r="C42" i="40"/>
  <c r="E51" i="39"/>
  <c r="F51" i="39" s="1"/>
  <c r="E52" i="39"/>
  <c r="F52" i="39" s="1"/>
  <c r="B54" i="40" l="1"/>
  <c r="F54" i="40" s="1"/>
  <c r="B53" i="40"/>
  <c r="F53" i="40" s="1"/>
  <c r="B52" i="40"/>
  <c r="F52" i="40" s="1"/>
  <c r="B60" i="40"/>
  <c r="F60" i="40" s="1"/>
  <c r="B58" i="40"/>
  <c r="F58" i="40" s="1"/>
  <c r="B57" i="40"/>
  <c r="F57" i="40" s="1"/>
  <c r="B59" i="40"/>
  <c r="F59" i="40" s="1"/>
  <c r="B56" i="40"/>
  <c r="F56" i="40" s="1"/>
  <c r="B51" i="40"/>
  <c r="F51" i="40" s="1"/>
  <c r="F61" i="40" s="1"/>
  <c r="B2" i="40" s="1"/>
  <c r="B3" i="40" s="1"/>
  <c r="B55" i="40"/>
  <c r="F55" i="40" s="1"/>
  <c r="B63" i="39"/>
  <c r="F63" i="39" s="1"/>
  <c r="B64" i="39"/>
  <c r="F64" i="39" s="1"/>
  <c r="B57" i="39"/>
  <c r="F57" i="39" s="1"/>
  <c r="B61" i="39"/>
  <c r="F61" i="39" s="1"/>
  <c r="B59" i="39"/>
  <c r="F59" i="39" s="1"/>
  <c r="B62" i="39"/>
  <c r="F62" i="39" s="1"/>
  <c r="B58" i="39"/>
  <c r="F58" i="39" s="1"/>
  <c r="B65" i="39"/>
  <c r="F65" i="39" s="1"/>
  <c r="B56" i="39"/>
  <c r="F56" i="39" s="1"/>
  <c r="F66" i="39" s="1"/>
  <c r="B2" i="39" s="1"/>
  <c r="B3" i="39" s="1"/>
  <c r="B60" i="39"/>
  <c r="F60" i="3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<sst xmlns="http://schemas.openxmlformats.org/spreadsheetml/2006/main" count="7052" uniqueCount="3043">
  <si>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</si>
  <si>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</si>
  <si>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</si>
  <si>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</si>
  <si>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</si>
  <si>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</si>
  <si>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</si>
  <si>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</si>
  <si>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</si>
  <si>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</si>
  <si>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</si>
  <si>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</si>
  <si>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</si>
  <si>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</si>
  <si>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</si>
  <si>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</si>
  <si>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</si>
  <si>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</si>
  <si>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</si>
  <si>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</si>
  <si>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</si>
  <si>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</si>
  <si>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</si>
  <si>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</si>
  <si>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</si>
  <si>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</si>
  <si>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</si>
  <si>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</si>
  <si>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</si>
  <si>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</si>
  <si>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</si>
  <si>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</si>
  <si>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</si>
  <si>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</si>
  <si>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</si>
  <si>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</si>
  <si>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</si>
  <si>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</si>
  <si>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</si>
  <si>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</si>
  <si>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</si>
  <si>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</si>
  <si>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</si>
  <si>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</si>
  <si>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</si>
  <si>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</si>
  <si>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</si>
  <si>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</si>
  <si>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</si>
  <si>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</si>
  <si>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</si>
  <si>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</si>
  <si>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</si>
  <si>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</si>
  <si>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</si>
  <si>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</si>
  <si>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</si>
  <si>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</si>
  <si>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</si>
  <si>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</si>
  <si>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</si>
  <si>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</si>
  <si>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</si>
  <si>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</si>
  <si>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</si>
  <si>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</si>
  <si>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</si>
  <si>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</si>
  <si>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</si>
  <si>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</si>
  <si>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</si>
  <si>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</si>
  <si>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</si>
  <si>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</si>
  <si>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</si>
  <si>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</si>
  <si>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</si>
  <si>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</si>
  <si>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</si>
  <si>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</si>
  <si>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</si>
  <si>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</si>
  <si>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</si>
  <si>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</si>
  <si>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</si>
  <si>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</si>
  <si>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</si>
  <si>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</si>
  <si>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</si>
  <si>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</si>
  <si>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</si>
  <si>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</si>
  <si>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</si>
  <si>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</si>
  <si>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</si>
  <si>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</si>
  <si>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</si>
  <si>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</si>
  <si>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</si>
  <si>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</si>
  <si>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</si>
  <si>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</si>
  <si>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</si>
  <si>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</si>
  <si>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</si>
  <si>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</si>
  <si>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</si>
  <si>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</si>
  <si>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</si>
  <si>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</si>
  <si>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</si>
  <si>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</si>
  <si>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</si>
  <si>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</si>
  <si>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</si>
  <si>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</si>
  <si>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</si>
  <si>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</si>
  <si>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</si>
  <si>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</si>
  <si>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</si>
  <si>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</si>
  <si>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</si>
  <si>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</si>
  <si>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</si>
  <si>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</si>
  <si>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</si>
  <si>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</si>
  <si>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</si>
  <si>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</si>
  <si>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</si>
  <si>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</si>
  <si>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</si>
  <si>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</si>
  <si>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</si>
  <si>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</si>
  <si>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</si>
  <si>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</si>
  <si>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</si>
  <si>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</si>
  <si>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</si>
  <si>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</si>
  <si>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</si>
  <si>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</si>
  <si>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</si>
  <si>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</si>
  <si>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</si>
  <si>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</si>
  <si>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</si>
  <si>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</si>
  <si>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</si>
  <si>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</si>
  <si>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</si>
  <si>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</si>
  <si>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</si>
  <si>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</si>
  <si>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</si>
  <si>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</si>
  <si>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</si>
  <si>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</si>
  <si>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</si>
  <si>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</si>
  <si>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</si>
  <si>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</si>
  <si>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</si>
  <si>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</si>
  <si>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</si>
  <si>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</si>
  <si>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</si>
  <si>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</si>
  <si>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</si>
  <si>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</si>
  <si>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</si>
  <si>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</si>
  <si>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</si>
  <si>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</si>
  <si>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</si>
  <si>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</si>
  <si>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</si>
  <si>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</si>
  <si>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</si>
  <si>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</si>
  <si>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</si>
  <si>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</si>
  <si>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</si>
  <si>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</si>
  <si>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</si>
  <si>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</si>
  <si>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</si>
  <si>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</si>
  <si>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</si>
  <si>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</si>
  <si>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</si>
  <si>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</si>
  <si>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</si>
  <si>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</si>
  <si>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</si>
  <si>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</si>
  <si>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</si>
  <si>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</si>
  <si>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</si>
  <si>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</si>
  <si>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</si>
  <si>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</si>
  <si>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</si>
  <si>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</si>
  <si>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</si>
  <si>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</si>
  <si>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</si>
  <si>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</si>
  <si>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</si>
  <si>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</si>
  <si>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</si>
  <si>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</si>
  <si>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</si>
  <si>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</si>
  <si>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</si>
  <si>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</si>
  <si>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</si>
  <si>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</si>
  <si>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</si>
  <si>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</si>
  <si>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</si>
  <si>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</si>
  <si>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</si>
  <si>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</si>
  <si>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</si>
  <si>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</si>
  <si>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</si>
  <si>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</si>
  <si>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</si>
  <si>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</si>
  <si>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</si>
  <si>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</si>
  <si>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</si>
  <si>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</si>
  <si>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</si>
  <si>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</si>
  <si>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</si>
  <si>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</si>
  <si>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</si>
  <si>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</si>
  <si>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</si>
  <si>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</si>
  <si>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</si>
  <si>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</si>
  <si>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</si>
  <si>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</si>
  <si>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</si>
  <si>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</si>
  <si>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</si>
  <si>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</si>
  <si>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</si>
  <si>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</si>
  <si>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</si>
  <si>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</si>
  <si>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</si>
  <si>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</si>
  <si>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</si>
  <si>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</si>
  <si>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</si>
  <si>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</si>
  <si>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</si>
  <si>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</si>
  <si>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</si>
  <si>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</si>
  <si>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</si>
  <si>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</si>
  <si>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</si>
  <si>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</si>
  <si>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</si>
  <si>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</si>
  <si>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</si>
  <si>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</si>
  <si>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</si>
  <si>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</si>
  <si>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</si>
  <si>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</si>
  <si>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</si>
  <si>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</si>
  <si>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</si>
  <si>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</si>
  <si>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</si>
  <si>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</si>
  <si>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</si>
  <si>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</si>
  <si>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</si>
  <si>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</si>
  <si>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</si>
  <si>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</si>
  <si>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</si>
  <si>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</si>
  <si>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</si>
  <si>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</si>
  <si>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</si>
  <si>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</si>
  <si>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</si>
  <si>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</si>
  <si>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</si>
  <si>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</si>
  <si>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</si>
  <si>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</si>
  <si>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</si>
  <si>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</si>
  <si>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</si>
  <si>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</si>
  <si>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</si>
  <si>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</si>
  <si>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</si>
  <si>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</si>
  <si>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</si>
  <si>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</si>
  <si>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</si>
  <si>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</si>
  <si>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</si>
  <si>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</si>
  <si>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</si>
  <si>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</si>
  <si>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</si>
  <si>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</si>
  <si>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</si>
  <si>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</si>
  <si>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</si>
  <si>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</si>
  <si>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</si>
  <si>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</si>
  <si>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</si>
  <si>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</si>
  <si>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</si>
  <si>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</si>
  <si>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</si>
  <si>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</si>
  <si>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</si>
  <si>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</si>
  <si>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</si>
  <si>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</si>
  <si>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</si>
  <si>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</si>
  <si>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</si>
  <si>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</si>
  <si>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</si>
  <si>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</si>
  <si>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</si>
  <si>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</si>
  <si>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</si>
  <si>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</si>
  <si>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</si>
  <si>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</si>
  <si>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</si>
  <si>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</si>
  <si>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</si>
  <si>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</si>
  <si>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</si>
  <si>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</si>
  <si>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</si>
  <si>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</si>
  <si>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</si>
  <si>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</si>
  <si>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</si>
  <si>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</si>
  <si>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</si>
  <si>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</si>
  <si>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</si>
  <si>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</si>
  <si>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</si>
  <si>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</si>
  <si>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</si>
  <si>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</si>
  <si>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</si>
  <si>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</si>
  <si>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</si>
  <si>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</si>
  <si>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</si>
  <si>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</si>
  <si>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</si>
  <si>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</si>
  <si>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</si>
  <si>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</si>
  <si>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</si>
  <si>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</si>
  <si>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</si>
  <si>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</si>
  <si>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</si>
  <si>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</si>
  <si>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</si>
  <si>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</si>
  <si>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</si>
  <si>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</si>
  <si>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</si>
  <si>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</si>
  <si>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</si>
  <si>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</si>
  <si>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</si>
  <si>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</si>
  <si>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</si>
  <si>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</si>
  <si>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</si>
  <si>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</si>
  <si>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</si>
  <si>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</si>
  <si>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</si>
  <si>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</si>
  <si>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</si>
  <si>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</si>
  <si>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</si>
  <si>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</si>
  <si>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</si>
  <si>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</si>
  <si>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</si>
  <si>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</si>
  <si>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</si>
  <si>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</si>
  <si>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</si>
  <si>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</si>
  <si>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</si>
  <si>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</si>
  <si>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</si>
  <si>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</si>
  <si>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</si>
  <si>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</si>
  <si>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</si>
  <si>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</si>
  <si>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</si>
  <si>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</si>
  <si>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</si>
  <si>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</si>
  <si>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</si>
  <si>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</si>
  <si>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</si>
  <si>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</si>
  <si>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</si>
  <si>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</si>
  <si>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</si>
  <si>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</si>
  <si>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</si>
  <si>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</si>
  <si>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</si>
  <si>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</si>
  <si>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</si>
  <si>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</si>
  <si>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</si>
  <si>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</si>
  <si>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</si>
  <si>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</si>
  <si>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</si>
  <si>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</si>
  <si>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</si>
  <si>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</si>
  <si>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</si>
  <si>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</si>
  <si>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</si>
  <si>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</si>
  <si>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</si>
  <si>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</si>
  <si>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</si>
  <si>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</si>
  <si>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</si>
  <si>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</si>
  <si>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</si>
  <si>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</si>
  <si>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</si>
  <si>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</si>
  <si>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</si>
  <si>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</si>
  <si>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</si>
  <si>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</si>
  <si>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</si>
  <si>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</si>
  <si>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</si>
  <si>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</si>
  <si>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</si>
  <si>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</si>
  <si>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</si>
  <si>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</si>
  <si>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</si>
  <si>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</si>
  <si>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</si>
  <si>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</si>
  <si>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</si>
  <si>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</si>
  <si>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</si>
  <si>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</si>
  <si>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</si>
  <si>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</si>
  <si>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</si>
  <si>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</si>
  <si>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</si>
  <si>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</si>
  <si>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</si>
  <si>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</si>
  <si>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</si>
  <si>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</si>
  <si>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</si>
  <si>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</si>
  <si>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</si>
  <si>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</si>
  <si>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</si>
  <si>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</si>
  <si>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</si>
  <si>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</si>
  <si>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</si>
  <si>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</si>
  <si>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</si>
  <si>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</si>
  <si>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</si>
  <si>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</si>
  <si>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</si>
  <si>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</si>
  <si>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</si>
  <si>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</si>
  <si>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</si>
  <si>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</si>
  <si>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</si>
  <si>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</si>
  <si>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</si>
  <si>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</si>
  <si>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</si>
  <si>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</si>
  <si>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</si>
  <si>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</si>
  <si>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</si>
  <si>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</si>
  <si>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</si>
  <si>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</si>
  <si>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</si>
  <si>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</si>
  <si>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</si>
  <si>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</si>
  <si>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</si>
  <si>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</si>
  <si>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</si>
  <si>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</si>
  <si>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</si>
  <si>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</si>
  <si>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</si>
  <si>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</si>
  <si>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</si>
  <si>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</si>
  <si>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</si>
  <si>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</si>
  <si>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</si>
  <si>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</si>
  <si>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</si>
  <si>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</si>
  <si>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</si>
  <si>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</si>
  <si>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</si>
  <si>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</si>
  <si>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</si>
  <si>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</si>
  <si>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</si>
  <si>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</si>
  <si>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</si>
  <si>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</si>
  <si>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</si>
  <si>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</si>
  <si>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</si>
  <si>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</si>
  <si>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</si>
  <si>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</si>
  <si>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</si>
  <si>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</si>
  <si>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</si>
  <si>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</si>
  <si>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</si>
  <si>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</si>
  <si>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</si>
  <si>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</si>
  <si>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</si>
  <si>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</si>
  <si>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</si>
  <si>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</si>
  <si>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</si>
  <si>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</si>
  <si>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</si>
  <si>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</si>
  <si>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</si>
  <si>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</si>
  <si>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</si>
  <si>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</si>
  <si>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</si>
  <si>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</si>
  <si>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</si>
  <si>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</si>
  <si>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</si>
  <si>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</si>
  <si>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</si>
  <si>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</si>
  <si>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</si>
  <si>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</si>
  <si>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</si>
  <si>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</si>
  <si>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</si>
  <si>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</si>
  <si>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</si>
  <si>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</si>
  <si>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</si>
  <si>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</si>
  <si>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</si>
  <si>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</si>
  <si>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</si>
  <si>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</si>
  <si>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</si>
  <si>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</si>
  <si>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</si>
  <si>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</si>
  <si>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</si>
  <si>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</si>
  <si>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</si>
  <si>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</si>
  <si>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</si>
  <si>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</si>
  <si>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</si>
  <si>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</si>
  <si>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</si>
  <si>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</si>
  <si>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</si>
  <si>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</si>
  <si>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</si>
  <si>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</si>
  <si>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</si>
  <si>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</si>
  <si>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</si>
  <si>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</si>
  <si>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</si>
  <si>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</si>
  <si>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</si>
  <si>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</si>
  <si>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</si>
  <si>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</si>
  <si>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</si>
  <si>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</si>
  <si>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</si>
  <si>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</si>
  <si>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</si>
  <si>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</si>
  <si>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</si>
  <si>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</si>
  <si>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</si>
  <si>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</si>
  <si>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</si>
  <si>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</si>
  <si>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</si>
  <si>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</si>
  <si>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</si>
  <si>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</si>
  <si>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</si>
  <si>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</si>
  <si>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</si>
  <si>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</si>
  <si>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</si>
  <si>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</si>
  <si>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</si>
  <si>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</si>
  <si>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</si>
  <si>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</si>
  <si>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</si>
  <si>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</si>
  <si>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</si>
  <si>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</si>
  <si>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</si>
  <si>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</si>
  <si>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</si>
  <si>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</si>
  <si>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</si>
  <si>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</si>
  <si>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</si>
  <si>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</si>
  <si>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</si>
  <si>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</si>
  <si>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</si>
  <si>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</si>
  <si>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</si>
  <si>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</si>
  <si>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</si>
  <si>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</si>
  <si>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</si>
  <si>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</si>
  <si>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</si>
  <si>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</si>
  <si>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</si>
  <si>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</si>
  <si>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</si>
  <si>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</si>
  <si>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</si>
  <si>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</si>
  <si>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</si>
  <si>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</si>
  <si>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</si>
  <si>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</si>
  <si>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</si>
  <si>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</si>
  <si>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</si>
  <si>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</si>
  <si>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</si>
  <si>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</si>
  <si>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</si>
  <si>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</si>
  <si>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</si>
  <si>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</si>
  <si>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</si>
  <si>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</si>
  <si>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</si>
  <si>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</si>
  <si>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</si>
  <si>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</si>
  <si>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</si>
  <si>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</si>
  <si>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</si>
  <si>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</si>
  <si>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</si>
  <si>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</si>
  <si>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</si>
  <si>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</si>
  <si>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</si>
  <si>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</si>
  <si>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</si>
  <si>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</si>
  <si>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</si>
  <si>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</si>
  <si>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</si>
  <si>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</si>
  <si>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</si>
  <si>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</si>
  <si>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</si>
  <si>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</si>
  <si>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</si>
  <si>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</si>
  <si>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</si>
  <si>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</si>
  <si>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</si>
  <si>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</si>
  <si>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</si>
  <si>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</si>
  <si>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</si>
  <si>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</si>
  <si>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</si>
  <si>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</si>
  <si>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</si>
  <si>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</si>
  <si>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</si>
  <si>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</si>
  <si>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</si>
  <si>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</si>
  <si>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</si>
  <si>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</si>
  <si>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</si>
  <si>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</si>
  <si>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</si>
  <si>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</si>
  <si>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</si>
  <si>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</si>
  <si>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</si>
  <si>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</si>
  <si>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</si>
  <si>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</si>
  <si>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</si>
  <si>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</si>
  <si>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</si>
  <si>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</si>
  <si>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</si>
  <si>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</si>
  <si>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</si>
  <si>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</si>
  <si>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</si>
  <si>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</si>
  <si>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</si>
  <si>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</si>
  <si>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</si>
  <si>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</si>
  <si>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</si>
  <si>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</si>
  <si>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</si>
  <si>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</si>
  <si>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</si>
  <si>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</si>
  <si>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</si>
  <si>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</si>
  <si>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</si>
  <si>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</si>
  <si>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</si>
  <si>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</si>
  <si>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</si>
  <si>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</si>
  <si>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</si>
  <si>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</si>
  <si>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</si>
  <si>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</si>
  <si>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</si>
  <si>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</si>
  <si>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</si>
  <si>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</si>
  <si>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</si>
  <si>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</si>
  <si>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</si>
  <si>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</si>
  <si>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</si>
  <si>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</si>
  <si>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</si>
  <si>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</si>
  <si>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</si>
  <si>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</si>
  <si>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</si>
  <si>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</si>
  <si>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</si>
  <si>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</si>
  <si>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</si>
  <si>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</si>
  <si>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</si>
  <si>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</si>
  <si>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</si>
  <si>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</si>
  <si>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</si>
  <si>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</si>
  <si>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</si>
  <si>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</si>
  <si>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</si>
  <si>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</si>
  <si>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</si>
  <si>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</si>
  <si>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</si>
  <si>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</si>
  <si>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</si>
  <si>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</si>
  <si>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</si>
  <si>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</si>
  <si>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</si>
  <si>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</si>
  <si>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</si>
  <si>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</si>
  <si>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</si>
  <si>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</si>
  <si>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</si>
  <si>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</si>
  <si>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</si>
  <si>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</si>
  <si>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</si>
  <si>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</si>
  <si>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</si>
  <si>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</si>
  <si>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</si>
  <si>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</si>
  <si>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</si>
  <si>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</si>
  <si>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</si>
  <si>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</si>
  <si>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</si>
  <si>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</si>
  <si>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</si>
  <si>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</si>
  <si>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</si>
  <si>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</si>
  <si>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</si>
  <si>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</si>
  <si>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</si>
  <si>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</si>
  <si>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</si>
  <si>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</si>
  <si>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</si>
  <si>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</si>
  <si>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</si>
  <si>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</si>
  <si>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</si>
  <si>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</si>
  <si>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</si>
  <si>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</si>
  <si>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</si>
  <si>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</si>
  <si>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</si>
  <si>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</si>
  <si>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</si>
  <si>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</si>
  <si>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</si>
  <si>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</si>
  <si>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</si>
  <si>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</si>
  <si>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</si>
  <si>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</si>
  <si>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</si>
  <si>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</si>
  <si>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</si>
  <si>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</si>
  <si>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</si>
  <si>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</si>
  <si>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</si>
  <si>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</si>
  <si>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</si>
  <si>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</si>
  <si>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</si>
  <si>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</si>
  <si>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</si>
  <si>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</si>
  <si>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</si>
  <si>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</si>
  <si>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</si>
  <si>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</si>
  <si>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</si>
  <si>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</si>
  <si>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</si>
  <si>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</si>
  <si>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</si>
  <si>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</si>
  <si>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</si>
  <si>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</si>
  <si>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</si>
  <si>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</si>
  <si>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</si>
  <si>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</si>
  <si>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</si>
  <si>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</si>
  <si>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</si>
  <si>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</si>
  <si>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</si>
  <si>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</si>
  <si>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</si>
  <si>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</si>
  <si>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</si>
  <si>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</si>
  <si>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</si>
  <si>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</si>
  <si>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</si>
  <si>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</si>
  <si>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</si>
  <si>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</si>
  <si>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</si>
  <si>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</si>
  <si>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</si>
  <si>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</si>
  <si>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</si>
  <si>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</si>
  <si>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</si>
  <si>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</si>
  <si>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</si>
  <si>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</si>
  <si>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</si>
  <si>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</si>
  <si>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</si>
  <si>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</si>
  <si>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</si>
  <si>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</si>
  <si>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</si>
  <si>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</si>
  <si>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</si>
  <si>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</si>
  <si>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</si>
  <si>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</si>
  <si>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</si>
  <si>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</si>
  <si>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</si>
  <si>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</si>
  <si>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</si>
  <si>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</si>
  <si>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</si>
  <si>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</si>
  <si>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</si>
  <si>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</si>
  <si>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</si>
  <si>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</si>
  <si>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</si>
  <si>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</si>
  <si>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</si>
  <si>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</si>
  <si>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</si>
  <si>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</si>
  <si>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</si>
  <si>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</si>
  <si>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</si>
  <si>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</si>
  <si>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</si>
  <si>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</si>
  <si>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</si>
  <si>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</si>
  <si>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</si>
  <si>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</si>
  <si>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</si>
  <si>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</si>
  <si>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</si>
  <si>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</si>
  <si>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</si>
  <si>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</si>
  <si>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</si>
  <si>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</si>
  <si>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</si>
  <si>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</si>
  <si>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</si>
  <si>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</si>
  <si>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</si>
  <si>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</si>
  <si>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</si>
  <si>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</si>
  <si>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</si>
  <si>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</si>
  <si>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</si>
  <si>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</si>
  <si>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</si>
  <si>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</si>
  <si>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</si>
  <si>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</si>
  <si>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</si>
  <si>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</si>
  <si>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</si>
  <si>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</si>
  <si>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</si>
  <si>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</si>
  <si>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</si>
  <si>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</si>
  <si>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</si>
  <si>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</si>
  <si>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</si>
  <si>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</si>
  <si>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</si>
  <si>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</si>
  <si>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</si>
  <si>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</si>
  <si>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</si>
  <si>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</si>
  <si>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</si>
  <si>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</si>
  <si>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</si>
  <si>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</si>
  <si>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</si>
  <si>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</si>
  <si>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</si>
  <si>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</si>
  <si>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</si>
  <si>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</si>
  <si>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</si>
  <si>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</si>
  <si>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</si>
  <si>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</si>
  <si>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</si>
  <si>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</si>
  <si>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</si>
  <si>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</si>
  <si>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</si>
  <si>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</si>
  <si>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</si>
  <si>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</si>
  <si>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</si>
  <si>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</si>
  <si>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</si>
  <si>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</si>
  <si>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</si>
  <si>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</si>
  <si>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</si>
  <si>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</si>
  <si>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</si>
  <si>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</si>
  <si>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</si>
  <si>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</si>
  <si>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</si>
  <si>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</si>
  <si>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</si>
  <si>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</si>
  <si>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</si>
  <si>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</si>
  <si>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</si>
  <si>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</si>
  <si>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</si>
  <si>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</si>
  <si>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</si>
  <si>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</si>
  <si>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</si>
  <si>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</si>
  <si>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</si>
  <si>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</si>
  <si>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</si>
  <si>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</si>
  <si>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</si>
  <si>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</si>
  <si>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</si>
  <si>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</si>
  <si>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</si>
  <si>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</si>
  <si>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</si>
  <si>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</si>
  <si>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</si>
  <si>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</si>
  <si>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</si>
  <si>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</si>
  <si>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</si>
  <si>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</si>
  <si>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</si>
  <si>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</si>
  <si>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</si>
  <si>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</si>
  <si>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</si>
  <si>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</si>
  <si>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</si>
  <si>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</si>
  <si>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</si>
  <si>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</si>
  <si>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</si>
  <si>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</si>
  <si>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</si>
  <si>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</si>
  <si>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</si>
  <si>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</si>
  <si>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</si>
  <si>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</si>
  <si>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</si>
  <si>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</si>
  <si>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</si>
  <si>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</si>
  <si>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</si>
  <si>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</si>
  <si>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</si>
  <si>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</si>
  <si>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</si>
  <si>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</si>
  <si>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</si>
  <si>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</si>
  <si>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</si>
  <si>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</si>
  <si>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</si>
  <si>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</si>
  <si>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</si>
  <si>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</si>
  <si>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</si>
  <si>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</si>
  <si>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</si>
  <si>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</si>
  <si>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</si>
  <si>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</si>
  <si>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</si>
  <si>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</si>
  <si>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</si>
  <si>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</si>
  <si>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</si>
  <si>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</si>
  <si>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</si>
  <si>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</si>
  <si>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</si>
  <si>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</si>
  <si>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</si>
  <si>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</si>
  <si>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</si>
  <si>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</si>
  <si>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</si>
  <si>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</si>
  <si>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</si>
  <si>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</si>
  <si>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</si>
  <si>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</si>
  <si>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</si>
  <si>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</si>
  <si>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</si>
  <si>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</si>
  <si>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</si>
  <si>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</si>
  <si>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</si>
  <si>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</si>
  <si>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</si>
  <si>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</si>
  <si>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</si>
  <si>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</si>
  <si>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</si>
  <si>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</si>
  <si>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</si>
  <si>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</si>
  <si>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</si>
  <si>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</si>
  <si>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</si>
  <si>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</si>
  <si>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</si>
  <si>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</si>
  <si>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</si>
  <si>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</si>
  <si>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</si>
  <si>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</si>
  <si>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</si>
  <si>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</si>
  <si>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</si>
  <si>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</si>
  <si>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</si>
  <si>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</si>
  <si>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</si>
  <si>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</si>
  <si>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</si>
  <si>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</si>
  <si>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</si>
  <si>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</si>
  <si>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</si>
  <si>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</si>
  <si>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</si>
  <si>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</si>
  <si>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</si>
  <si>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</si>
  <si>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</si>
  <si>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</si>
  <si>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</si>
  <si>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</si>
  <si>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</si>
  <si>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</si>
  <si>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</si>
  <si>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</si>
  <si>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</si>
  <si>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</si>
  <si>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</si>
  <si>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</si>
  <si>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</si>
  <si>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</si>
  <si>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</si>
  <si>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</si>
  <si>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</si>
  <si>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</si>
  <si>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</si>
  <si>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</si>
  <si>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</si>
  <si>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</si>
  <si>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</si>
  <si>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</si>
  <si>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</si>
  <si>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</si>
  <si>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</si>
  <si>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</si>
  <si>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</si>
  <si>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</si>
  <si>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</si>
  <si>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</si>
  <si>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</si>
  <si>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</si>
  <si>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</si>
  <si>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</si>
  <si>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</si>
  <si>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</si>
  <si>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</si>
  <si>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</si>
  <si>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</si>
  <si>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</si>
  <si>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</si>
  <si>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</si>
  <si>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</si>
  <si>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</si>
  <si>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</si>
  <si>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</si>
  <si>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</si>
  <si>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</si>
  <si>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</si>
  <si>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</si>
  <si>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</si>
  <si>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</si>
  <si>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</si>
  <si>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</si>
  <si>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</si>
  <si>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</si>
  <si>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</si>
  <si>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</si>
  <si>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</si>
  <si>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</si>
  <si>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</si>
  <si>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</si>
  <si>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</si>
  <si>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</si>
  <si>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</si>
  <si>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</si>
  <si>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</si>
  <si>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</si>
  <si>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</si>
  <si>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</si>
  <si>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</si>
  <si>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</si>
  <si>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</si>
  <si>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</si>
  <si>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</si>
  <si>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</si>
  <si>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</si>
  <si>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</si>
  <si>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</si>
  <si>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</si>
  <si>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</si>
  <si>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</si>
  <si>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</si>
  <si>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</si>
  <si>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</si>
  <si>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</si>
  <si>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</si>
  <si>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</si>
  <si>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</si>
  <si>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</si>
  <si>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</si>
  <si>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</si>
  <si>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</si>
  <si>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</si>
  <si>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</si>
  <si>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</si>
  <si>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</si>
  <si>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</si>
  <si>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</si>
  <si>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</si>
  <si>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</si>
  <si>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</si>
  <si>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</si>
  <si>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</si>
  <si>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</si>
  <si>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</si>
  <si>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</si>
  <si>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</si>
  <si>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</si>
  <si>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</si>
  <si>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</si>
  <si>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</si>
  <si>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</si>
  <si>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</si>
  <si>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</si>
  <si>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</si>
  <si>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</si>
  <si>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</si>
  <si>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</si>
  <si>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</si>
  <si>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</si>
  <si>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</si>
  <si>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</si>
  <si>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</si>
  <si>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</si>
  <si>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</si>
  <si>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</si>
  <si>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</si>
  <si>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</si>
  <si>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</si>
  <si>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</si>
  <si>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</si>
  <si>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</si>
  <si>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</si>
  <si>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</si>
  <si>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</si>
  <si>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</si>
  <si>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</si>
  <si>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</si>
  <si>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</si>
  <si>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</si>
  <si>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</si>
  <si>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</si>
  <si>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</si>
  <si>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</si>
  <si>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</si>
  <si>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</si>
  <si>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</si>
  <si>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</si>
  <si>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</si>
  <si>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</si>
  <si>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</si>
  <si>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</si>
  <si>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</si>
  <si>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</si>
  <si>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</si>
  <si>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</si>
  <si>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</si>
  <si>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</si>
  <si>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</si>
  <si>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</si>
  <si>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</si>
  <si>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</si>
  <si>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</si>
  <si>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</si>
  <si>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</si>
  <si>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</si>
  <si>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</si>
  <si>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</si>
  <si>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</si>
  <si>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</si>
  <si>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</si>
  <si>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</si>
  <si>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</si>
  <si>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</si>
  <si>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</si>
  <si>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</si>
  <si>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</si>
  <si>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</si>
  <si>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</si>
  <si>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</si>
  <si>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</si>
  <si>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</si>
  <si>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</si>
  <si>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</si>
  <si>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</si>
  <si>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</si>
  <si>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</si>
  <si>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</si>
  <si>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</si>
  <si>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</si>
  <si>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</si>
  <si>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</si>
  <si>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</si>
  <si>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</si>
  <si>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</si>
  <si>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</si>
  <si>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</si>
  <si>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</si>
  <si>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</si>
  <si>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</si>
  <si>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</si>
  <si>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</si>
  <si>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</si>
  <si>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</si>
  <si>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</si>
  <si>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</si>
  <si>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</si>
  <si>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</si>
  <si>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</si>
  <si>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</si>
  <si>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</si>
  <si>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</si>
  <si>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</si>
  <si>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</si>
  <si>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</si>
  <si>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</si>
  <si>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</si>
  <si>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</si>
  <si>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</si>
  <si>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</si>
  <si>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</si>
  <si>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</si>
  <si>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</si>
  <si>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</si>
  <si>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</si>
  <si>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</si>
  <si>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</si>
  <si>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</si>
  <si>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</si>
  <si>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</si>
  <si>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</si>
  <si>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</si>
  <si>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</si>
  <si>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</si>
  <si>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</si>
  <si>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</si>
  <si>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</si>
  <si>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</si>
  <si>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</si>
  <si>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</si>
  <si>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</si>
  <si>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</si>
  <si>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</si>
  <si>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</si>
  <si>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</si>
  <si>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</si>
  <si>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</si>
  <si>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</si>
  <si>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</si>
  <si>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</si>
  <si>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</si>
  <si>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</si>
  <si>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</si>
  <si>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</si>
  <si>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</si>
  <si>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</si>
  <si>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</si>
  <si>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</si>
  <si>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</si>
  <si>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</si>
  <si>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</si>
  <si>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</si>
  <si>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</si>
  <si>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</si>
  <si>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</si>
  <si>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</si>
  <si>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</si>
  <si>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</si>
  <si>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</si>
  <si>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</si>
  <si>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</si>
  <si>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</si>
  <si>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</si>
  <si>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</si>
  <si>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</si>
  <si>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</si>
  <si>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</si>
  <si>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</si>
  <si>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</si>
  <si>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</si>
  <si>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</si>
  <si>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</si>
  <si>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</si>
  <si>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</si>
  <si>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</si>
  <si>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</si>
  <si>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</si>
  <si>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</si>
  <si>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</si>
  <si>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</si>
  <si>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</si>
  <si>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</si>
  <si>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</si>
  <si>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</si>
  <si>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</si>
  <si>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</si>
  <si>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</si>
  <si>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</si>
  <si>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</si>
  <si>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</si>
  <si>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</si>
  <si>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</si>
  <si>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</si>
  <si>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</si>
  <si>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</si>
  <si>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</si>
  <si>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</si>
  <si>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</si>
  <si>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</si>
  <si>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</si>
  <si>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</si>
  <si>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</si>
  <si>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</si>
  <si>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</si>
  <si>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</si>
  <si>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</si>
  <si>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</si>
  <si>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</si>
  <si>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</si>
  <si>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</si>
  <si>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</si>
  <si>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</si>
  <si>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</si>
  <si>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</si>
  <si>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</si>
  <si>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</si>
  <si>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</si>
  <si>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</si>
  <si>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</si>
  <si>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</si>
  <si>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</si>
  <si>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</si>
  <si>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</si>
  <si>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</si>
  <si>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</si>
  <si>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</si>
  <si>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</si>
  <si>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</si>
  <si>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</si>
  <si>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</si>
  <si>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</si>
  <si>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</si>
  <si>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</si>
  <si>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</si>
  <si>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</si>
  <si>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</si>
  <si>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</si>
  <si>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</si>
  <si>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</si>
  <si>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</si>
  <si>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</si>
  <si>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</si>
  <si>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</si>
  <si>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</si>
  <si>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</si>
  <si>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</si>
  <si>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</si>
  <si>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</si>
  <si>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</si>
  <si>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</si>
  <si>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</si>
  <si>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</si>
  <si>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</si>
  <si>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</si>
  <si>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</si>
  <si>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</si>
  <si>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</si>
  <si>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</si>
  <si>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</si>
  <si>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</si>
  <si>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</si>
  <si>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</si>
  <si>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</si>
  <si>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</si>
  <si>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</si>
  <si>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</si>
  <si>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</si>
  <si>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</si>
  <si>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</si>
  <si>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</si>
  <si>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</si>
  <si>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</si>
  <si>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</si>
  <si>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</si>
  <si>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</si>
  <si>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</si>
  <si>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</si>
  <si>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</si>
  <si>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</si>
  <si>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</si>
  <si>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</si>
  <si>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</si>
  <si>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</si>
  <si>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</si>
  <si>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</si>
  <si>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</si>
  <si>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</si>
  <si>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</si>
  <si>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</si>
  <si>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</si>
  <si>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</si>
  <si>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</si>
  <si>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</si>
  <si>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</si>
  <si>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</si>
  <si>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</si>
  <si>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</si>
  <si>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</si>
  <si>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</si>
  <si>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</si>
  <si>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</si>
  <si>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</si>
  <si>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</si>
  <si>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</si>
  <si>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</si>
  <si>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</si>
  <si>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</si>
  <si>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</si>
  <si>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</si>
  <si>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</si>
  <si>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</si>
  <si>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</si>
  <si>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</si>
  <si>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</si>
  <si>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</si>
  <si>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</si>
  <si>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</si>
  <si>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</si>
  <si>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</si>
  <si>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</si>
  <si>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</si>
  <si>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</si>
  <si>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</si>
  <si>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</si>
  <si>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</si>
  <si>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</si>
  <si>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</si>
  <si>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</si>
  <si>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</si>
  <si>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</si>
  <si>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</si>
  <si>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</si>
  <si>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</si>
  <si>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</si>
  <si>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</si>
  <si>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</si>
  <si>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</si>
  <si>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</si>
  <si>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</si>
  <si>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</si>
  <si>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</si>
  <si>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</si>
  <si>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</si>
  <si>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</si>
  <si>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</si>
  <si>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</si>
  <si>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</si>
  <si>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</si>
  <si>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</si>
  <si>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</si>
  <si>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</si>
  <si>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</si>
  <si>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</si>
  <si>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</si>
  <si>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</si>
  <si>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</si>
  <si>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</si>
  <si>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</si>
  <si>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</si>
  <si>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</si>
  <si>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</si>
  <si>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</si>
  <si>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</si>
  <si>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</si>
  <si>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</si>
  <si>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</si>
  <si>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</si>
  <si>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</si>
  <si>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</si>
  <si>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</si>
  <si>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</si>
  <si>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</si>
  <si>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</si>
  <si>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</si>
  <si>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</si>
  <si>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</si>
  <si>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</si>
  <si>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</si>
  <si>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</si>
  <si>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</si>
  <si>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</si>
  <si>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</si>
  <si>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</si>
  <si>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</si>
  <si>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</si>
  <si>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</si>
  <si>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</si>
  <si>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</si>
  <si>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</si>
  <si>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</si>
  <si>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</si>
  <si>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</si>
  <si>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</si>
  <si>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</si>
  <si>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</si>
  <si>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</si>
  <si>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</si>
  <si>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</si>
  <si>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</si>
  <si>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</si>
  <si>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</si>
  <si>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</si>
  <si>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</si>
  <si>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</si>
  <si>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</si>
  <si>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</si>
  <si>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</si>
  <si>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</si>
  <si>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</si>
  <si>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</si>
  <si>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</si>
  <si>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</si>
  <si>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</si>
  <si>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</si>
  <si>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</si>
  <si>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</si>
  <si>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</si>
  <si>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</si>
  <si>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</si>
  <si>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</si>
  <si>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</si>
  <si>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</si>
  <si>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</si>
  <si>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</si>
  <si>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</si>
  <si>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</si>
  <si>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</si>
  <si>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</si>
  <si>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</si>
  <si>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</si>
  <si>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</si>
  <si>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</si>
  <si>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</si>
  <si>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</si>
  <si>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</si>
  <si>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</si>
  <si>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</si>
  <si>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</si>
  <si>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</si>
  <si>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</si>
  <si>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</si>
  <si>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</si>
  <si>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</si>
  <si>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</si>
  <si>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</si>
  <si>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</si>
  <si>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</si>
  <si>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</si>
  <si>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</si>
  <si>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</si>
  <si>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</si>
  <si>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</si>
  <si>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</si>
  <si>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</si>
  <si>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</si>
  <si>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</si>
  <si>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</si>
  <si>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</si>
  <si>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</si>
  <si>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</si>
  <si>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</si>
  <si>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</si>
  <si>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</si>
  <si>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</si>
  <si>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</si>
  <si>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</si>
  <si>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</si>
  <si>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</si>
  <si>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</si>
  <si>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</si>
  <si>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</si>
  <si>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</si>
  <si>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</si>
  <si>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</si>
  <si>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</si>
  <si>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</si>
  <si>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</si>
  <si>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</si>
  <si>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</si>
  <si>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</si>
  <si>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</si>
  <si>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</si>
  <si>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</si>
  <si>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</si>
  <si>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</si>
  <si>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</si>
  <si>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</si>
  <si>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</si>
  <si>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</si>
  <si>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</si>
  <si>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</si>
  <si>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</si>
  <si>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</si>
  <si>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</si>
  <si>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</si>
  <si>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</si>
  <si>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</si>
  <si>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</si>
  <si>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</si>
  <si>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</si>
  <si>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</si>
  <si>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</si>
  <si>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</si>
  <si>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</si>
  <si>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</si>
  <si>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</si>
  <si>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</si>
  <si>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</si>
  <si>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</si>
  <si>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</si>
  <si>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</si>
  <si>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</si>
  <si>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</si>
  <si>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</si>
  <si>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</si>
  <si>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</si>
  <si>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</si>
  <si>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</si>
  <si>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</si>
  <si>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</si>
  <si>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</si>
  <si>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</si>
  <si>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</si>
  <si>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</si>
  <si>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</si>
  <si>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</si>
  <si>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</si>
  <si>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</si>
  <si>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</si>
  <si>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</si>
  <si>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</si>
  <si>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</si>
  <si>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</si>
  <si>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</si>
  <si>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</si>
  <si>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</si>
  <si>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</si>
  <si>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</si>
  <si>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</si>
  <si>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</si>
  <si>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</si>
  <si>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</si>
  <si>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</si>
  <si>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</si>
  <si>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</si>
  <si>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</si>
  <si>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</si>
  <si>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</si>
  <si>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</si>
  <si>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</si>
  <si>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</si>
  <si>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</si>
  <si>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</si>
  <si>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</si>
  <si>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</si>
  <si>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</si>
  <si>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</si>
  <si>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</si>
  <si>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</si>
  <si>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</si>
  <si>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</si>
  <si>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</si>
  <si>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</si>
  <si>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</si>
  <si>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</si>
  <si>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</si>
  <si>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</si>
  <si>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</si>
  <si>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</si>
  <si>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</si>
  <si>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</si>
  <si>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</si>
  <si>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</si>
  <si>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</si>
  <si>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</si>
  <si>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</si>
  <si>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</si>
  <si>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</si>
  <si>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</si>
  <si>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</si>
  <si>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</si>
  <si>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</si>
  <si>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</si>
  <si>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</si>
  <si>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</si>
  <si>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</si>
  <si>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</si>
  <si>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</si>
  <si>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</si>
  <si>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</si>
  <si>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</si>
  <si>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</si>
  <si>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</si>
  <si>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</si>
  <si>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</si>
  <si>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</si>
  <si>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</si>
  <si>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</si>
  <si>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</si>
  <si>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</si>
  <si>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</si>
  <si>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</si>
  <si>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</si>
  <si>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</si>
  <si>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</si>
  <si>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</si>
  <si>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</si>
  <si>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</si>
  <si>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</si>
  <si>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</si>
  <si>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</si>
  <si>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</si>
  <si>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</si>
  <si>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</si>
  <si>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</si>
  <si>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</si>
  <si>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</si>
  <si>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</si>
  <si>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</si>
  <si>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</si>
  <si>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</si>
  <si>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</si>
  <si>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</si>
  <si>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</si>
  <si>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</si>
  <si>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</si>
  <si>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</si>
  <si>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</si>
  <si>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</si>
  <si>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</si>
  <si>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</si>
  <si>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</si>
  <si>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</si>
  <si>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</si>
  <si>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</si>
  <si>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</si>
  <si>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</si>
  <si>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</si>
  <si>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</si>
  <si>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</si>
  <si>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</si>
  <si>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</si>
  <si>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</si>
  <si>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</si>
  <si>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</si>
  <si>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</si>
  <si>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</si>
  <si>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</si>
  <si>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</si>
  <si>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</si>
  <si>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</si>
  <si>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</si>
  <si>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</si>
  <si>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</si>
  <si>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</si>
  <si>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</si>
  <si>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</si>
  <si>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</si>
  <si>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</si>
  <si>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</si>
  <si>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</si>
  <si>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</si>
  <si>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</si>
  <si>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</si>
  <si>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</si>
  <si>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</si>
  <si>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</si>
  <si>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</si>
  <si>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</si>
  <si>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</si>
  <si>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</si>
  <si>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</si>
  <si>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</si>
  <si>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</si>
  <si>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</si>
  <si>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</si>
  <si>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</si>
  <si>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</si>
  <si>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</si>
  <si>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</si>
  <si>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</si>
  <si>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</si>
  <si>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</si>
  <si>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</si>
  <si>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</si>
  <si>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</si>
  <si>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</si>
  <si>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</si>
  <si>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</si>
  <si>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</si>
  <si>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</si>
  <si>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</si>
  <si>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</si>
  <si>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</si>
  <si>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</si>
  <si>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</si>
  <si>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</si>
  <si>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</si>
  <si>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</si>
  <si>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</si>
  <si>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</si>
  <si>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</si>
  <si>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</si>
  <si>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</si>
  <si>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</si>
  <si>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</si>
  <si>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</si>
  <si>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</si>
  <si>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</si>
  <si>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</si>
  <si>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</si>
  <si>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</si>
  <si>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</si>
  <si>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</si>
  <si>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</si>
  <si>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</si>
  <si>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</si>
  <si>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</si>
  <si>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</si>
  <si>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</si>
  <si>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</si>
  <si>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</si>
  <si>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</si>
  <si>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</si>
  <si>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</si>
  <si>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</si>
  <si>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</si>
  <si>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</si>
  <si>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</si>
  <si>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</si>
  <si>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</si>
  <si>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</si>
  <si>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</si>
  <si>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</si>
  <si>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</si>
  <si>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</si>
  <si>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</si>
  <si>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</si>
  <si>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</si>
  <si>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</si>
  <si>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</si>
  <si>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</si>
  <si>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</si>
  <si>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</si>
  <si>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</si>
  <si>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</si>
  <si>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</si>
  <si>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</si>
  <si>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</si>
  <si>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</si>
  <si>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</si>
  <si>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</si>
  <si>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</si>
  <si>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</si>
  <si>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</si>
  <si>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</si>
  <si>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</si>
  <si>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</si>
  <si>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</si>
  <si>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</si>
  <si>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</si>
  <si>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</si>
  <si>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</si>
  <si>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</si>
  <si>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</si>
  <si>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</si>
  <si>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</si>
  <si>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</si>
  <si>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</si>
  <si>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</si>
  <si>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</si>
  <si>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</si>
  <si>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</si>
  <si>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</si>
  <si>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</si>
  <si>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</si>
  <si>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</si>
  <si>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</si>
  <si>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</si>
  <si>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</si>
  <si>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</si>
  <si>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</si>
  <si>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</si>
  <si>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</si>
  <si>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</si>
  <si>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</si>
  <si>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</si>
  <si>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</si>
  <si>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</si>
  <si>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</si>
  <si>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</si>
  <si>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</si>
  <si>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</si>
  <si>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</si>
  <si>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</si>
  <si>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</si>
  <si>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</si>
  <si>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</si>
  <si>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</si>
  <si>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</si>
  <si>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</si>
  <si>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</si>
  <si>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</si>
  <si>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</si>
  <si>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</si>
  <si>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</si>
  <si>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</si>
  <si>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</si>
  <si>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</si>
  <si>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</si>
  <si>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</si>
  <si>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</si>
  <si>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</si>
  <si>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</si>
  <si>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</si>
  <si>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</si>
  <si>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</si>
  <si>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</si>
  <si>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</si>
  <si>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</si>
  <si>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</si>
  <si>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</si>
  <si>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</si>
  <si>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</si>
  <si>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</si>
  <si>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</si>
  <si>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</si>
  <si>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</si>
  <si>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</si>
  <si>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</si>
  <si>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</si>
  <si>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</si>
  <si>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</si>
  <si>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</si>
  <si>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</si>
  <si>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</si>
  <si>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</si>
  <si>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</si>
  <si>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</si>
  <si>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</si>
  <si>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</si>
  <si>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</si>
  <si>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</si>
  <si>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</si>
  <si>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</si>
  <si>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</si>
  <si>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</si>
  <si>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</si>
  <si>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</si>
  <si>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</si>
  <si>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</si>
  <si>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</si>
  <si>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</si>
  <si>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</si>
  <si>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</si>
  <si>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</si>
  <si>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</si>
  <si>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</si>
  <si>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</si>
  <si>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</si>
  <si>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</si>
  <si>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</si>
  <si>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</si>
  <si>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</si>
  <si>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</si>
  <si>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</si>
  <si>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</si>
  <si>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</si>
  <si>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</si>
  <si>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</si>
  <si>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</si>
  <si>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</si>
  <si>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</si>
  <si>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</si>
  <si>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</si>
  <si>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</si>
  <si>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</si>
  <si>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</si>
  <si>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</si>
  <si>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</si>
  <si>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</si>
  <si>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</si>
  <si>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</si>
  <si>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</si>
  <si>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</si>
  <si>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</si>
  <si>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</si>
  <si>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</si>
  <si>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</si>
  <si>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</si>
  <si>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</si>
  <si>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</si>
  <si>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</si>
  <si>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</si>
  <si>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</si>
  <si>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</si>
  <si>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</si>
  <si>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</si>
  <si>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</si>
  <si>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</si>
  <si>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</si>
  <si>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</si>
  <si>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</si>
  <si>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</si>
  <si>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</si>
  <si>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</si>
  <si>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</si>
  <si>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</si>
  <si>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</si>
  <si>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</si>
  <si>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</si>
  <si>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</si>
  <si>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</si>
  <si>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</si>
  <si>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</si>
  <si>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</si>
  <si>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</si>
  <si>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</si>
  <si>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</si>
  <si>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</si>
  <si>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</si>
  <si>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</si>
  <si>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</si>
  <si>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</si>
  <si>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</si>
  <si>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</si>
  <si>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</si>
  <si>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</si>
  <si>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</si>
  <si>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</si>
  <si>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</si>
  <si>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</si>
  <si>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</si>
  <si>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</si>
  <si>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</si>
  <si>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</si>
  <si>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</si>
  <si>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</si>
  <si>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</si>
  <si>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</si>
  <si>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</si>
  <si>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</si>
  <si>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</si>
  <si>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</si>
  <si>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</si>
  <si>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</si>
  <si>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</si>
  <si>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</si>
  <si>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</si>
  <si>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</si>
  <si>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</si>
  <si>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</si>
  <si>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</si>
  <si>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</si>
  <si>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</si>
  <si>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</si>
  <si>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</si>
  <si>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</si>
  <si>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</si>
  <si>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</si>
  <si>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</si>
  <si>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</si>
  <si>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</si>
  <si>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</si>
  <si>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</si>
  <si>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</si>
  <si>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</si>
  <si>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</si>
  <si>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</si>
  <si>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</si>
  <si>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</si>
  <si>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</si>
  <si>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</si>
  <si>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</si>
  <si>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</si>
  <si>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</si>
  <si>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</si>
  <si>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</si>
  <si>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</si>
  <si>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</si>
  <si>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</si>
  <si>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</si>
  <si>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</si>
  <si>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</si>
  <si>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</si>
  <si>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</si>
  <si>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</si>
  <si>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</si>
  <si>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</si>
  <si>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</si>
  <si>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</si>
  <si>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</si>
  <si>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</si>
  <si>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</si>
  <si>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</si>
  <si>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</si>
  <si>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</si>
  <si>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</si>
  <si>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</si>
  <si>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</si>
  <si>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</si>
  <si>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</si>
  <si>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</si>
  <si>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</si>
  <si>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</si>
  <si>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</si>
  <si>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</si>
  <si>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</si>
  <si>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</si>
  <si>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</si>
  <si>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</si>
  <si>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</si>
  <si>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</si>
  <si>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</si>
  <si>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</si>
  <si>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</si>
  <si>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</si>
  <si>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</si>
  <si>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</si>
  <si>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</si>
  <si>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</si>
  <si>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</si>
  <si>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</si>
  <si>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</si>
  <si>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</si>
  <si>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</si>
  <si>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</si>
  <si>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</si>
  <si>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</si>
  <si>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</si>
  <si>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</si>
  <si>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</si>
  <si>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</si>
  <si>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</si>
  <si>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</si>
  <si>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</si>
  <si>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</si>
  <si>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</si>
  <si>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</si>
  <si>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</si>
  <si>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</si>
  <si>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</si>
  <si>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</si>
  <si>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</si>
  <si>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</si>
  <si>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</si>
  <si>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</si>
  <si>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</si>
  <si>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</si>
  <si>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</si>
  <si>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</si>
  <si>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</si>
  <si>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</si>
  <si>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</si>
  <si>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</si>
  <si>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</si>
  <si>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</si>
  <si>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</si>
  <si>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</si>
  <si>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</si>
  <si>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</si>
  <si>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</si>
  <si>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</si>
  <si>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</si>
  <si>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</si>
  <si>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</si>
  <si>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</si>
  <si>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</si>
  <si>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</si>
  <si>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</si>
  <si>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</si>
  <si>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</si>
  <si>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</si>
  <si>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</si>
  <si>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</si>
  <si>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</si>
  <si>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</si>
  <si>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</si>
  <si>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</si>
  <si>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</si>
  <si>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</si>
  <si>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</si>
  <si>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</si>
  <si>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</si>
  <si>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</si>
  <si>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</si>
  <si>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</si>
  <si>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</si>
  <si>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</si>
  <si>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</si>
  <si>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</si>
  <si>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</si>
  <si>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</si>
  <si>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</si>
  <si>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</si>
  <si>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</si>
  <si>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</si>
  <si>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</si>
  <si>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</si>
  <si>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</si>
  <si>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</si>
  <si>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</si>
  <si>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</si>
  <si>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</si>
  <si>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</si>
  <si>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</si>
  <si>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</si>
  <si>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</si>
  <si>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</si>
  <si>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</si>
  <si>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</si>
  <si>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</si>
  <si>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</si>
  <si>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</si>
  <si>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</si>
  <si>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</si>
  <si>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</si>
  <si>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</si>
  <si>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</si>
  <si>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</si>
  <si>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</si>
  <si>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</si>
  <si>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</si>
  <si>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</si>
  <si>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</si>
  <si>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</si>
  <si>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</si>
  <si>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</si>
  <si>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</si>
  <si>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</si>
  <si>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</si>
  <si>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</si>
  <si>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</si>
  <si>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</si>
  <si>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</si>
  <si>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</si>
  <si>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</si>
  <si>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</si>
  <si>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</si>
  <si>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</si>
  <si>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</si>
  <si>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</si>
  <si>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</si>
  <si>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</si>
  <si>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</si>
  <si>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</si>
  <si>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</si>
  <si>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</si>
  <si>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</si>
  <si>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</si>
  <si>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</si>
  <si>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</si>
  <si>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</si>
  <si>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</si>
  <si>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</si>
  <si>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</si>
  <si>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</si>
  <si>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</si>
  <si>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</si>
  <si>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</si>
  <si>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</si>
  <si>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</si>
  <si>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</si>
  <si>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</si>
  <si>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</si>
  <si>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</si>
  <si>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</si>
  <si>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</si>
  <si>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</si>
  <si>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</si>
  <si>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</si>
  <si>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</si>
  <si>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</si>
  <si>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</si>
  <si>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</si>
  <si>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</si>
  <si>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</si>
  <si>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</si>
  <si>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</si>
  <si>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</si>
  <si>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</si>
  <si>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</si>
  <si>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</si>
  <si>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</si>
  <si>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</si>
  <si>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</si>
  <si>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</si>
  <si>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</si>
  <si>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</si>
  <si>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</si>
  <si>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</si>
  <si>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</si>
  <si>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</si>
  <si>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</si>
  <si>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</si>
  <si>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</si>
  <si>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</si>
  <si>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</si>
  <si>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</si>
  <si>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</si>
  <si>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</si>
  <si>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</si>
  <si>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</si>
  <si>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</si>
  <si>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</si>
  <si>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</si>
  <si>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</si>
  <si>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</si>
  <si>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</si>
  <si>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</si>
  <si>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</si>
  <si>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</si>
  <si>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</si>
  <si>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</si>
  <si>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</si>
  <si>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</si>
  <si>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</si>
  <si>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</si>
  <si>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</si>
  <si>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</si>
  <si>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</si>
  <si>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</si>
  <si>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</si>
  <si>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</si>
  <si>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</si>
  <si>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</si>
  <si>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</si>
  <si>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</si>
  <si>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</si>
  <si>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</si>
  <si>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</si>
  <si>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</si>
  <si>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</si>
  <si>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</si>
  <si>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</si>
  <si>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</si>
  <si>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</si>
  <si>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</si>
  <si>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</si>
  <si>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</si>
  <si>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</si>
  <si>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</si>
  <si>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</si>
  <si>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</si>
  <si>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</si>
  <si>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</si>
  <si>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</si>
  <si>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</si>
  <si>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</si>
  <si>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</si>
  <si>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</si>
  <si>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</si>
  <si>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</si>
  <si>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</si>
  <si>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</si>
  <si>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</si>
  <si>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</si>
  <si>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</si>
  <si>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</si>
  <si>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</si>
  <si>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</si>
  <si>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</si>
  <si>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</si>
  <si>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</si>
  <si>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</si>
  <si>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</si>
  <si>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</si>
  <si>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</si>
  <si>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</si>
  <si>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</si>
  <si>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</si>
  <si>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</si>
  <si>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</si>
  <si>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</si>
  <si>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</si>
  <si>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</si>
  <si>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</si>
  <si>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</si>
  <si>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</si>
  <si>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</si>
  <si>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</si>
  <si>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</si>
  <si>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</si>
  <si>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</si>
  <si>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</si>
  <si>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</si>
  <si>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</si>
  <si>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</si>
  <si>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</si>
  <si>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</si>
  <si>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</si>
  <si>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</si>
  <si>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</si>
  <si>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</si>
  <si>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</si>
  <si>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</si>
  <si>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</si>
  <si>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</si>
  <si>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</si>
  <si>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</si>
  <si>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</si>
  <si>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</si>
  <si>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</si>
  <si>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</si>
  <si>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</si>
  <si>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</si>
  <si>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</si>
  <si>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</si>
  <si>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</si>
  <si>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</si>
  <si>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</si>
  <si>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</si>
  <si>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</si>
  <si>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</si>
  <si>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</si>
  <si>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</si>
  <si>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</si>
  <si>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</si>
  <si>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</si>
  <si>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</si>
  <si>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</si>
  <si>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</si>
  <si>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</si>
  <si>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</si>
  <si>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</si>
  <si>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</si>
  <si>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</si>
  <si>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</si>
  <si>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</si>
  <si>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</si>
  <si>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</si>
  <si>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</si>
  <si>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</si>
  <si>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</si>
  <si>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</si>
  <si>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</si>
  <si>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</si>
  <si>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</si>
  <si>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</si>
  <si>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</si>
  <si>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</si>
  <si>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</si>
  <si>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</si>
  <si>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</si>
  <si>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</si>
  <si>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</si>
  <si>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</si>
  <si>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</si>
  <si>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</si>
  <si>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</si>
  <si>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</si>
  <si>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</si>
  <si>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</si>
  <si>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</si>
  <si>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</si>
  <si>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</si>
  <si>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</si>
  <si>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</si>
  <si>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</si>
  <si>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</si>
  <si>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</si>
  <si>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</si>
  <si>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</si>
  <si>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</si>
  <si>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</si>
  <si>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</si>
  <si>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</si>
  <si>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</si>
  <si>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</si>
  <si>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</si>
  <si>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</si>
  <si>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</si>
  <si>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</si>
  <si>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</si>
  <si>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</si>
  <si>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</si>
  <si>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</si>
  <si>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</si>
  <si>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</si>
  <si>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</si>
  <si>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</si>
  <si>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</si>
  <si>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</si>
  <si>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</si>
  <si>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</si>
  <si>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</si>
  <si>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</si>
  <si>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</si>
  <si>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</si>
  <si>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</si>
  <si>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</si>
  <si>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</si>
  <si>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</si>
  <si>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</si>
  <si>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</si>
  <si>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</si>
  <si>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</si>
  <si>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</si>
  <si>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</si>
  <si>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</si>
  <si>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</si>
  <si>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</si>
  <si>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</si>
  <si>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</si>
  <si>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</si>
  <si>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</si>
  <si>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</si>
  <si>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</si>
  <si>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</si>
  <si>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</si>
  <si>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</si>
  <si>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</si>
  <si>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</si>
  <si>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</si>
  <si>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</si>
  <si>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</si>
  <si>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</si>
  <si>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</si>
  <si>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</si>
  <si>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</si>
  <si>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</si>
  <si>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</si>
  <si>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</si>
  <si>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</si>
  <si>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</si>
  <si>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</si>
  <si>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</si>
  <si>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</si>
  <si>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</si>
  <si>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</si>
  <si>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</si>
  <si>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</si>
  <si>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</si>
  <si>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</si>
  <si>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</si>
  <si>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</si>
  <si>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</si>
  <si>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</si>
  <si>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</si>
  <si>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</si>
  <si>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</si>
  <si>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</si>
  <si>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</si>
  <si>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</si>
  <si>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</si>
  <si>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</si>
  <si>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</si>
  <si>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</si>
  <si>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</si>
  <si>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</si>
  <si>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</si>
  <si>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</si>
  <si>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</si>
  <si>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</si>
  <si>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</si>
  <si>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</si>
  <si>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</si>
  <si>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</si>
  <si>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</si>
  <si>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</si>
  <si>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</si>
  <si>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</si>
  <si>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</si>
  <si>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</si>
  <si>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</si>
  <si>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</si>
  <si>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</si>
  <si>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</si>
  <si>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</si>
  <si>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</si>
  <si>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</si>
  <si>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</si>
  <si>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</si>
  <si>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</si>
  <si>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</si>
  <si>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</si>
  <si>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</si>
  <si>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</si>
  <si>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</si>
  <si>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</si>
  <si>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</si>
  <si>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</si>
  <si>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</si>
  <si>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</si>
  <si>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</si>
  <si>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</si>
  <si>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</si>
  <si>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</si>
  <si>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</si>
  <si>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</si>
  <si>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</si>
  <si>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</si>
  <si>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</si>
  <si>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</si>
  <si>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</si>
  <si>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</si>
  <si>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</si>
  <si>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</si>
  <si>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</si>
  <si>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</si>
  <si>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</si>
  <si>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</si>
  <si>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</si>
  <si>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</si>
  <si>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</si>
  <si>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</si>
  <si>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</si>
  <si>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</si>
  <si>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</si>
  <si>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</si>
  <si>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</si>
  <si>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</si>
  <si>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</si>
  <si>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</si>
  <si>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</si>
  <si>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</si>
  <si>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</si>
  <si>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</si>
  <si>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</si>
  <si>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</si>
  <si>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</si>
  <si>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</si>
  <si>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</si>
  <si>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</si>
  <si>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</si>
  <si>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</si>
  <si>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</si>
  <si>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</si>
  <si>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</si>
  <si>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</si>
  <si>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</si>
  <si>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</si>
  <si>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</si>
  <si>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</si>
  <si>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</si>
  <si>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</si>
  <si>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</si>
  <si>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</si>
  <si>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</si>
  <si>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</si>
  <si>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</si>
  <si>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</si>
  <si>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</si>
  <si>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</si>
  <si>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</si>
  <si>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</si>
  <si>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</si>
  <si>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</si>
  <si>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</si>
  <si>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</si>
  <si>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</si>
  <si>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</si>
  <si>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</si>
  <si>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</si>
  <si>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</si>
  <si>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</si>
  <si>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</si>
  <si>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</si>
  <si>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</si>
  <si>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</si>
  <si>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</si>
  <si>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</si>
  <si>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</si>
  <si>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</si>
  <si>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</si>
  <si>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</si>
  <si>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</si>
  <si>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</si>
  <si>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</si>
  <si>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</si>
  <si>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</si>
  <si>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</si>
  <si>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</si>
  <si>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</si>
  <si>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</si>
  <si>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</si>
  <si>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</si>
  <si>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</si>
  <si>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</si>
  <si>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</si>
  <si>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</si>
  <si>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</si>
  <si>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</si>
  <si>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2021-1</t>
    <phoneticPr fontId="147" type="noConversion"/>
  </si>
  <si>
    <t>2020-4</t>
    <phoneticPr fontId="5" type="noConversion"/>
  </si>
  <si>
    <t>LPR</t>
    <phoneticPr fontId="147" type="noConversion"/>
  </si>
  <si>
    <t>按租金收入计税</t>
  </si>
  <si>
    <t>与级别开发程度一致</t>
  </si>
  <si>
    <t>利息：取LPR</t>
  </si>
  <si>
    <t>郑燚</t>
  </si>
  <si>
    <t>崔锴</t>
  </si>
  <si>
    <t>北京市</t>
  </si>
  <si>
    <t>与房产证证载一致</t>
  </si>
  <si>
    <t>不动产权证书</t>
  </si>
  <si>
    <t>否</t>
  </si>
  <si>
    <t>《不动产权证书》</t>
  </si>
  <si>
    <t>原件</t>
  </si>
  <si>
    <t>万元</t>
  </si>
  <si>
    <t>总价</t>
  </si>
  <si>
    <t>非生产用房</t>
  </si>
  <si>
    <t>是</t>
  </si>
  <si>
    <t>设定收益年期(n)</t>
  </si>
  <si>
    <t>未包含在土地购买价格中</t>
  </si>
  <si>
    <t>已包含在土地取得成本中</t>
  </si>
  <si>
    <t>中区</t>
    <phoneticPr fontId="27" type="noConversion"/>
  </si>
  <si>
    <t>高区</t>
    <phoneticPr fontId="27" type="noConversion"/>
  </si>
  <si>
    <t>甘家口大厦</t>
    <phoneticPr fontId="5" type="noConversion"/>
  </si>
  <si>
    <t>高区</t>
    <phoneticPr fontId="27" type="noConversion"/>
  </si>
  <si>
    <t>低区</t>
    <phoneticPr fontId="27" type="noConversion"/>
  </si>
  <si>
    <t>正常操作</t>
  </si>
  <si>
    <t>收益法</t>
  </si>
  <si>
    <t>自然人</t>
  </si>
  <si>
    <t>商业</t>
  </si>
  <si>
    <t>批发零售用地</t>
  </si>
  <si>
    <t>不临58条商业街</t>
  </si>
  <si>
    <t>商业</t>
    <phoneticPr fontId="8" type="noConversion"/>
  </si>
  <si>
    <t>租赁面积</t>
    <phoneticPr fontId="147" type="noConversion"/>
  </si>
  <si>
    <t>商业</t>
    <phoneticPr fontId="147" type="noConversion"/>
  </si>
  <si>
    <t>仓储</t>
    <phoneticPr fontId="147" type="noConversion"/>
  </si>
  <si>
    <t>用途</t>
    <phoneticPr fontId="147" type="noConversion"/>
  </si>
  <si>
    <t>租金（年）</t>
    <phoneticPr fontId="147" type="noConversion"/>
  </si>
  <si>
    <t>单位租金</t>
    <phoneticPr fontId="147" type="noConversion"/>
  </si>
  <si>
    <r>
      <t>（8</t>
    </r>
    <r>
      <rPr>
        <sz val="11"/>
        <color theme="1"/>
        <rFont val="宋体"/>
        <family val="3"/>
        <charset val="134"/>
        <scheme val="minor"/>
      </rPr>
      <t>67*+107）*365=1093900</t>
    </r>
    <phoneticPr fontId="147" type="noConversion"/>
  </si>
  <si>
    <r>
      <t>折算1</t>
    </r>
    <r>
      <rPr>
        <sz val="11"/>
        <color theme="1"/>
        <rFont val="宋体"/>
        <family val="3"/>
        <charset val="134"/>
        <scheme val="minor"/>
      </rPr>
      <t>-2层商业租金</t>
    </r>
    <phoneticPr fontId="147" type="noConversion"/>
  </si>
  <si>
    <t>市场租金</t>
    <phoneticPr fontId="147" type="noConversion"/>
  </si>
  <si>
    <t>1层</t>
    <phoneticPr fontId="21" type="noConversion"/>
  </si>
  <si>
    <r>
      <t>2</t>
    </r>
    <r>
      <rPr>
        <sz val="10"/>
        <color indexed="8"/>
        <rFont val="宋体"/>
        <family val="3"/>
        <charset val="134"/>
      </rPr>
      <t>层</t>
    </r>
    <phoneticPr fontId="21" type="noConversion"/>
  </si>
  <si>
    <t>楼层修正</t>
  </si>
  <si>
    <t>龙腾苑</t>
    <phoneticPr fontId="5" type="noConversion"/>
  </si>
  <si>
    <t>住宅底商</t>
    <phoneticPr fontId="26" type="noConversion"/>
  </si>
  <si>
    <t>不可餐饮</t>
    <phoneticPr fontId="26" type="noConversion"/>
  </si>
  <si>
    <t>超高</t>
    <phoneticPr fontId="26" type="noConversion"/>
  </si>
  <si>
    <t>普装</t>
    <phoneticPr fontId="26" type="noConversion"/>
  </si>
  <si>
    <t>首开国风美唐</t>
    <phoneticPr fontId="5" type="noConversion"/>
  </si>
  <si>
    <t>超高</t>
    <phoneticPr fontId="26" type="noConversion"/>
  </si>
  <si>
    <t>东亚上北</t>
    <phoneticPr fontId="5" type="noConversion"/>
  </si>
  <si>
    <t>住宅底商</t>
    <phoneticPr fontId="26" type="noConversion"/>
  </si>
  <si>
    <t>普装</t>
    <phoneticPr fontId="26" type="noConversion"/>
  </si>
  <si>
    <t>可餐饮</t>
    <phoneticPr fontId="26" type="noConversion"/>
  </si>
  <si>
    <t>商业综合体</t>
    <phoneticPr fontId="26" type="noConversion"/>
  </si>
  <si>
    <t>商业街商铺</t>
    <phoneticPr fontId="26" type="noConversion"/>
  </si>
  <si>
    <t>独栋商业</t>
  </si>
  <si>
    <t>独栋商业</t>
    <phoneticPr fontId="26" type="noConversion"/>
  </si>
  <si>
    <t>写字楼底商</t>
    <phoneticPr fontId="26" type="noConversion"/>
  </si>
  <si>
    <t>精装</t>
    <phoneticPr fontId="26" type="noConversion"/>
  </si>
  <si>
    <t>简装</t>
    <phoneticPr fontId="26" type="noConversion"/>
  </si>
  <si>
    <t>毛坯</t>
    <phoneticPr fontId="26" type="noConversion"/>
  </si>
  <si>
    <t>七通</t>
  </si>
  <si>
    <t>七通</t>
    <phoneticPr fontId="26" type="noConversion"/>
  </si>
  <si>
    <t>六通</t>
    <phoneticPr fontId="26" type="noConversion"/>
  </si>
  <si>
    <t>五通</t>
    <phoneticPr fontId="26" type="noConversion"/>
  </si>
  <si>
    <t>标准</t>
    <phoneticPr fontId="26" type="noConversion"/>
  </si>
  <si>
    <t>较适宜</t>
    <phoneticPr fontId="26" type="noConversion"/>
  </si>
  <si>
    <r>
      <t>1</t>
    </r>
    <r>
      <rPr>
        <sz val="11"/>
        <color indexed="8"/>
        <rFont val="宋体"/>
        <family val="3"/>
        <charset val="134"/>
      </rPr>
      <t>层</t>
    </r>
    <phoneticPr fontId="26" type="noConversion"/>
  </si>
  <si>
    <t>大</t>
    <phoneticPr fontId="5" type="noConversion"/>
  </si>
  <si>
    <t>较大</t>
    <phoneticPr fontId="5" type="noConversion"/>
  </si>
  <si>
    <t>多面临街</t>
    <phoneticPr fontId="26" type="noConversion"/>
  </si>
  <si>
    <t>双面临街</t>
    <phoneticPr fontId="26" type="noConversion"/>
  </si>
  <si>
    <t>单面临街</t>
  </si>
  <si>
    <t>单面临街</t>
    <phoneticPr fontId="26" type="noConversion"/>
  </si>
  <si>
    <t>临内部道路</t>
    <phoneticPr fontId="26" type="noConversion"/>
  </si>
  <si>
    <t>1层</t>
  </si>
  <si>
    <t>商业</t>
    <phoneticPr fontId="26" type="noConversion"/>
  </si>
  <si>
    <t>20-30（含）</t>
  </si>
  <si>
    <t>不可餐饮</t>
  </si>
  <si>
    <t>10-20（含）</t>
  </si>
  <si>
    <t>混合</t>
  </si>
  <si>
    <t>混合</t>
    <phoneticPr fontId="26" type="noConversion"/>
  </si>
  <si>
    <t>钢混</t>
  </si>
  <si>
    <t>钢混</t>
    <phoneticPr fontId="26" type="noConversion"/>
  </si>
  <si>
    <t>30-40（含）</t>
  </si>
  <si>
    <t>临内部道路</t>
  </si>
  <si>
    <t>一般</t>
    <phoneticPr fontId="26" type="noConversion"/>
  </si>
  <si>
    <t>无租约</t>
  </si>
  <si>
    <t>比较法-商业</t>
  </si>
  <si>
    <r>
      <t>2层</t>
    </r>
    <r>
      <rPr>
        <sz val="11"/>
        <color indexed="8"/>
        <rFont val="宋体"/>
        <family val="3"/>
        <charset val="134"/>
      </rPr>
      <t/>
    </r>
  </si>
  <si>
    <r>
      <t>3层</t>
    </r>
    <r>
      <rPr>
        <sz val="11"/>
        <color indexed="8"/>
        <rFont val="宋体"/>
        <family val="3"/>
        <charset val="134"/>
      </rPr>
      <t/>
    </r>
  </si>
  <si>
    <r>
      <t>4层</t>
    </r>
    <r>
      <rPr>
        <sz val="11"/>
        <color indexed="8"/>
        <rFont val="宋体"/>
        <family val="3"/>
        <charset val="134"/>
      </rPr>
      <t/>
    </r>
  </si>
  <si>
    <t>4层</t>
  </si>
  <si>
    <r>
      <t>《不动产权证书》</t>
    </r>
    <r>
      <rPr>
        <sz val="9"/>
        <color rgb="FF000000"/>
        <rFont val="Arial"/>
        <family val="2"/>
      </rPr>
      <t>/</t>
    </r>
    <r>
      <rPr>
        <sz val="9"/>
        <color rgb="FF000000"/>
        <rFont val="华文细黑"/>
        <family val="3"/>
        <charset val="134"/>
      </rPr>
      <t>《房屋所有权证》证号</t>
    </r>
  </si>
  <si>
    <t>所属项目名称</t>
  </si>
  <si>
    <t>建筑面积（㎡）</t>
  </si>
  <si>
    <t>用途</t>
  </si>
  <si>
    <r>
      <t>京（</t>
    </r>
    <r>
      <rPr>
        <sz val="9"/>
        <color rgb="FF000000"/>
        <rFont val="Arial"/>
        <family val="2"/>
      </rPr>
      <t>2018</t>
    </r>
    <r>
      <rPr>
        <sz val="9"/>
        <color rgb="FF000000"/>
        <rFont val="华文细黑"/>
        <family val="3"/>
        <charset val="134"/>
      </rPr>
      <t>）昌不动产权第</t>
    </r>
    <r>
      <rPr>
        <sz val="9"/>
        <color rgb="FF000000"/>
        <rFont val="Arial"/>
        <family val="2"/>
      </rPr>
      <t>0055625</t>
    </r>
    <r>
      <rPr>
        <sz val="9"/>
        <color rgb="FF000000"/>
        <rFont val="华文细黑"/>
        <family val="3"/>
        <charset val="134"/>
      </rPr>
      <t>号</t>
    </r>
  </si>
  <si>
    <t>港龙商业中心</t>
  </si>
  <si>
    <t>国奥村</t>
  </si>
  <si>
    <t>住宅、地下仓储</t>
  </si>
  <si>
    <r>
      <t>京（</t>
    </r>
    <r>
      <rPr>
        <sz val="9"/>
        <color rgb="FF000000"/>
        <rFont val="Arial"/>
        <family val="2"/>
      </rPr>
      <t>2016</t>
    </r>
    <r>
      <rPr>
        <sz val="9"/>
        <color rgb="FF000000"/>
        <rFont val="华文细黑"/>
        <family val="3"/>
        <charset val="134"/>
      </rPr>
      <t>）朝阳区不动产权第</t>
    </r>
    <r>
      <rPr>
        <sz val="9"/>
        <color rgb="FF000000"/>
        <rFont val="Arial"/>
        <family val="2"/>
      </rPr>
      <t>0069008</t>
    </r>
    <r>
      <rPr>
        <sz val="9"/>
        <color rgb="FF000000"/>
        <rFont val="华文细黑"/>
        <family val="3"/>
        <charset val="134"/>
      </rPr>
      <t>号</t>
    </r>
  </si>
  <si>
    <t>东恒时代</t>
  </si>
  <si>
    <t>办公</t>
  </si>
  <si>
    <t>合生麒麟社</t>
  </si>
  <si>
    <t>文化办公</t>
  </si>
  <si>
    <t>方恒国际中心</t>
  </si>
  <si>
    <t>酒店式公寓</t>
  </si>
  <si>
    <r>
      <t>京（</t>
    </r>
    <r>
      <rPr>
        <sz val="9"/>
        <color rgb="FF000000"/>
        <rFont val="Arial"/>
        <family val="2"/>
      </rPr>
      <t>2017</t>
    </r>
    <r>
      <rPr>
        <sz val="9"/>
        <color rgb="FF000000"/>
        <rFont val="华文细黑"/>
        <family val="3"/>
        <charset val="134"/>
      </rPr>
      <t>）顺不动产权第</t>
    </r>
    <r>
      <rPr>
        <sz val="9"/>
        <color rgb="FF000000"/>
        <rFont val="Arial"/>
        <family val="2"/>
      </rPr>
      <t>0019009</t>
    </r>
    <r>
      <rPr>
        <sz val="9"/>
        <color rgb="FF000000"/>
        <rFont val="华文细黑"/>
        <family val="3"/>
        <charset val="134"/>
      </rPr>
      <t>号</t>
    </r>
  </si>
  <si>
    <t>顺义聚乐汇商业</t>
  </si>
  <si>
    <r>
      <t>15177.21</t>
    </r>
    <r>
      <rPr>
        <sz val="9"/>
        <color rgb="FF000000"/>
        <rFont val="华文细黑"/>
        <family val="3"/>
        <charset val="134"/>
      </rPr>
      <t>（不含地铁用房）</t>
    </r>
  </si>
  <si>
    <t>评估总价</t>
  </si>
  <si>
    <t>评估单价</t>
  </si>
  <si>
    <t>2-401</t>
  </si>
  <si>
    <t>2-401</t>
    <phoneticPr fontId="147" type="noConversion"/>
  </si>
  <si>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</si>
  <si>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phoneticPr fontId="147" type="noConversion"/>
  </si>
  <si>
    <t>住宅、地下仓储</t>
    <phoneticPr fontId="147" type="noConversion"/>
  </si>
  <si>
    <t>住宅</t>
  </si>
  <si>
    <t>住宅</t>
    <phoneticPr fontId="147" type="noConversion"/>
  </si>
  <si>
    <t>部位及房号</t>
  </si>
  <si>
    <t>部位及房号</t>
    <phoneticPr fontId="147" type="noConversion"/>
  </si>
  <si>
    <t>3单元901</t>
    <phoneticPr fontId="147" type="noConversion"/>
  </si>
  <si>
    <t>3单元102</t>
    <phoneticPr fontId="147" type="noConversion"/>
  </si>
  <si>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</si>
  <si>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phoneticPr fontId="147" type="noConversion"/>
  </si>
  <si>
    <t>——</t>
    <phoneticPr fontId="147" type="noConversion"/>
  </si>
  <si>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</si>
  <si>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</si>
  <si>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1469261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</si>
  <si>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1471903</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</si>
  <si>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1473044</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</si>
  <si>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</si>
  <si>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</si>
  <si>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</si>
  <si>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</si>
  <si>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1290698</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</si>
  <si>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1287826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</si>
  <si>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1290707</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</si>
  <si>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1302821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</si>
  <si>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1287846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</si>
  <si>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1471935</t>
    </r>
    <r>
      <rPr>
        <sz val="9"/>
        <color rgb="FF000000"/>
        <rFont val="宋体"/>
        <family val="3"/>
        <charset val="134"/>
      </rPr>
      <t>号</t>
    </r>
    <r>
      <rPr>
        <sz val="9"/>
        <color rgb="FF000000"/>
        <rFont val="华文细黑"/>
        <family val="3"/>
        <charset val="134"/>
      </rPr>
      <t/>
    </r>
    <phoneticPr fontId="147" type="noConversion"/>
  </si>
  <si>
    <t>评估总价</t>
    <phoneticPr fontId="147" type="noConversion"/>
  </si>
  <si>
    <t>评估单价</t>
    <phoneticPr fontId="147" type="noConversion"/>
  </si>
  <si>
    <t>——</t>
    <phoneticPr fontId="147" type="noConversion"/>
  </si>
  <si>
    <r>
      <t>3</t>
    </r>
    <r>
      <rPr>
        <sz val="9"/>
        <color rgb="FF000000"/>
        <rFont val="华文细黑"/>
        <family val="3"/>
        <charset val="134"/>
      </rPr>
      <t>单元</t>
    </r>
    <r>
      <rPr>
        <sz val="9"/>
        <color rgb="FF000000"/>
        <rFont val="Arial"/>
        <family val="2"/>
      </rPr>
      <t>901</t>
    </r>
  </si>
  <si>
    <r>
      <t>3</t>
    </r>
    <r>
      <rPr>
        <sz val="9"/>
        <color rgb="FF000000"/>
        <rFont val="华文细黑"/>
        <family val="3"/>
        <charset val="134"/>
      </rPr>
      <t>单元</t>
    </r>
    <r>
      <rPr>
        <sz val="9"/>
        <color rgb="FF000000"/>
        <rFont val="Arial"/>
        <family val="2"/>
      </rPr>
      <t>102</t>
    </r>
  </si>
  <si>
    <r>
      <t>X</t>
    </r>
    <r>
      <rPr>
        <sz val="9"/>
        <color rgb="FF000000"/>
        <rFont val="华文细黑"/>
        <family val="3"/>
        <charset val="134"/>
      </rPr>
      <t>京房权证朝字第</t>
    </r>
    <r>
      <rPr>
        <sz val="9"/>
        <color rgb="FF000000"/>
        <rFont val="Arial"/>
        <family val="2"/>
      </rPr>
      <t>1469261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</si>
  <si>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1471903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</si>
  <si>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1473044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</si>
  <si>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1290698</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</si>
  <si>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1287826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</si>
  <si>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1290707</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</si>
  <si>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1302821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</si>
  <si>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1287846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</si>
  <si>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1471935</t>
    </r>
    <r>
      <rPr>
        <sz val="9"/>
        <color rgb="FF000000"/>
        <rFont val="华文细黑"/>
        <family val="3"/>
        <charset val="134"/>
      </rPr>
      <t>号</t>
    </r>
  </si>
</sst>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201" formatCode="_([$€-2]* #,##0.00_);_([$€-2]* \(#,##0.00\);_([$€-2]* &quot;-&quot;??_)"/>
    <numFmt numFmtId="203" formatCode="_ * #,##0.00_ ;_ * \-#,##0.00_ ;_ * &quot;-&quot;??_ ;_ @_ "/>
    <numFmt numFmtId="204" formatCode="_ * #,##0_ ;_ * \-#,##0_ ;_ * &quot;-&quot;_ ;_ @_ "/>
  </numFmts>
  <fonts count="261">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rgb="FF000000"/>
      <name val="华文细黑"/>
      <family val="3"/>
      <charset val="134"/>
    </font>
    <font>
      <sz val="9"/>
      <color rgb="FF000000"/>
      <name val="Arial"/>
      <family val="2"/>
    </font>
    <font>
      <b/>
      <sz val="9"/>
      <color rgb="FF000000"/>
      <name val="华文细黑"/>
      <family val="3"/>
      <charset val="134"/>
    </font>
    <font>
      <b/>
      <sz val="9"/>
      <color rgb="FF000000"/>
      <name val="Arial"/>
      <family val="2"/>
    </font>
    <font>
      <sz val="9"/>
      <color rgb="FF000000"/>
      <name val="宋体"/>
      <family val="3"/>
      <charset val="134"/>
    </font>
    <font>
      <sz val="11"/>
      <color indexed="8"/>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medium">
        <color rgb="FF000000"/>
      </right>
      <top style="medium">
        <color indexed="64"/>
      </top>
      <bottom style="medium">
        <color indexed="64"/>
      </bottom>
      <diagonal/>
    </border>
  </borders>
  <cellStyleXfs count="38">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9" fontId="31"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36" fillId="0" borderId="0">
      <alignment vertical="center"/>
    </xf>
    <xf numFmtId="0" fontId="31" fillId="0" borderId="0"/>
    <xf numFmtId="0" fontId="1"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31" fillId="0" borderId="0"/>
    <xf numFmtId="9" fontId="94" fillId="0" borderId="0" applyFont="0" applyFill="0" applyBorder="0" applyAlignment="0" applyProtection="0">
      <alignment vertical="center"/>
    </xf>
    <xf numFmtId="0" fontId="136" fillId="0" borderId="0">
      <alignment vertical="center"/>
    </xf>
    <xf numFmtId="201" fontId="136" fillId="0" borderId="0">
      <alignment vertical="center"/>
    </xf>
    <xf numFmtId="203" fontId="136" fillId="0" borderId="0" applyFont="0" applyFill="0" applyBorder="0" applyAlignment="0" applyProtection="0">
      <alignment vertical="center"/>
    </xf>
    <xf numFmtId="203" fontId="260" fillId="0" borderId="0" applyFont="0" applyFill="0" applyBorder="0" applyAlignment="0" applyProtection="0">
      <alignment vertical="center"/>
    </xf>
    <xf numFmtId="201" fontId="173" fillId="0" borderId="0"/>
    <xf numFmtId="0" fontId="94" fillId="0" borderId="0">
      <alignment vertical="center"/>
    </xf>
    <xf numFmtId="203" fontId="31" fillId="0" borderId="0" applyFont="0" applyFill="0" applyBorder="0" applyAlignment="0" applyProtection="0">
      <alignment vertical="center"/>
    </xf>
    <xf numFmtId="203" fontId="136" fillId="0" borderId="0" applyFont="0" applyFill="0" applyBorder="0" applyAlignment="0" applyProtection="0">
      <alignment vertical="center"/>
    </xf>
    <xf numFmtId="204" fontId="260" fillId="0" borderId="0" applyFont="0" applyFill="0" applyBorder="0" applyAlignment="0" applyProtection="0">
      <alignment vertical="center"/>
    </xf>
  </cellStyleXfs>
  <cellXfs count="3588">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76" fillId="0" borderId="1" xfId="0" applyFont="1" applyBorder="1" applyAlignment="1" applyProtection="1">
      <alignment vertical="center" wrapText="1"/>
      <protection locked="0"/>
    </xf>
    <xf numFmtId="0" fontId="93" fillId="2" borderId="19" xfId="0" applyNumberFormat="1" applyFont="1" applyFill="1" applyBorder="1" applyAlignment="1" applyProtection="1">
      <alignment horizontal="left" vertical="center" wrapText="1"/>
      <protection locked="0"/>
    </xf>
    <xf numFmtId="0" fontId="93" fillId="2" borderId="5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4" fillId="0" borderId="1" xfId="0" applyFont="1" applyBorder="1" applyAlignment="1">
      <alignment horizontal="center" vertical="center"/>
    </xf>
    <xf numFmtId="0" fontId="0" fillId="0" borderId="1" xfId="0" applyBorder="1" applyAlignment="1">
      <alignment horizontal="center" vertical="center"/>
    </xf>
    <xf numFmtId="0" fontId="94" fillId="0" borderId="1" xfId="0" applyFont="1" applyFill="1" applyBorder="1" applyAlignment="1">
      <alignment horizontal="center" vertical="center"/>
    </xf>
    <xf numFmtId="0" fontId="94" fillId="0" borderId="60" xfId="0" applyFont="1" applyFill="1" applyBorder="1" applyAlignment="1">
      <alignment horizontal="center" vertical="center"/>
    </xf>
    <xf numFmtId="0" fontId="231" fillId="0" borderId="1" xfId="0" applyFont="1" applyFill="1" applyBorder="1" applyAlignment="1" applyProtection="1">
      <alignment horizontal="center" vertical="center"/>
      <protection locked="0"/>
    </xf>
    <xf numFmtId="0" fontId="93" fillId="2" borderId="4" xfId="0" applyFont="1" applyFill="1" applyBorder="1" applyAlignment="1" applyProtection="1">
      <alignment horizontal="left" vertical="center" wrapText="1"/>
      <protection locked="0"/>
    </xf>
    <xf numFmtId="49" fontId="93" fillId="2" borderId="7"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0" fillId="5" borderId="32" xfId="0" applyNumberFormat="1" applyFont="1" applyFill="1" applyBorder="1" applyAlignment="1" applyProtection="1">
      <alignment horizontal="left" vertical="center" wrapText="1"/>
      <protection locked="0"/>
    </xf>
    <xf numFmtId="0" fontId="136" fillId="5" borderId="32"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0" fontId="136" fillId="0" borderId="46" xfId="0" applyNumberFormat="1" applyFont="1" applyFill="1" applyBorder="1" applyAlignment="1" applyProtection="1">
      <alignment horizontal="left" vertical="center" wrapText="1"/>
      <protection locked="0"/>
    </xf>
    <xf numFmtId="49" fontId="40" fillId="9" borderId="7" xfId="0" applyNumberFormat="1" applyFont="1" applyFill="1" applyBorder="1" applyAlignment="1" applyProtection="1">
      <alignment horizontal="left" vertical="center" wrapText="1"/>
      <protection locked="0"/>
    </xf>
    <xf numFmtId="0" fontId="40" fillId="21" borderId="2" xfId="0" applyFont="1" applyFill="1" applyBorder="1" applyAlignment="1" applyProtection="1">
      <alignment horizontal="left" vertical="center" wrapText="1"/>
    </xf>
    <xf numFmtId="0" fontId="40" fillId="0" borderId="15" xfId="0" applyNumberFormat="1" applyFont="1" applyFill="1" applyBorder="1" applyAlignment="1" applyProtection="1">
      <alignment horizontal="left"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78"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223" fillId="0" borderId="7" xfId="0" applyFont="1" applyFill="1" applyBorder="1" applyAlignment="1" applyProtection="1">
      <alignment horizontal="left" vertical="center" wrapText="1"/>
      <protection locked="0"/>
    </xf>
    <xf numFmtId="0" fontId="223"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0" fillId="0" borderId="1" xfId="0" applyBorder="1" applyAlignment="1">
      <alignment horizontal="center" vertical="center"/>
    </xf>
    <xf numFmtId="0" fontId="255" fillId="0" borderId="82" xfId="0" applyFont="1" applyBorder="1" applyAlignment="1">
      <alignment horizontal="justify" vertical="center"/>
    </xf>
    <xf numFmtId="0" fontId="255" fillId="0" borderId="81" xfId="0" applyFont="1" applyBorder="1" applyAlignment="1">
      <alignment horizontal="justify" vertical="center"/>
    </xf>
    <xf numFmtId="0" fontId="256" fillId="0" borderId="78" xfId="0" applyFont="1" applyBorder="1" applyAlignment="1">
      <alignment horizontal="justify" vertical="center"/>
    </xf>
    <xf numFmtId="0" fontId="255" fillId="0" borderId="30" xfId="0" applyFont="1" applyBorder="1" applyAlignment="1">
      <alignment horizontal="justify" vertical="center"/>
    </xf>
    <xf numFmtId="0" fontId="256" fillId="0" borderId="30" xfId="0" applyFont="1" applyBorder="1" applyAlignment="1">
      <alignment horizontal="justify" vertical="center"/>
    </xf>
    <xf numFmtId="0" fontId="258" fillId="0" borderId="30" xfId="0" applyFont="1" applyBorder="1" applyAlignment="1">
      <alignment horizontal="justify" vertical="center"/>
    </xf>
    <xf numFmtId="0" fontId="257" fillId="0" borderId="55" xfId="0" applyFont="1" applyBorder="1" applyAlignment="1">
      <alignment horizontal="justify" vertical="center"/>
    </xf>
    <xf numFmtId="0" fontId="257" fillId="0" borderId="66" xfId="0" applyFont="1" applyBorder="1" applyAlignment="1">
      <alignment horizontal="justify" vertical="center"/>
    </xf>
    <xf numFmtId="0" fontId="257" fillId="0" borderId="81" xfId="0" applyFont="1" applyBorder="1" applyAlignment="1">
      <alignment horizontal="justify" vertical="center"/>
    </xf>
    <xf numFmtId="0" fontId="255" fillId="0" borderId="55" xfId="0" applyFont="1" applyBorder="1" applyAlignment="1">
      <alignment horizontal="justify" vertical="center"/>
    </xf>
    <xf numFmtId="0" fontId="255" fillId="0" borderId="66" xfId="0" applyFont="1" applyBorder="1" applyAlignment="1">
      <alignment horizontal="justify" vertical="center"/>
    </xf>
    <xf numFmtId="0" fontId="255" fillId="0" borderId="176" xfId="0" applyFont="1" applyBorder="1" applyAlignment="1">
      <alignment horizontal="justify" vertical="center"/>
    </xf>
  </cellXfs>
  <cellStyles count="38">
    <cellStyle name="Normal" xfId="19"/>
    <cellStyle name="百分比 2" xfId="16"/>
    <cellStyle name="百分比 3" xfId="18"/>
    <cellStyle name="百分比 4" xfId="28"/>
    <cellStyle name="常规" xfId="0" builtinId="0"/>
    <cellStyle name="常规 10" xfId="21"/>
    <cellStyle name="常规 10 2" xfId="33"/>
    <cellStyle name="常规 11" xfId="29"/>
    <cellStyle name="常规 16" xfId="8"/>
    <cellStyle name="常规 2" xfId="1"/>
    <cellStyle name="常规 2 2" xfId="6"/>
    <cellStyle name="常规 2 2 2" xfId="22"/>
    <cellStyle name="常规 2 2 2 2 3" xfId="17"/>
    <cellStyle name="常规 2 2 3" xfId="27"/>
    <cellStyle name="常规 2 3" xfId="20"/>
    <cellStyle name="常规 2 3 2" xfId="34"/>
    <cellStyle name="常规 2 4" xfId="23"/>
    <cellStyle name="常规 3" xfId="2"/>
    <cellStyle name="常规 3 2" xfId="3"/>
    <cellStyle name="常规 3 3" xfId="24"/>
    <cellStyle name="常规 4" xfId="4"/>
    <cellStyle name="常规 5" xfId="5"/>
    <cellStyle name="常规 6" xfId="9"/>
    <cellStyle name="常规 6 2" xfId="7"/>
    <cellStyle name="常规 6 2 2" xfId="11"/>
    <cellStyle name="常规 6 2 2 2" xfId="15"/>
    <cellStyle name="常规 6 2 3" xfId="14"/>
    <cellStyle name="常规 6 3" xfId="25"/>
    <cellStyle name="常规 7" xfId="10"/>
    <cellStyle name="常规 7 2" xfId="26"/>
    <cellStyle name="常规 7 3" xfId="30"/>
    <cellStyle name="常规 8" xfId="12"/>
    <cellStyle name="常规 9" xfId="13"/>
    <cellStyle name="千位分隔 2" xfId="31"/>
    <cellStyle name="千位分隔 2 2" xfId="35"/>
    <cellStyle name="千位分隔 2 3" xfId="36"/>
    <cellStyle name="千位分隔 3" xfId="32"/>
    <cellStyle name="千位分隔[0] 2" xfId="37"/>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532391</xdr:colOff>
      <xdr:row>32</xdr:row>
      <xdr:rowOff>161219</xdr:rowOff>
    </xdr:to>
    <xdr:pic>
      <xdr:nvPicPr>
        <xdr:cNvPr id="2" name="图片 1">
          <a:extLst>
            <a:ext uri="{FF2B5EF4-FFF2-40B4-BE49-F238E27FC236}">
              <a16:creationId xmlns=""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8076191" cy="5647619"/>
        </a:xfrm>
        <a:prstGeom prst="rect">
          <a:avLst/>
        </a:prstGeom>
      </xdr:spPr>
    </xdr:pic>
    <xdr:clientData/>
  </xdr:twoCellAnchor>
  <xdr:twoCellAnchor editAs="oneCell">
    <xdr:from>
      <xdr:col>1</xdr:col>
      <xdr:colOff>0</xdr:colOff>
      <xdr:row>34</xdr:row>
      <xdr:rowOff>0</xdr:rowOff>
    </xdr:from>
    <xdr:to>
      <xdr:col>12</xdr:col>
      <xdr:colOff>318322</xdr:colOff>
      <xdr:row>55</xdr:row>
      <xdr:rowOff>85725</xdr:rowOff>
    </xdr:to>
    <xdr:pic>
      <xdr:nvPicPr>
        <xdr:cNvPr id="3" name="图片 2">
          <a:extLst>
            <a:ext uri="{FF2B5EF4-FFF2-40B4-BE49-F238E27FC236}">
              <a16:creationId xmlns=""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685800" y="5829300"/>
          <a:ext cx="7862122" cy="3686175"/>
        </a:xfrm>
        <a:prstGeom prst="rect">
          <a:avLst/>
        </a:prstGeom>
      </xdr:spPr>
    </xdr:pic>
    <xdr:clientData/>
  </xdr:twoCellAnchor>
  <xdr:twoCellAnchor editAs="oneCell">
    <xdr:from>
      <xdr:col>1</xdr:col>
      <xdr:colOff>0</xdr:colOff>
      <xdr:row>56</xdr:row>
      <xdr:rowOff>0</xdr:rowOff>
    </xdr:from>
    <xdr:to>
      <xdr:col>12</xdr:col>
      <xdr:colOff>371475</xdr:colOff>
      <xdr:row>68</xdr:row>
      <xdr:rowOff>55093</xdr:rowOff>
    </xdr:to>
    <xdr:pic>
      <xdr:nvPicPr>
        <xdr:cNvPr id="4" name="图片 3">
          <a:extLst>
            <a:ext uri="{FF2B5EF4-FFF2-40B4-BE49-F238E27FC236}">
              <a16:creationId xmlns=""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685800" y="9601200"/>
          <a:ext cx="7915275" cy="2112493"/>
        </a:xfrm>
        <a:prstGeom prst="rect">
          <a:avLst/>
        </a:prstGeom>
      </xdr:spPr>
    </xdr:pic>
    <xdr:clientData/>
  </xdr:twoCellAnchor>
  <xdr:twoCellAnchor editAs="oneCell">
    <xdr:from>
      <xdr:col>1</xdr:col>
      <xdr:colOff>0</xdr:colOff>
      <xdr:row>69</xdr:row>
      <xdr:rowOff>0</xdr:rowOff>
    </xdr:from>
    <xdr:to>
      <xdr:col>12</xdr:col>
      <xdr:colOff>392080</xdr:colOff>
      <xdr:row>88</xdr:row>
      <xdr:rowOff>104775</xdr:rowOff>
    </xdr:to>
    <xdr:pic>
      <xdr:nvPicPr>
        <xdr:cNvPr id="5" name="图片 4">
          <a:extLst>
            <a:ext uri="{FF2B5EF4-FFF2-40B4-BE49-F238E27FC236}">
              <a16:creationId xmlns="" xmlns:a16="http://schemas.microsoft.com/office/drawing/2014/main" id="{00000000-0008-0000-2500-000005000000}"/>
            </a:ext>
          </a:extLst>
        </xdr:cNvPr>
        <xdr:cNvPicPr>
          <a:picLocks noChangeAspect="1"/>
        </xdr:cNvPicPr>
      </xdr:nvPicPr>
      <xdr:blipFill>
        <a:blip xmlns:r="http://schemas.openxmlformats.org/officeDocument/2006/relationships" r:embed="rId4"/>
        <a:stretch>
          <a:fillRect/>
        </a:stretch>
      </xdr:blipFill>
      <xdr:spPr>
        <a:xfrm>
          <a:off x="685800" y="11830050"/>
          <a:ext cx="7935880" cy="3362325"/>
        </a:xfrm>
        <a:prstGeom prst="rect">
          <a:avLst/>
        </a:prstGeom>
      </xdr:spPr>
    </xdr:pic>
    <xdr:clientData/>
  </xdr:twoCellAnchor>
  <xdr:twoCellAnchor editAs="oneCell">
    <xdr:from>
      <xdr:col>1</xdr:col>
      <xdr:colOff>0</xdr:colOff>
      <xdr:row>89</xdr:row>
      <xdr:rowOff>0</xdr:rowOff>
    </xdr:from>
    <xdr:to>
      <xdr:col>12</xdr:col>
      <xdr:colOff>170486</xdr:colOff>
      <xdr:row>100</xdr:row>
      <xdr:rowOff>75955</xdr:rowOff>
    </xdr:to>
    <xdr:pic>
      <xdr:nvPicPr>
        <xdr:cNvPr id="6" name="图片 5">
          <a:extLst>
            <a:ext uri="{FF2B5EF4-FFF2-40B4-BE49-F238E27FC236}">
              <a16:creationId xmlns="" xmlns:a16="http://schemas.microsoft.com/office/drawing/2014/main" id="{00000000-0008-0000-2500-000006000000}"/>
            </a:ext>
          </a:extLst>
        </xdr:cNvPr>
        <xdr:cNvPicPr>
          <a:picLocks noChangeAspect="1"/>
        </xdr:cNvPicPr>
      </xdr:nvPicPr>
      <xdr:blipFill>
        <a:blip xmlns:r="http://schemas.openxmlformats.org/officeDocument/2006/relationships" r:embed="rId5"/>
        <a:stretch>
          <a:fillRect/>
        </a:stretch>
      </xdr:blipFill>
      <xdr:spPr>
        <a:xfrm>
          <a:off x="685800" y="15259050"/>
          <a:ext cx="7714286" cy="1961905"/>
        </a:xfrm>
        <a:prstGeom prst="rect">
          <a:avLst/>
        </a:prstGeom>
      </xdr:spPr>
    </xdr:pic>
    <xdr:clientData/>
  </xdr:twoCellAnchor>
  <xdr:twoCellAnchor editAs="oneCell">
    <xdr:from>
      <xdr:col>1</xdr:col>
      <xdr:colOff>0</xdr:colOff>
      <xdr:row>102</xdr:row>
      <xdr:rowOff>0</xdr:rowOff>
    </xdr:from>
    <xdr:to>
      <xdr:col>11</xdr:col>
      <xdr:colOff>438150</xdr:colOff>
      <xdr:row>119</xdr:row>
      <xdr:rowOff>158374</xdr:rowOff>
    </xdr:to>
    <xdr:pic>
      <xdr:nvPicPr>
        <xdr:cNvPr id="7" name="图片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6"/>
        <a:stretch>
          <a:fillRect/>
        </a:stretch>
      </xdr:blipFill>
      <xdr:spPr>
        <a:xfrm>
          <a:off x="685800" y="17487900"/>
          <a:ext cx="7296150" cy="3073024"/>
        </a:xfrm>
        <a:prstGeom prst="rect">
          <a:avLst/>
        </a:prstGeom>
      </xdr:spPr>
    </xdr:pic>
    <xdr:clientData/>
  </xdr:twoCellAnchor>
  <xdr:twoCellAnchor editAs="oneCell">
    <xdr:from>
      <xdr:col>1</xdr:col>
      <xdr:colOff>0</xdr:colOff>
      <xdr:row>120</xdr:row>
      <xdr:rowOff>0</xdr:rowOff>
    </xdr:from>
    <xdr:to>
      <xdr:col>9</xdr:col>
      <xdr:colOff>580267</xdr:colOff>
      <xdr:row>135</xdr:row>
      <xdr:rowOff>66345</xdr:rowOff>
    </xdr:to>
    <xdr:pic>
      <xdr:nvPicPr>
        <xdr:cNvPr id="8" name="图片 7">
          <a:extLst>
            <a:ext uri="{FF2B5EF4-FFF2-40B4-BE49-F238E27FC236}">
              <a16:creationId xmlns="" xmlns:a16="http://schemas.microsoft.com/office/drawing/2014/main" id="{00000000-0008-0000-2500-000008000000}"/>
            </a:ext>
          </a:extLst>
        </xdr:cNvPr>
        <xdr:cNvPicPr>
          <a:picLocks noChangeAspect="1"/>
        </xdr:cNvPicPr>
      </xdr:nvPicPr>
      <xdr:blipFill>
        <a:blip xmlns:r="http://schemas.openxmlformats.org/officeDocument/2006/relationships" r:embed="rId7"/>
        <a:stretch>
          <a:fillRect/>
        </a:stretch>
      </xdr:blipFill>
      <xdr:spPr>
        <a:xfrm>
          <a:off x="685800" y="20574000"/>
          <a:ext cx="6066667" cy="2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北京市预评估</v>
      </c>
    </row>
    <row r="3" spans="1:2" s="1207" customFormat="1">
      <c r="A3" s="1208" t="s">
        <v>1096</v>
      </c>
      <c r="B3" s="1193" t="str">
        <f>'预评函-封皮'!B12</f>
        <v>xx</v>
      </c>
    </row>
    <row r="4" spans="1:2" s="1207" customFormat="1">
      <c r="A4" s="1208" t="s">
        <v>1097</v>
      </c>
      <c r="B4" s="1193" t="str">
        <f ca="1">'预评函-封皮'!B18</f>
        <v>郑燚（注册号:1120070131）、崔锴（注册号:1120100036)</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估价对象为北京市房地产，为XX所有。根据《不动产权证书》[]，估价对象建筑面积为1715.28平方米。根据《》[]，估价对象（分摊）出让国有建设用地使用权面积为平方米。估价对象用途为。</v>
      </c>
    </row>
    <row r="8" spans="1:2">
      <c r="A8" s="1208" t="s">
        <v>1101</v>
      </c>
      <c r="B8" s="1195" t="str">
        <f>'预评函-1'!A8</f>
        <v>为估价委托人了解估价对象房地产市场价值提供参考依据。</v>
      </c>
    </row>
    <row r="9" spans="1:2">
      <c r="A9" s="1208" t="s">
        <v>1102</v>
      </c>
      <c r="B9" s="1195" t="str">
        <f>'预评函-1'!A10</f>
        <v>2021年3月15日（评估专业人员实地查勘之日）</v>
      </c>
    </row>
    <row r="10" spans="1:2">
      <c r="A10" s="1208" t="s">
        <v>1103</v>
      </c>
      <c r="B10" s="1195" t="str">
        <f>'预评函-1'!A13</f>
        <v>本次估价的“房地产价值”是指在正常市场情况下，在价值时点2021年3月15日，估价对象规划用途为，假定未设立法定优先受偿款下的房地产市场价值。</v>
      </c>
    </row>
    <row r="11" spans="1:2">
      <c r="A11" s="1208" t="s">
        <v>1104</v>
      </c>
      <c r="B11" s="1195"/>
    </row>
    <row r="12" spans="1:2">
      <c r="A12" s="1208" t="s">
        <v>1105</v>
      </c>
      <c r="B12" s="11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5" customFormat="1" ht="15.75" thickBot="1">
      <c r="A15" s="1209" t="s">
        <v>1108</v>
      </c>
      <c r="B15" s="1196" t="str">
        <f>'预评函-1'!A18</f>
        <v>本次评估采用的主估价方法为基准地价系数修正法和基准地价系数修正法。</v>
      </c>
    </row>
    <row r="16" spans="1:2" ht="15.75" thickTop="1">
      <c r="A16" s="1206" t="s">
        <v>1109</v>
      </c>
      <c r="B16" s="11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1715.28</v>
      </c>
    </row>
    <row r="19" spans="1:2">
      <c r="A19" s="1208" t="s">
        <v>1112</v>
      </c>
      <c r="B19" s="1195" t="e">
        <f ca="1">'预评函-2（1）'!D7</f>
        <v>#REF!</v>
      </c>
    </row>
    <row r="20" spans="1:2">
      <c r="A20" s="1208" t="s">
        <v>1150</v>
      </c>
      <c r="B20" s="1195" t="str">
        <f>'预评函-2（1）'!C7</f>
        <v>总价（万元）</v>
      </c>
    </row>
    <row r="21" spans="1:2">
      <c r="A21" s="1208" t="s">
        <v>1113</v>
      </c>
      <c r="B21" s="1195" t="e">
        <f ca="1">'预评函-2（1）'!D9</f>
        <v>#REF!</v>
      </c>
    </row>
    <row r="22" spans="1:2">
      <c r="A22" s="1208" t="s">
        <v>1114</v>
      </c>
      <c r="B22" s="1195" t="e">
        <f ca="1">'预评函-2（1）'!D8</f>
        <v>#REF!</v>
      </c>
    </row>
    <row r="23" spans="1:2">
      <c r="A23" s="1208" t="s">
        <v>1151</v>
      </c>
      <c r="B23" s="1195">
        <f>'预评函-2（1）'!D10</f>
        <v>0</v>
      </c>
    </row>
    <row r="24" spans="1:2">
      <c r="A24" s="1208" t="s">
        <v>1152</v>
      </c>
      <c r="B24" s="1195" t="str">
        <f>'预评函-2（1）'!C10</f>
        <v>总额（万元）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t="e">
        <f ca="1">'预评函-2（1）'!D15</f>
        <v>#REF!</v>
      </c>
    </row>
    <row r="30" spans="1:2">
      <c r="A30" s="1208" t="s">
        <v>1120</v>
      </c>
      <c r="B30" s="1195" t="e">
        <f ca="1">'预评函-2（1）'!D16</f>
        <v>#REF!</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e">
        <f ca="1">'预评函-2（1）'!D23</f>
        <v>#REF!</v>
      </c>
    </row>
    <row r="35" spans="1:2">
      <c r="A35" s="1208" t="s">
        <v>1125</v>
      </c>
      <c r="B35" s="1195" t="e">
        <f>'预评函-2（1）'!D22</f>
        <v>#VALUE!</v>
      </c>
    </row>
    <row r="36" spans="1:2">
      <c r="A36" s="1208" t="s">
        <v>1126</v>
      </c>
      <c r="B36" s="1195">
        <f>'预评函-2（2）'!C4</f>
        <v>0</v>
      </c>
    </row>
    <row r="37" spans="1:2">
      <c r="A37" s="1208" t="s">
        <v>1127</v>
      </c>
      <c r="B37" s="1195" t="e">
        <f ca="1">'预评函-2（2）'!D4</f>
        <v>#REF!</v>
      </c>
    </row>
    <row r="38" spans="1:2">
      <c r="A38" s="1208" t="s">
        <v>1128</v>
      </c>
      <c r="B38" s="1195" t="e">
        <f ca="1">'预评函-2（2）'!E4</f>
        <v>#REF!</v>
      </c>
    </row>
    <row r="39" spans="1:2">
      <c r="A39" s="1208" t="s">
        <v>1129</v>
      </c>
      <c r="B39" s="1195" t="e">
        <f ca="1">'预评函-2（2）'!D5</f>
        <v>#REF!</v>
      </c>
    </row>
    <row r="40" spans="1:2">
      <c r="A40" s="1208" t="s">
        <v>1130</v>
      </c>
      <c r="B40" s="1195" t="e">
        <f ca="1">'预评函-2（2）'!F4</f>
        <v>#REF!</v>
      </c>
    </row>
    <row r="41" spans="1:2">
      <c r="A41" s="1208" t="s">
        <v>1131</v>
      </c>
      <c r="B41" s="1195" t="e">
        <f ca="1">'预评函-2（2）'!G4</f>
        <v>#REF!</v>
      </c>
    </row>
    <row r="42" spans="1:2" s="1205" customFormat="1" ht="15.75" thickBot="1">
      <c r="A42" s="1209" t="s">
        <v>1132</v>
      </c>
      <c r="B42" s="1197" t="e">
        <f ca="1">'预评函-2（2）'!F5</f>
        <v>#REF!</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郑燚</v>
      </c>
    </row>
    <row r="53" spans="1:2">
      <c r="A53" s="1208" t="s">
        <v>1142</v>
      </c>
      <c r="B53" s="1195">
        <f ca="1">'预评函-3'!B4</f>
        <v>1120070131</v>
      </c>
    </row>
    <row r="54" spans="1:2">
      <c r="A54" s="1208" t="s">
        <v>1143</v>
      </c>
      <c r="B54" s="1199" t="str">
        <f>'预评函-3'!A5</f>
        <v>崔锴</v>
      </c>
    </row>
    <row r="55" spans="1:2" s="1205" customFormat="1" ht="15.75" thickBot="1">
      <c r="A55" s="1209" t="s">
        <v>1144</v>
      </c>
      <c r="B55" s="1197">
        <f ca="1">'预评函-3'!B5</f>
        <v>1120100036</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单位：万元、元/平方米（单位：人民币）</v>
      </c>
    </row>
    <row r="60" spans="1:2">
      <c r="A60" s="1211" t="s">
        <v>1158</v>
      </c>
      <c r="B60" s="1195" t="str">
        <f>'预评函-2（2）'!D2</f>
        <v>出让国有建设用地使用权价值</v>
      </c>
    </row>
    <row r="61" spans="1:2" s="1207" customFormat="1">
      <c r="A61" s="1211" t="s">
        <v>1159</v>
      </c>
      <c r="B61" s="1195" t="str">
        <f>'预评函-2（2）'!A14</f>
        <v>单位：平方米、万元、元/平方米（币种：人民币）</v>
      </c>
    </row>
    <row r="62" spans="1:2" ht="28.5">
      <c r="A62" s="1211" t="s">
        <v>1244</v>
      </c>
      <c r="B62" s="1195" t="e">
        <f ca="1">'预评函-2（1）'!D38</f>
        <v>#REF!</v>
      </c>
    </row>
    <row r="63" spans="1:2" s="1207" customFormat="1" ht="28.5">
      <c r="A63" s="1211" t="s">
        <v>1245</v>
      </c>
      <c r="B63" s="1195" t="str">
        <f>'预评函-2（1）'!D41</f>
        <v>——</v>
      </c>
    </row>
    <row r="64" spans="1:2">
      <c r="A64" s="1211" t="s">
        <v>1167</v>
      </c>
      <c r="B64" s="1195" t="str">
        <f>'预评函-2（2）'!A6</f>
        <v>估价师所知悉的法定优先受偿款</v>
      </c>
    </row>
    <row r="65" spans="1:2">
      <c r="A65" s="1211" t="s">
        <v>1168</v>
      </c>
      <c r="B65" s="1195" t="str">
        <f>'预评函-2（2）'!A8</f>
        <v>房地产抵押价值</v>
      </c>
    </row>
    <row r="66" spans="1:2">
      <c r="A66" s="1211" t="s">
        <v>1169</v>
      </c>
      <c r="B66" s="1195" t="str">
        <f>'预评函-2（2）'!A10</f>
        <v/>
      </c>
    </row>
    <row r="67" spans="1:2" s="1205" customFormat="1" ht="15.75" thickBot="1">
      <c r="A67" s="1212" t="s">
        <v>1170</v>
      </c>
      <c r="B67" s="1196" t="str">
        <f>'预评函-2（2）'!A12</f>
        <v/>
      </c>
    </row>
    <row r="68" spans="1:2" ht="15.75" thickTop="1">
      <c r="A68" s="1214" t="s">
        <v>1171</v>
      </c>
      <c r="B68" s="1200" t="str">
        <f>'预评函-3'!A9</f>
        <v>XX</v>
      </c>
    </row>
    <row r="69" spans="1:2">
      <c r="A69" s="1208" t="s">
        <v>1243</v>
      </c>
    </row>
    <row r="70" spans="1:2">
      <c r="A70" s="1208"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34" zoomScaleNormal="100" zoomScaleSheetLayoutView="100" workbookViewId="0">
      <selection activeCell="C12" sqref="C12"/>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5"/>
  </cols>
  <sheetData>
    <row r="1" spans="1:17" ht="13.5" thickBot="1">
      <c r="A1" s="2588" t="s">
        <v>1528</v>
      </c>
      <c r="B1" s="2589" t="str">
        <f>IF(B6="北京市","北京市",C6)&amp;IF(E12="房屋所有权证",B29,E29)&amp;D5&amp;"预评估"</f>
        <v>北京市预评估</v>
      </c>
      <c r="C1" s="821"/>
      <c r="D1" s="821"/>
      <c r="E1" s="821"/>
      <c r="F1" s="1424" t="s">
        <v>1529</v>
      </c>
      <c r="G1" s="1189"/>
      <c r="I1" s="2916" t="str">
        <f>IF(B6="北京市","北京市",C6)&amp;IF(E12="房屋所有权证",B29,E29)&amp;"房地产"</f>
        <v>北京市房地产</v>
      </c>
      <c r="J1" s="798"/>
      <c r="K1" s="2918"/>
      <c r="L1" s="2918"/>
      <c r="M1" s="2918"/>
      <c r="N1" s="798"/>
      <c r="O1" s="798"/>
      <c r="P1" s="798"/>
      <c r="Q1" s="798"/>
    </row>
    <row r="2" spans="1:17" ht="13.5" thickTop="1">
      <c r="A2" s="1425" t="s">
        <v>1530</v>
      </c>
      <c r="B2" s="2590">
        <v>44270</v>
      </c>
      <c r="C2" s="2888" t="s">
        <v>1531</v>
      </c>
      <c r="D2" s="2590">
        <f>B2</f>
        <v>44270</v>
      </c>
      <c r="E2" s="822"/>
      <c r="F2" s="822"/>
      <c r="G2" s="1190"/>
      <c r="H2" s="2900"/>
    </row>
    <row r="3" spans="1:17" ht="13.5" thickBot="1">
      <c r="A3" s="2591" t="s">
        <v>1532</v>
      </c>
      <c r="B3" s="2592" t="s">
        <v>2890</v>
      </c>
      <c r="C3" s="2593">
        <f ca="1">SUMIF(注册房地产估价师,B3,估价师及机构信息!B3:B16)</f>
        <v>1120070131</v>
      </c>
      <c r="D3" s="2592" t="s">
        <v>2891</v>
      </c>
      <c r="E3" s="2594">
        <f ca="1">SUMIF(注册房地产估价师,D3,估价师及机构信息!B3:B16)</f>
        <v>1120100036</v>
      </c>
      <c r="F3" s="823"/>
      <c r="G3" s="1191"/>
      <c r="H3" s="2900"/>
    </row>
    <row r="4" spans="1:17" ht="13.5" customHeight="1" thickTop="1">
      <c r="A4" s="1425" t="s">
        <v>1533</v>
      </c>
      <c r="B4" s="1426" t="s">
        <v>2718</v>
      </c>
      <c r="C4" s="2889" t="s">
        <v>1534</v>
      </c>
      <c r="D4" s="1427"/>
      <c r="E4" s="822"/>
      <c r="F4" s="822"/>
      <c r="G4" s="1190"/>
    </row>
    <row r="5" spans="1:17">
      <c r="A5" s="1428" t="s">
        <v>1535</v>
      </c>
      <c r="B5" s="1429" t="s">
        <v>2719</v>
      </c>
      <c r="C5" s="2890" t="s">
        <v>1536</v>
      </c>
      <c r="D5" s="1431"/>
      <c r="E5" s="2891" t="s">
        <v>1537</v>
      </c>
      <c r="F5" s="1431"/>
      <c r="G5" s="1432"/>
      <c r="I5" s="2916" t="str">
        <f>IF(C16="否","截至估价时点，估价对象抵押权未见登记。","截至价值时点，估价对象已设定抵押。")</f>
        <v>截至估价时点，估价对象抵押权未见登记。</v>
      </c>
      <c r="J5" s="798"/>
      <c r="K5" s="2918"/>
      <c r="L5" s="2918"/>
      <c r="M5" s="2918"/>
      <c r="N5" s="798"/>
      <c r="O5" s="798"/>
      <c r="P5" s="798"/>
      <c r="Q5" s="798"/>
    </row>
    <row r="6" spans="1:17">
      <c r="A6" s="2892" t="s">
        <v>1538</v>
      </c>
      <c r="B6" s="2595" t="s">
        <v>2892</v>
      </c>
      <c r="C6" s="2596" t="s">
        <v>2720</v>
      </c>
      <c r="D6" s="2597" t="s">
        <v>1539</v>
      </c>
      <c r="E6" s="809"/>
      <c r="F6" s="809"/>
      <c r="G6" s="828"/>
      <c r="I6" s="798" t="str">
        <f>IF(COUNTIF(B5,"*上海银行*"),"上海银行","")</f>
        <v/>
      </c>
      <c r="J6" s="798"/>
      <c r="K6" s="2918"/>
      <c r="L6" s="2918"/>
      <c r="M6" s="2918"/>
      <c r="N6" s="798"/>
      <c r="O6" s="798"/>
      <c r="P6" s="798"/>
      <c r="Q6" s="798"/>
    </row>
    <row r="7" spans="1:17" ht="13.5" thickBot="1">
      <c r="A7" s="2893" t="s">
        <v>1540</v>
      </c>
      <c r="B7" s="2598" t="s">
        <v>2912</v>
      </c>
      <c r="C7" s="1523" t="str">
        <f>IF(B7="自然人","姓名","名称")</f>
        <v>姓名</v>
      </c>
      <c r="D7" s="1436" t="s">
        <v>2719</v>
      </c>
      <c r="E7" s="823"/>
      <c r="F7" s="823"/>
      <c r="G7" s="1191"/>
    </row>
    <row r="8" spans="1:17" ht="13.5" thickTop="1">
      <c r="A8" s="3227" t="s">
        <v>1541</v>
      </c>
      <c r="B8" s="1437" t="s">
        <v>1542</v>
      </c>
      <c r="C8" s="3240"/>
      <c r="D8" s="3241"/>
      <c r="E8" s="2599" t="s">
        <v>1543</v>
      </c>
      <c r="F8" s="2600" t="s">
        <v>1544</v>
      </c>
      <c r="G8" s="2601" t="str">
        <f>C6</f>
        <v>XX</v>
      </c>
    </row>
    <row r="9" spans="1:17" ht="25.5">
      <c r="A9" s="3227"/>
      <c r="B9" s="259" t="s">
        <v>1545</v>
      </c>
      <c r="C9" s="3156" t="s">
        <v>2916</v>
      </c>
      <c r="D9" s="1438" t="s">
        <v>2893</v>
      </c>
      <c r="E9" s="2894" t="s">
        <v>1546</v>
      </c>
      <c r="F9" s="2602" t="s">
        <v>70</v>
      </c>
      <c r="G9" s="2603"/>
    </row>
    <row r="10" spans="1:17" ht="13.5" thickBot="1">
      <c r="A10" s="3227"/>
      <c r="B10" s="259" t="s">
        <v>1547</v>
      </c>
      <c r="C10" s="3242"/>
      <c r="D10" s="3243"/>
      <c r="E10" s="2895" t="s">
        <v>1548</v>
      </c>
      <c r="F10" s="2604" t="s">
        <v>421</v>
      </c>
      <c r="G10" s="2605"/>
    </row>
    <row r="11" spans="1:17" ht="13.5" thickBot="1">
      <c r="A11" s="3227"/>
      <c r="B11" s="1440" t="s">
        <v>1549</v>
      </c>
      <c r="C11" s="3244"/>
      <c r="D11" s="3245"/>
      <c r="E11" s="809"/>
      <c r="F11" s="809"/>
      <c r="G11" s="828"/>
    </row>
    <row r="12" spans="1:17" ht="13.5" thickBot="1">
      <c r="A12" s="3231" t="s">
        <v>2827</v>
      </c>
      <c r="B12" s="2896" t="s">
        <v>1550</v>
      </c>
      <c r="C12" s="806">
        <v>1715.28</v>
      </c>
      <c r="D12" s="1441" t="s">
        <v>1551</v>
      </c>
      <c r="E12" s="1442" t="s">
        <v>2894</v>
      </c>
      <c r="F12" s="1443"/>
      <c r="G12" s="828"/>
    </row>
    <row r="13" spans="1:17" ht="21" customHeight="1" thickBot="1">
      <c r="A13" s="3232"/>
      <c r="B13" s="2897" t="s">
        <v>1552</v>
      </c>
      <c r="C13" s="807"/>
      <c r="D13" s="1444" t="s">
        <v>1553</v>
      </c>
      <c r="E13" s="1445"/>
      <c r="F13" s="809"/>
      <c r="G13" s="828"/>
      <c r="I13" s="3250" t="s">
        <v>1554</v>
      </c>
      <c r="J13" s="2917"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8"/>
      <c r="L13" s="2918"/>
      <c r="M13" s="2918"/>
      <c r="N13" s="798"/>
      <c r="O13" s="798"/>
      <c r="P13" s="798"/>
      <c r="Q13" s="798"/>
    </row>
    <row r="14" spans="1:17" ht="13.5" thickBot="1">
      <c r="A14" s="2606"/>
      <c r="B14" s="2911" t="s">
        <v>2828</v>
      </c>
      <c r="C14" s="2607"/>
      <c r="D14" s="809"/>
      <c r="E14" s="809"/>
      <c r="F14" s="809"/>
      <c r="G14" s="828"/>
      <c r="I14" s="3250"/>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798"/>
      <c r="O14" s="798"/>
      <c r="P14" s="798"/>
      <c r="Q14" s="798"/>
    </row>
    <row r="15" spans="1:17" ht="13.5" thickBot="1">
      <c r="A15" s="2608"/>
      <c r="B15" s="2898" t="s">
        <v>1555</v>
      </c>
      <c r="C15" s="824">
        <v>3.5</v>
      </c>
      <c r="D15" s="823"/>
      <c r="E15" s="823"/>
      <c r="F15" s="823"/>
      <c r="G15" s="1191"/>
      <c r="I15" s="3250"/>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798"/>
      <c r="O15" s="798"/>
      <c r="P15" s="798"/>
      <c r="Q15" s="798"/>
    </row>
    <row r="16" spans="1:17" ht="25.5" thickTop="1" thickBot="1">
      <c r="A16" s="2606" t="s">
        <v>1556</v>
      </c>
      <c r="B16" s="1446" t="s">
        <v>1557</v>
      </c>
      <c r="C16" s="2609" t="s">
        <v>2895</v>
      </c>
      <c r="D16" s="1439" t="s">
        <v>1558</v>
      </c>
      <c r="E16" s="2610" t="s">
        <v>2895</v>
      </c>
      <c r="F16" s="1447" t="str">
        <f>IF(AND(C16="是",E16="否"),"是否提供他项权证或相关说明","")</f>
        <v/>
      </c>
      <c r="G16" s="2610"/>
      <c r="J16" s="2900"/>
    </row>
    <row r="17" spans="1:66" ht="13.5" customHeight="1">
      <c r="A17" s="1453" t="s">
        <v>1559</v>
      </c>
      <c r="B17" s="3246" t="s">
        <v>1560</v>
      </c>
      <c r="C17" s="3247"/>
      <c r="D17" s="3248" t="s">
        <v>1561</v>
      </c>
      <c r="E17" s="3249"/>
      <c r="F17" s="1448" t="s">
        <v>1562</v>
      </c>
      <c r="G17" s="1449"/>
      <c r="J17" s="2900"/>
    </row>
    <row r="18" spans="1:66" ht="24">
      <c r="A18" s="1453"/>
      <c r="B18" s="2611" t="s">
        <v>2896</v>
      </c>
      <c r="C18" s="1432" t="s">
        <v>2897</v>
      </c>
      <c r="D18" s="1450" t="s">
        <v>1563</v>
      </c>
      <c r="E18" s="1451"/>
      <c r="F18" s="1452"/>
      <c r="G18" s="1315"/>
      <c r="H18" s="2900"/>
      <c r="J18" s="2900"/>
    </row>
    <row r="19" spans="1:66" ht="21.75" customHeight="1" thickBot="1">
      <c r="A19" s="1453"/>
      <c r="B19" s="2612"/>
      <c r="C19" s="1445"/>
      <c r="D19" s="1453"/>
      <c r="E19" s="809"/>
      <c r="F19" s="809"/>
      <c r="G19" s="1315"/>
    </row>
    <row r="20" spans="1:66">
      <c r="A20" s="1449" t="s">
        <v>1564</v>
      </c>
      <c r="B20" s="2613" t="s">
        <v>1565</v>
      </c>
      <c r="C20" s="2614"/>
      <c r="D20" s="2615" t="s">
        <v>1565</v>
      </c>
      <c r="E20" s="2614"/>
      <c r="F20" s="809"/>
      <c r="G20" s="1315"/>
    </row>
    <row r="21" spans="1:66">
      <c r="A21" s="1315"/>
      <c r="B21" s="2616" t="s">
        <v>1566</v>
      </c>
      <c r="C21" s="2883"/>
      <c r="D21" s="1453" t="s">
        <v>1566</v>
      </c>
      <c r="E21" s="2617"/>
      <c r="F21" s="809"/>
      <c r="G21" s="1315"/>
    </row>
    <row r="22" spans="1:66">
      <c r="A22" s="1315"/>
      <c r="B22" s="809" t="s">
        <v>1567</v>
      </c>
      <c r="C22" s="2618"/>
      <c r="D22" s="809" t="s">
        <v>1567</v>
      </c>
      <c r="E22" s="2617"/>
      <c r="F22" s="809"/>
      <c r="G22" s="1315"/>
    </row>
    <row r="23" spans="1:66" s="2882" customFormat="1" ht="16.5" thickBot="1">
      <c r="A23" s="1316"/>
      <c r="B23" s="827" t="s">
        <v>1568</v>
      </c>
      <c r="C23" s="807"/>
      <c r="D23" s="827" t="s">
        <v>1569</v>
      </c>
      <c r="E23" s="2619"/>
      <c r="F23" s="827"/>
      <c r="G23" s="1316"/>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59" t="s">
        <v>2826</v>
      </c>
      <c r="B24" s="3259"/>
      <c r="C24" s="3259"/>
      <c r="D24" s="3259"/>
      <c r="E24" s="3259"/>
      <c r="F24" s="3259"/>
      <c r="G24" s="3259"/>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6" t="s">
        <v>1570</v>
      </c>
      <c r="B25" s="809"/>
      <c r="C25" s="809"/>
      <c r="D25" s="809"/>
      <c r="E25" s="809"/>
      <c r="F25" s="809"/>
      <c r="G25" s="1316"/>
      <c r="K25" s="2901"/>
    </row>
    <row r="26" spans="1:66" s="834" customFormat="1" ht="13.5" thickBot="1">
      <c r="A26" s="2620"/>
      <c r="B26" s="805" t="s">
        <v>1571</v>
      </c>
      <c r="C26" s="2620"/>
      <c r="D26" s="805"/>
      <c r="E26" s="2621" t="s">
        <v>1572</v>
      </c>
      <c r="F26" s="2620"/>
      <c r="G26" s="2622" t="s">
        <v>1573</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4" customFormat="1" ht="13.5" thickBot="1">
      <c r="A27" s="2620"/>
      <c r="B27" s="2623"/>
      <c r="C27" s="2620"/>
      <c r="D27" s="805"/>
      <c r="E27" s="2623"/>
      <c r="F27" s="2620"/>
      <c r="G27" s="2624"/>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1" t="s">
        <v>1574</v>
      </c>
      <c r="B28" s="799"/>
      <c r="C28" s="3234" t="s">
        <v>1574</v>
      </c>
      <c r="D28" s="3235"/>
      <c r="E28" s="799"/>
      <c r="F28" s="801" t="s">
        <v>1574</v>
      </c>
      <c r="G28" s="799"/>
      <c r="K28" s="2901"/>
    </row>
    <row r="29" spans="1:66">
      <c r="A29" s="802" t="s">
        <v>1575</v>
      </c>
      <c r="B29" s="796"/>
      <c r="C29" s="3236" t="s">
        <v>1576</v>
      </c>
      <c r="D29" s="3237"/>
      <c r="E29" s="796"/>
      <c r="F29" s="802" t="s">
        <v>1576</v>
      </c>
      <c r="G29" s="796"/>
      <c r="K29" s="2901"/>
    </row>
    <row r="30" spans="1:66">
      <c r="A30" s="802" t="s">
        <v>1577</v>
      </c>
      <c r="B30" s="796"/>
      <c r="C30" s="3236" t="s">
        <v>1577</v>
      </c>
      <c r="D30" s="3237"/>
      <c r="E30" s="796"/>
      <c r="F30" s="802" t="s">
        <v>1578</v>
      </c>
      <c r="G30" s="796"/>
      <c r="K30" s="2901"/>
    </row>
    <row r="31" spans="1:66">
      <c r="A31" s="802" t="s">
        <v>1579</v>
      </c>
      <c r="B31" s="796"/>
      <c r="C31" s="3256" t="s">
        <v>1580</v>
      </c>
      <c r="D31" s="809"/>
      <c r="E31" s="2625" t="str">
        <f>E32&amp;" "&amp;E33&amp;" "&amp;E34&amp;" "&amp;E35</f>
        <v xml:space="preserve">   </v>
      </c>
      <c r="F31" s="802" t="s">
        <v>1581</v>
      </c>
      <c r="G31" s="796"/>
    </row>
    <row r="32" spans="1:66">
      <c r="A32" s="802" t="s">
        <v>1582</v>
      </c>
      <c r="B32" s="796"/>
      <c r="C32" s="3257"/>
      <c r="D32" s="259" t="s">
        <v>1583</v>
      </c>
      <c r="E32" s="796"/>
      <c r="F32" s="802" t="s">
        <v>1584</v>
      </c>
      <c r="G32" s="796"/>
    </row>
    <row r="33" spans="1:7" ht="24.75" thickBot="1">
      <c r="A33" s="803" t="s">
        <v>1585</v>
      </c>
      <c r="B33" s="800"/>
      <c r="C33" s="3257"/>
      <c r="D33" s="259" t="s">
        <v>1586</v>
      </c>
      <c r="E33" s="796"/>
      <c r="F33" s="802" t="s">
        <v>1587</v>
      </c>
      <c r="G33" s="796"/>
    </row>
    <row r="34" spans="1:7">
      <c r="A34" s="801" t="s">
        <v>1588</v>
      </c>
      <c r="B34" s="799"/>
      <c r="C34" s="3257"/>
      <c r="D34" s="259" t="s">
        <v>1589</v>
      </c>
      <c r="E34" s="796"/>
      <c r="F34" s="802" t="s">
        <v>1590</v>
      </c>
      <c r="G34" s="796"/>
    </row>
    <row r="35" spans="1:7" ht="13.5" thickBot="1">
      <c r="A35" s="802" t="s">
        <v>1591</v>
      </c>
      <c r="B35" s="796"/>
      <c r="C35" s="3258"/>
      <c r="D35" s="259" t="s">
        <v>1592</v>
      </c>
      <c r="E35" s="796"/>
      <c r="F35" s="803" t="s">
        <v>1593</v>
      </c>
      <c r="G35" s="2626"/>
    </row>
    <row r="36" spans="1:7">
      <c r="A36" s="802" t="s">
        <v>1550</v>
      </c>
      <c r="B36" s="796"/>
      <c r="C36" s="3236" t="s">
        <v>1594</v>
      </c>
      <c r="D36" s="3237"/>
      <c r="E36" s="796"/>
      <c r="F36" s="2627" t="s">
        <v>1595</v>
      </c>
      <c r="G36" s="799"/>
    </row>
    <row r="37" spans="1:7" ht="13.5" thickBot="1">
      <c r="A37" s="802" t="s">
        <v>1596</v>
      </c>
      <c r="B37" s="796"/>
      <c r="C37" s="3238" t="s">
        <v>1597</v>
      </c>
      <c r="D37" s="3239"/>
      <c r="E37" s="800"/>
      <c r="F37" s="1461" t="s">
        <v>1598</v>
      </c>
      <c r="G37" s="796"/>
    </row>
    <row r="38" spans="1:7" ht="13.5" thickBot="1">
      <c r="A38" s="802" t="s">
        <v>1599</v>
      </c>
      <c r="B38" s="796"/>
      <c r="C38" s="3228" t="s">
        <v>1600</v>
      </c>
      <c r="D38" s="1441" t="s">
        <v>1584</v>
      </c>
      <c r="E38" s="799"/>
      <c r="F38" s="803" t="s">
        <v>1601</v>
      </c>
      <c r="G38" s="800"/>
    </row>
    <row r="39" spans="1:7">
      <c r="A39" s="802" t="s">
        <v>1602</v>
      </c>
      <c r="B39" s="796"/>
      <c r="C39" s="3229"/>
      <c r="D39" s="259" t="s">
        <v>1591</v>
      </c>
      <c r="E39" s="796"/>
      <c r="F39" s="801" t="s">
        <v>1603</v>
      </c>
      <c r="G39" s="799"/>
    </row>
    <row r="40" spans="1:7">
      <c r="A40" s="802" t="s">
        <v>1604</v>
      </c>
      <c r="B40" s="796"/>
      <c r="C40" s="3229" t="s">
        <v>1605</v>
      </c>
      <c r="D40" s="259" t="s">
        <v>1550</v>
      </c>
      <c r="E40" s="796"/>
      <c r="F40" s="802" t="s">
        <v>1606</v>
      </c>
      <c r="G40" s="796"/>
    </row>
    <row r="41" spans="1:7" ht="24.75" customHeight="1" thickBot="1">
      <c r="A41" s="803" t="s">
        <v>1607</v>
      </c>
      <c r="B41" s="800"/>
      <c r="C41" s="3230"/>
      <c r="D41" s="1444" t="s">
        <v>1552</v>
      </c>
      <c r="E41" s="800"/>
      <c r="F41" s="803" t="s">
        <v>1608</v>
      </c>
      <c r="G41" s="800"/>
    </row>
    <row r="42" spans="1:7">
      <c r="A42" s="804" t="s">
        <v>1609</v>
      </c>
      <c r="B42" s="2628"/>
      <c r="C42" s="3251" t="s">
        <v>1609</v>
      </c>
      <c r="D42" s="3252"/>
      <c r="E42" s="2628"/>
      <c r="F42" s="801" t="s">
        <v>1610</v>
      </c>
      <c r="G42" s="2628"/>
    </row>
    <row r="43" spans="1:7">
      <c r="A43" s="819" t="s">
        <v>1611</v>
      </c>
      <c r="B43" s="2629"/>
      <c r="C43" s="1453"/>
      <c r="D43" s="2616"/>
      <c r="E43" s="2629"/>
      <c r="F43" s="819"/>
      <c r="G43" s="2629"/>
    </row>
    <row r="44" spans="1:7">
      <c r="A44" s="819" t="s">
        <v>1565</v>
      </c>
      <c r="B44" s="820"/>
      <c r="C44" s="1453"/>
      <c r="D44" s="1519" t="s">
        <v>1565</v>
      </c>
      <c r="E44" s="820"/>
      <c r="F44" s="819" t="s">
        <v>1565</v>
      </c>
      <c r="G44" s="820"/>
    </row>
    <row r="45" spans="1:7">
      <c r="A45" s="819" t="s">
        <v>1566</v>
      </c>
      <c r="B45" s="820"/>
      <c r="C45" s="1453"/>
      <c r="D45" s="2616" t="s">
        <v>1566</v>
      </c>
      <c r="E45" s="820"/>
      <c r="F45" s="819" t="s">
        <v>1566</v>
      </c>
      <c r="G45" s="820"/>
    </row>
    <row r="46" spans="1:7">
      <c r="A46" s="819" t="s">
        <v>1567</v>
      </c>
      <c r="B46" s="820"/>
      <c r="C46" s="1453"/>
      <c r="D46" s="2616" t="s">
        <v>1567</v>
      </c>
      <c r="E46" s="820"/>
      <c r="F46" s="819" t="s">
        <v>1567</v>
      </c>
      <c r="G46" s="820"/>
    </row>
    <row r="47" spans="1:7">
      <c r="A47" s="819" t="s">
        <v>1568</v>
      </c>
      <c r="B47" s="820"/>
      <c r="C47" s="1453"/>
      <c r="D47" s="2616" t="s">
        <v>1568</v>
      </c>
      <c r="E47" s="820"/>
      <c r="F47" s="819" t="s">
        <v>1568</v>
      </c>
      <c r="G47" s="820"/>
    </row>
    <row r="48" spans="1:7">
      <c r="A48" s="819"/>
      <c r="B48" s="820"/>
      <c r="C48" s="1453"/>
      <c r="D48" s="2616"/>
      <c r="E48" s="820"/>
      <c r="F48" s="819"/>
      <c r="G48" s="820"/>
    </row>
    <row r="49" spans="1:66" ht="13.5" thickBot="1">
      <c r="A49" s="803" t="s">
        <v>1612</v>
      </c>
      <c r="B49" s="800"/>
      <c r="C49" s="3253" t="s">
        <v>1612</v>
      </c>
      <c r="D49" s="3254"/>
      <c r="E49" s="818"/>
      <c r="F49" s="803" t="s">
        <v>1613</v>
      </c>
      <c r="G49" s="800"/>
    </row>
    <row r="50" spans="1:66">
      <c r="A50" s="802" t="s">
        <v>1614</v>
      </c>
      <c r="B50" s="817"/>
      <c r="C50" s="3228" t="s">
        <v>1615</v>
      </c>
      <c r="D50" s="3255"/>
      <c r="E50" s="2630"/>
      <c r="F50" s="835"/>
      <c r="G50" s="836"/>
    </row>
    <row r="51" spans="1:66" ht="13.5" thickBot="1">
      <c r="A51" s="802" t="s">
        <v>1616</v>
      </c>
      <c r="B51" s="817"/>
      <c r="C51" s="3230" t="s">
        <v>1617</v>
      </c>
      <c r="D51" s="3233"/>
      <c r="E51" s="800"/>
      <c r="F51" s="809"/>
      <c r="G51" s="828"/>
    </row>
    <row r="52" spans="1:66">
      <c r="A52" s="802" t="s">
        <v>1595</v>
      </c>
      <c r="B52" s="796"/>
      <c r="C52" s="809"/>
      <c r="D52" s="809"/>
      <c r="E52" s="809"/>
      <c r="F52" s="809"/>
      <c r="G52" s="828"/>
    </row>
    <row r="53" spans="1:66" ht="24.75" thickBot="1">
      <c r="A53" s="803" t="s">
        <v>1618</v>
      </c>
      <c r="B53" s="2626"/>
      <c r="C53" s="827"/>
      <c r="D53" s="827"/>
      <c r="E53" s="827"/>
      <c r="F53" s="827"/>
      <c r="G53" s="829"/>
    </row>
    <row r="57" spans="1:66" s="808"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08"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08"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08"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08"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08"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08"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0" t="s">
        <v>0</v>
      </c>
      <c r="B1" s="3260" t="s">
        <v>2</v>
      </c>
      <c r="C1" s="3260" t="s">
        <v>3</v>
      </c>
      <c r="D1" s="3261" t="s">
        <v>67</v>
      </c>
      <c r="E1" s="3261" t="s">
        <v>68</v>
      </c>
      <c r="F1" s="3261"/>
      <c r="G1" s="3261"/>
      <c r="H1" s="3261"/>
      <c r="I1" s="3261"/>
      <c r="J1" s="3261"/>
      <c r="K1" s="3261"/>
      <c r="L1" s="3261"/>
      <c r="M1" s="3261"/>
    </row>
    <row r="2" spans="1:13" ht="27" customHeight="1">
      <c r="A2" s="3260"/>
      <c r="B2" s="3260"/>
      <c r="C2" s="3260"/>
      <c r="D2" s="3261"/>
      <c r="E2" s="3261" t="s">
        <v>51</v>
      </c>
      <c r="F2" s="3261" t="s">
        <v>52</v>
      </c>
      <c r="G2" s="3261"/>
      <c r="H2" s="3261"/>
      <c r="I2" s="3261"/>
      <c r="J2" s="3261" t="s">
        <v>53</v>
      </c>
      <c r="K2" s="3261"/>
      <c r="L2" s="3261"/>
      <c r="M2" s="3261"/>
    </row>
    <row r="3" spans="1:13" ht="28.5">
      <c r="A3" s="3260"/>
      <c r="B3" s="3260"/>
      <c r="C3" s="3260"/>
      <c r="D3" s="3261"/>
      <c r="E3" s="32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1" t="s">
        <v>69</v>
      </c>
      <c r="B9" s="3261"/>
      <c r="C9" s="32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35" sqref="E35"/>
    </sheetView>
  </sheetViews>
  <sheetFormatPr defaultColWidth="13.75" defaultRowHeight="12.75"/>
  <cols>
    <col min="1" max="1" width="20.875" style="2686" customWidth="1"/>
    <col min="2" max="2" width="16.75" style="2632" customWidth="1"/>
    <col min="3" max="3" width="18.25" style="2672" customWidth="1"/>
    <col min="4" max="4" width="34.125" style="2687" customWidth="1"/>
    <col min="5" max="5" width="17.625" style="2687" customWidth="1"/>
    <col min="6" max="6" width="15.5" style="2631"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2"/>
  </cols>
  <sheetData>
    <row r="1" spans="1:41" ht="19.5" thickBot="1">
      <c r="A1" s="2919" t="s">
        <v>1619</v>
      </c>
      <c r="B1" s="945"/>
      <c r="D1" s="2631"/>
      <c r="E1" s="2631"/>
    </row>
    <row r="2" spans="1:41" s="2635" customFormat="1" ht="15.75" thickBot="1">
      <c r="A2" s="2920" t="s">
        <v>1620</v>
      </c>
      <c r="B2" s="2921">
        <f>项目基本情况!D2</f>
        <v>44270</v>
      </c>
      <c r="C2" s="1683"/>
      <c r="D2" s="3262" t="s">
        <v>1621</v>
      </c>
      <c r="E2" s="2633"/>
      <c r="F2" s="2634"/>
      <c r="G2" s="2966"/>
      <c r="H2" s="2966"/>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5" customFormat="1" ht="15" customHeight="1" thickBot="1">
      <c r="A3" s="2638" t="s">
        <v>1622</v>
      </c>
      <c r="B3" s="2636" t="s">
        <v>2898</v>
      </c>
      <c r="C3" s="1683"/>
      <c r="D3" s="3263"/>
      <c r="E3" s="2637" t="s">
        <v>2895</v>
      </c>
      <c r="F3" s="2634"/>
      <c r="G3" s="2966"/>
      <c r="H3" s="2966"/>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5" customFormat="1" ht="15" thickBot="1">
      <c r="A4" s="2641" t="s">
        <v>1623</v>
      </c>
      <c r="B4" s="2636" t="s">
        <v>2899</v>
      </c>
      <c r="C4" s="1683"/>
      <c r="D4" s="3263"/>
      <c r="E4" s="2637"/>
      <c r="F4" s="2634"/>
      <c r="G4" s="2966"/>
      <c r="H4" s="2966"/>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5" customFormat="1" ht="15.75" thickBot="1">
      <c r="A5" s="2638" t="s">
        <v>1624</v>
      </c>
      <c r="B5" s="2639">
        <f>项目基本情况!C12</f>
        <v>1715.28</v>
      </c>
      <c r="C5" s="1683"/>
      <c r="D5" s="2922" t="s">
        <v>1625</v>
      </c>
      <c r="E5" s="2640">
        <v>433.5</v>
      </c>
      <c r="F5" s="2634"/>
      <c r="G5" s="2966"/>
      <c r="H5" s="2966"/>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5" customFormat="1" ht="15.75" thickBot="1">
      <c r="A6" s="2641" t="s">
        <v>1626</v>
      </c>
      <c r="B6" s="2642">
        <f>项目基本情况!C13</f>
        <v>0</v>
      </c>
      <c r="C6" s="1683"/>
      <c r="D6" s="2922" t="s">
        <v>1627</v>
      </c>
      <c r="E6" s="2640"/>
      <c r="F6" s="2634"/>
      <c r="G6" s="2966"/>
      <c r="H6" s="2966"/>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8"/>
      <c r="D7" s="2969"/>
      <c r="E7" s="2969"/>
      <c r="F7" s="2966"/>
      <c r="G7" s="2966"/>
      <c r="H7" s="2966"/>
    </row>
    <row r="8" spans="1:41" s="1683" customFormat="1" ht="15" hidden="1">
      <c r="A8" s="2968"/>
      <c r="D8" s="2969"/>
      <c r="E8" s="2969"/>
      <c r="F8" s="2966"/>
      <c r="G8" s="2966"/>
      <c r="H8" s="2966"/>
    </row>
    <row r="9" spans="1:41" s="1683" customFormat="1" ht="15" hidden="1" thickBot="1">
      <c r="C9" s="3088"/>
      <c r="D9" s="2966"/>
      <c r="E9" s="2966"/>
      <c r="F9" s="2966"/>
      <c r="G9" s="2966"/>
      <c r="H9" s="2966"/>
    </row>
    <row r="10" spans="1:41" s="2635" customFormat="1" ht="15" thickBot="1">
      <c r="A10" s="2923" t="s">
        <v>1628</v>
      </c>
      <c r="B10" s="2644" t="s">
        <v>2913</v>
      </c>
      <c r="C10" s="1683"/>
      <c r="D10" s="2920" t="s">
        <v>1629</v>
      </c>
      <c r="E10" s="2924" t="s">
        <v>1630</v>
      </c>
      <c r="F10" s="3089" t="s">
        <v>2837</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8" customFormat="1" ht="14.25">
      <c r="A11" s="2925" t="s">
        <v>1631</v>
      </c>
      <c r="B11" s="2646">
        <v>40</v>
      </c>
      <c r="C11" s="1683"/>
      <c r="D11" s="2926" t="s">
        <v>1632</v>
      </c>
      <c r="E11" s="2647"/>
      <c r="F11" s="1310" t="s">
        <v>1633</v>
      </c>
      <c r="G11" s="1683"/>
      <c r="H11" s="1683"/>
      <c r="I11" s="1683"/>
      <c r="J11" s="1683"/>
      <c r="K11" s="1683"/>
      <c r="L11" s="2708"/>
      <c r="M11" s="2708"/>
      <c r="N11" s="2708"/>
      <c r="O11" s="2708"/>
      <c r="P11" s="2708"/>
      <c r="Q11" s="2708"/>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5" customFormat="1" ht="15">
      <c r="A12" s="2927" t="s">
        <v>1634</v>
      </c>
      <c r="B12" s="2649">
        <v>52668</v>
      </c>
      <c r="C12" s="1683"/>
      <c r="D12" s="2927" t="s">
        <v>1635</v>
      </c>
      <c r="E12" s="2650">
        <v>200</v>
      </c>
      <c r="F12" s="1309"/>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5" customFormat="1" ht="15" thickBot="1">
      <c r="A13" s="2928" t="s">
        <v>1636</v>
      </c>
      <c r="B13" s="2929">
        <f>IF(B12="",B11-(YEAR($B$2)-B27+B24),ROUNDDOWN(MIN((B12-$B$2)/365,B11),2))</f>
        <v>23</v>
      </c>
      <c r="C13" s="2964"/>
      <c r="D13" s="2930" t="s">
        <v>1637</v>
      </c>
      <c r="E13" s="2651">
        <f>成本法!C10</f>
        <v>343056</v>
      </c>
      <c r="F13" s="1308" t="s">
        <v>1638</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5" customFormat="1" ht="14.25">
      <c r="A14" s="2927" t="s">
        <v>1639</v>
      </c>
      <c r="B14" s="2931">
        <f>IF(ISERROR(ROUND(POWER(1+B15,B11-B13)*(POWER(1+B15,B13)-1)/(POWER(1+B15,B11)-1),3)),0,ROUND(POWER(1+B15,B11-B13)*(POWER(1+B15,B13)-1)/(POWER(1+B15,B11)-1),3))</f>
        <v>0.78600000000000003</v>
      </c>
      <c r="C14" s="1683"/>
      <c r="D14" s="2932" t="s">
        <v>1640</v>
      </c>
      <c r="E14" s="2652">
        <v>200</v>
      </c>
      <c r="F14" s="1309"/>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5" customFormat="1" ht="14.25">
      <c r="A15" s="2927" t="s">
        <v>1641</v>
      </c>
      <c r="B15" s="2653">
        <v>0.05</v>
      </c>
      <c r="C15" s="2561" t="s">
        <v>2838</v>
      </c>
      <c r="D15" s="2927" t="s">
        <v>1642</v>
      </c>
      <c r="E15" s="2933">
        <f>E14-E16</f>
        <v>200</v>
      </c>
      <c r="F15" s="1309"/>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5" customFormat="1" ht="15" thickBot="1">
      <c r="A16" s="2927" t="s">
        <v>1643</v>
      </c>
      <c r="B16" s="2653">
        <v>5.5E-2</v>
      </c>
      <c r="C16" s="2561" t="s">
        <v>2839</v>
      </c>
      <c r="D16" s="2934" t="s">
        <v>1644</v>
      </c>
      <c r="E16" s="2654">
        <v>0</v>
      </c>
      <c r="F16" s="1308"/>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5" customFormat="1" ht="15" thickBot="1">
      <c r="A17" s="2934" t="s">
        <v>2836</v>
      </c>
      <c r="B17" s="3087">
        <v>0.08</v>
      </c>
      <c r="C17" s="2561" t="s">
        <v>2840</v>
      </c>
      <c r="D17" s="2923" t="s">
        <v>1646</v>
      </c>
      <c r="E17" s="2655">
        <v>2500</v>
      </c>
      <c r="F17" s="945"/>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5" customFormat="1" ht="15" thickBot="1">
      <c r="A18" s="2935" t="s">
        <v>1645</v>
      </c>
      <c r="B18" s="3095">
        <v>8.5000000000000006E-2</v>
      </c>
      <c r="C18" s="1683"/>
      <c r="D18" s="2936" t="str">
        <f>IF(B26=0,"建安总额","在建建安")</f>
        <v>建安总额</v>
      </c>
      <c r="E18" s="2937">
        <f>ROUND(B5*E17*IF(B26=0,1,E20),0)</f>
        <v>4288200</v>
      </c>
      <c r="F18" s="2656">
        <f>ROUND(E5*E17*IF(B26=0,1,E20),0)</f>
        <v>1083750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5" customFormat="1" ht="15" thickBot="1">
      <c r="A19" s="1309"/>
      <c r="B19" s="1309"/>
      <c r="C19" s="1683"/>
      <c r="D19" s="2936" t="str">
        <f>IF(B26=0,"——","续建建安")</f>
        <v>——</v>
      </c>
      <c r="E19" s="2937" t="str">
        <f>IF(B26=0,"——",ROUND(B5*E17*(1-E20),0))</f>
        <v>——</v>
      </c>
      <c r="F19" s="2656"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5" customFormat="1" ht="15" thickBot="1">
      <c r="A20" s="2938" t="s">
        <v>1647</v>
      </c>
      <c r="B20" s="1309"/>
      <c r="C20" s="1683"/>
      <c r="D20" s="2940" t="str">
        <f>IF(B26=0,"成新率","工程进度")</f>
        <v>成新率</v>
      </c>
      <c r="E20" s="2658">
        <f>H20</f>
        <v>0.72</v>
      </c>
      <c r="F20" s="945"/>
      <c r="G20" s="1683">
        <f>ROUND(1-(2021-2000)*(1-2%)/50,2)</f>
        <v>0.59</v>
      </c>
      <c r="H20" s="1683">
        <f>ROUND((G20+G21)/2,2)</f>
        <v>0.72</v>
      </c>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5" customFormat="1" ht="14.25">
      <c r="A21" s="2939" t="s">
        <v>1648</v>
      </c>
      <c r="B21" s="2657">
        <v>0</v>
      </c>
      <c r="C21" s="1683"/>
      <c r="D21" s="2927" t="s">
        <v>1650</v>
      </c>
      <c r="E21" s="2660">
        <v>0.03</v>
      </c>
      <c r="F21" s="2670" t="s">
        <v>2846</v>
      </c>
      <c r="G21" s="1683">
        <v>0.85</v>
      </c>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5" customFormat="1" ht="14.25">
      <c r="A22" s="2941" t="s">
        <v>1649</v>
      </c>
      <c r="B22" s="2659">
        <v>1</v>
      </c>
      <c r="C22" s="1683"/>
      <c r="D22" s="2927" t="s">
        <v>1652</v>
      </c>
      <c r="E22" s="2663">
        <v>0.05</v>
      </c>
      <c r="F22" s="2670" t="s">
        <v>2844</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5" customFormat="1" ht="14.25">
      <c r="A23" s="2942" t="s">
        <v>1651</v>
      </c>
      <c r="B23" s="2662">
        <v>1</v>
      </c>
      <c r="C23" s="1683"/>
      <c r="D23" s="2927" t="s">
        <v>1654</v>
      </c>
      <c r="E23" s="2650">
        <v>200</v>
      </c>
      <c r="F23" s="2670"/>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5" customFormat="1" ht="15" thickBot="1">
      <c r="A24" s="2943" t="s">
        <v>1653</v>
      </c>
      <c r="B24" s="2944">
        <f>B21+B22</f>
        <v>1</v>
      </c>
      <c r="C24" s="1683"/>
      <c r="D24" s="2934" t="s">
        <v>1656</v>
      </c>
      <c r="E24" s="2664">
        <v>1.4999999999999999E-2</v>
      </c>
      <c r="F24" s="2670" t="s">
        <v>2847</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5" t="s">
        <v>1655</v>
      </c>
      <c r="B25" s="2946">
        <f>B21+B23</f>
        <v>1</v>
      </c>
      <c r="C25" s="1683"/>
      <c r="D25" s="2926" t="s">
        <v>1658</v>
      </c>
      <c r="E25" s="2660">
        <v>0.01</v>
      </c>
      <c r="F25" s="2670" t="s">
        <v>2845</v>
      </c>
      <c r="I25" s="2965"/>
    </row>
    <row r="26" spans="1:41" ht="15" thickBot="1">
      <c r="A26" s="2943" t="s">
        <v>1657</v>
      </c>
      <c r="B26" s="2947">
        <f>B22-B23</f>
        <v>0</v>
      </c>
      <c r="D26" s="2927" t="s">
        <v>1660</v>
      </c>
      <c r="E26" s="2663">
        <v>0.01</v>
      </c>
      <c r="F26" s="2670" t="s">
        <v>2845</v>
      </c>
      <c r="G26" s="2966"/>
      <c r="H26" s="2966"/>
      <c r="I26" s="1683"/>
      <c r="J26" s="1683"/>
      <c r="K26" s="1683"/>
      <c r="L26" s="1683"/>
      <c r="M26" s="1683"/>
      <c r="N26" s="1683"/>
    </row>
    <row r="27" spans="1:41" ht="15.75" thickBot="1">
      <c r="A27" s="2948" t="s">
        <v>1659</v>
      </c>
      <c r="B27" s="3175">
        <v>2006</v>
      </c>
      <c r="C27" s="1683"/>
      <c r="D27" s="3154" t="s">
        <v>2889</v>
      </c>
      <c r="E27" s="2949">
        <f ca="1">IF(D27="利息：取LPR",存贷款利率!G1,存贷款利率!G1+F27)</f>
        <v>3.85E-2</v>
      </c>
      <c r="F27" s="3155">
        <v>5.0000000000000001E-3</v>
      </c>
      <c r="G27" s="2966"/>
      <c r="H27" s="2966"/>
      <c r="K27" s="1683"/>
      <c r="N27" s="1683"/>
    </row>
    <row r="28" spans="1:41" ht="15" thickBot="1">
      <c r="A28" s="945"/>
      <c r="B28" s="945"/>
      <c r="D28" s="2930" t="s">
        <v>1662</v>
      </c>
      <c r="E28" s="2666">
        <v>0.2</v>
      </c>
      <c r="G28" s="2966"/>
      <c r="H28" s="2966"/>
      <c r="K28" s="1683"/>
      <c r="N28" s="1683"/>
    </row>
    <row r="29" spans="1:41" ht="14.25">
      <c r="A29" s="2950" t="s">
        <v>1661</v>
      </c>
      <c r="B29" s="2665" t="s">
        <v>2974</v>
      </c>
      <c r="D29" s="2932" t="s">
        <v>1663</v>
      </c>
      <c r="E29" s="2951">
        <f>E30+E31</f>
        <v>5.5000000000000007E-2</v>
      </c>
      <c r="F29" s="1308"/>
      <c r="G29" s="2966"/>
      <c r="H29" s="2966"/>
      <c r="K29" s="1683"/>
      <c r="N29" s="1683"/>
    </row>
    <row r="30" spans="1:41" ht="14.25">
      <c r="A30" s="2927" t="str">
        <f>IF(B29="租赁期内按合同租金","合同租金","市场租金")</f>
        <v>市场租金</v>
      </c>
      <c r="B30" s="2667">
        <v>3.5</v>
      </c>
      <c r="D30" s="2934" t="s">
        <v>1665</v>
      </c>
      <c r="E30" s="2668">
        <v>0.05</v>
      </c>
      <c r="F30" s="2953">
        <f>IF(B2&lt;DATE(2016,5,1),0,E30)</f>
        <v>0.05</v>
      </c>
      <c r="G30" s="2966"/>
      <c r="H30" s="2966"/>
      <c r="K30" s="1683"/>
      <c r="N30" s="1683"/>
    </row>
    <row r="31" spans="1:41" ht="14.25">
      <c r="A31" s="2927" t="s">
        <v>1664</v>
      </c>
      <c r="B31" s="2952">
        <f ca="1">存贷款利率!I1</f>
        <v>1.4999999999999999E-2</v>
      </c>
      <c r="D31" s="2934" t="s">
        <v>1667</v>
      </c>
      <c r="E31" s="2954">
        <f>E30*(E32+E33+E34)+E35</f>
        <v>5.000000000000001E-3</v>
      </c>
      <c r="F31" s="1308"/>
      <c r="G31" s="2966"/>
      <c r="H31" s="2966"/>
      <c r="K31" s="1683"/>
      <c r="N31" s="1683"/>
    </row>
    <row r="32" spans="1:41" ht="14.25">
      <c r="A32" s="2927" t="s">
        <v>1666</v>
      </c>
      <c r="B32" s="2653">
        <v>0.03</v>
      </c>
      <c r="D32" s="2934" t="s">
        <v>1669</v>
      </c>
      <c r="E32" s="2669">
        <v>0.05</v>
      </c>
      <c r="F32" s="2670" t="s">
        <v>2731</v>
      </c>
      <c r="G32" s="2966"/>
      <c r="H32" s="2966"/>
      <c r="K32" s="1683"/>
      <c r="L32" s="1683"/>
      <c r="M32" s="1683"/>
      <c r="N32" s="1683"/>
    </row>
    <row r="33" spans="1:14" ht="14.25">
      <c r="A33" s="2927" t="s">
        <v>1668</v>
      </c>
      <c r="B33" s="2653">
        <v>0.1</v>
      </c>
      <c r="D33" s="2934" t="s">
        <v>1671</v>
      </c>
      <c r="E33" s="2668">
        <v>0.03</v>
      </c>
      <c r="F33" s="1307" t="s">
        <v>1672</v>
      </c>
      <c r="G33" s="2966"/>
      <c r="H33" s="2966"/>
      <c r="K33" s="1683"/>
      <c r="L33" s="1683"/>
      <c r="M33" s="1683"/>
      <c r="N33" s="1683"/>
    </row>
    <row r="34" spans="1:14" s="2672" customFormat="1" ht="14.25">
      <c r="A34" s="2927" t="s">
        <v>1670</v>
      </c>
      <c r="B34" s="2955">
        <f>收益法!J54</f>
        <v>23</v>
      </c>
      <c r="D34" s="2934" t="s">
        <v>1673</v>
      </c>
      <c r="E34" s="2668">
        <v>0.02</v>
      </c>
      <c r="F34" s="1307" t="s">
        <v>1674</v>
      </c>
      <c r="G34" s="2966"/>
      <c r="H34" s="2966"/>
      <c r="I34" s="1683"/>
      <c r="J34" s="1683"/>
      <c r="K34" s="1683"/>
      <c r="L34" s="1683"/>
      <c r="M34" s="1683"/>
      <c r="N34" s="1683"/>
    </row>
    <row r="35" spans="1:14" s="2672" customFormat="1" ht="15" thickBot="1">
      <c r="A35" s="2934" t="str">
        <f>IF(B29="租赁期内按合同租金","剩余租赁期","——")</f>
        <v>——</v>
      </c>
      <c r="B35" s="2671"/>
      <c r="D35" s="2930" t="s">
        <v>1676</v>
      </c>
      <c r="E35" s="2674"/>
      <c r="F35" s="1310" t="s">
        <v>1677</v>
      </c>
      <c r="G35" s="2966"/>
      <c r="H35" s="2966"/>
      <c r="I35" s="1683"/>
      <c r="J35" s="1683"/>
      <c r="K35" s="1683"/>
      <c r="L35" s="1683"/>
      <c r="M35" s="1683"/>
      <c r="N35" s="1683"/>
    </row>
    <row r="36" spans="1:14" s="2672" customFormat="1" ht="15">
      <c r="A36" s="2956" t="s">
        <v>1675</v>
      </c>
      <c r="B36" s="2957"/>
      <c r="D36" s="2958" t="s">
        <v>1678</v>
      </c>
      <c r="E36" s="2676">
        <v>0.03</v>
      </c>
      <c r="F36" s="1309" t="s">
        <v>1679</v>
      </c>
      <c r="G36" s="2966"/>
      <c r="H36" s="2966"/>
      <c r="I36" s="1683"/>
      <c r="J36" s="1683"/>
      <c r="K36" s="1683"/>
      <c r="L36" s="1683"/>
      <c r="M36" s="1683"/>
      <c r="N36" s="1683"/>
    </row>
    <row r="37" spans="1:14" s="2672" customFormat="1" ht="15" thickBot="1">
      <c r="A37" s="2932" t="str">
        <f>IF(B29="租赁期内按合同租金","租金","——")</f>
        <v>——</v>
      </c>
      <c r="B37" s="2675"/>
      <c r="D37" s="2934" t="s">
        <v>1680</v>
      </c>
      <c r="E37" s="2668">
        <v>5.0000000000000001E-4</v>
      </c>
      <c r="F37" s="1309" t="s">
        <v>1681</v>
      </c>
      <c r="G37" s="2966"/>
      <c r="H37" s="2966"/>
      <c r="I37" s="1683"/>
      <c r="J37" s="1683"/>
      <c r="K37" s="1683"/>
      <c r="L37" s="1683"/>
      <c r="M37" s="1683"/>
      <c r="N37" s="1683"/>
    </row>
    <row r="38" spans="1:14" s="2672" customFormat="1" ht="14.25">
      <c r="A38" s="2927" t="str">
        <f>IF(B29="租赁期内按合同租金","年租金增长率","——")</f>
        <v>——</v>
      </c>
      <c r="B38" s="2653"/>
      <c r="D38" s="2959" t="s">
        <v>1682</v>
      </c>
      <c r="E38" s="2960">
        <v>1.2E-2</v>
      </c>
      <c r="F38" s="1309"/>
      <c r="G38" s="2965"/>
      <c r="H38" s="2965"/>
      <c r="I38" s="2966"/>
      <c r="J38" s="1683"/>
      <c r="K38" s="1683"/>
      <c r="L38" s="1683"/>
      <c r="M38" s="1683"/>
      <c r="N38" s="1683"/>
    </row>
    <row r="39" spans="1:14" s="2672" customFormat="1" ht="15" thickBot="1">
      <c r="A39" s="2927" t="str">
        <f>IF(B29="租赁期内按合同租金","空置率","——")</f>
        <v>——</v>
      </c>
      <c r="B39" s="2653"/>
      <c r="D39" s="2930" t="s">
        <v>1683</v>
      </c>
      <c r="E39" s="2961">
        <v>0.12</v>
      </c>
      <c r="F39" s="1309"/>
      <c r="G39" s="2966"/>
      <c r="H39" s="2966"/>
      <c r="I39" s="1683"/>
      <c r="J39" s="1683"/>
      <c r="K39" s="1683"/>
      <c r="L39" s="1683"/>
      <c r="M39" s="1683"/>
      <c r="N39" s="1683"/>
    </row>
    <row r="40" spans="1:14" ht="14.25">
      <c r="A40" s="2927" t="str">
        <f>IF(B29="租赁期内按合同租金","成新率","——")</f>
        <v>——</v>
      </c>
      <c r="B40" s="2653"/>
      <c r="D40" s="2959" t="s">
        <v>1684</v>
      </c>
      <c r="E40" s="2963">
        <f>SUMIF(D42:D51,E41,E42:E51)</f>
        <v>1.5</v>
      </c>
      <c r="F40" s="1309"/>
      <c r="G40" s="2966"/>
      <c r="H40" s="2966"/>
      <c r="I40" s="1683"/>
      <c r="J40" s="1683"/>
      <c r="K40" s="1683"/>
      <c r="L40" s="1683"/>
      <c r="M40" s="1683"/>
      <c r="N40" s="1683"/>
    </row>
    <row r="41" spans="1:14" ht="15" thickBot="1">
      <c r="A41" s="2934" t="str">
        <f>IF(B29="租赁期内按合同租金","租赁期外收益期","——")</f>
        <v>——</v>
      </c>
      <c r="B41" s="2962" t="str">
        <f>IF(B29="租赁期内按合同租金",B34-B35,"——")</f>
        <v>——</v>
      </c>
      <c r="D41" s="2927" t="s">
        <v>1686</v>
      </c>
      <c r="E41" s="2678" t="s">
        <v>70</v>
      </c>
      <c r="F41" s="1309" t="s">
        <v>1687</v>
      </c>
      <c r="G41" s="1770" t="s">
        <v>1688</v>
      </c>
      <c r="H41" s="2966"/>
      <c r="I41" s="1683"/>
      <c r="J41" s="1683"/>
      <c r="K41" s="1683"/>
      <c r="L41" s="1683"/>
      <c r="M41" s="1683"/>
      <c r="N41" s="1683"/>
    </row>
    <row r="42" spans="1:14" ht="14.25">
      <c r="A42" s="2926" t="s">
        <v>1685</v>
      </c>
      <c r="B42" s="2677"/>
      <c r="D42" s="2680" t="s">
        <v>1690</v>
      </c>
      <c r="E42" s="2667"/>
      <c r="F42" s="1309">
        <v>30</v>
      </c>
      <c r="G42" s="2966"/>
      <c r="H42" s="2966"/>
      <c r="I42" s="1683"/>
      <c r="J42" s="1683"/>
      <c r="K42" s="1683"/>
      <c r="L42" s="1683"/>
      <c r="M42" s="1683"/>
      <c r="N42" s="1683"/>
    </row>
    <row r="43" spans="1:14" ht="14.25">
      <c r="A43" s="2927" t="s">
        <v>1689</v>
      </c>
      <c r="B43" s="2679">
        <v>365</v>
      </c>
      <c r="D43" s="2680" t="s">
        <v>1692</v>
      </c>
      <c r="E43" s="2667"/>
      <c r="F43" s="1309">
        <v>24</v>
      </c>
      <c r="G43" s="2966"/>
      <c r="H43" s="2966"/>
      <c r="I43" s="1683"/>
      <c r="J43" s="1683"/>
      <c r="K43" s="1683"/>
      <c r="L43" s="1683"/>
      <c r="M43" s="1683"/>
      <c r="N43" s="1683"/>
    </row>
    <row r="44" spans="1:14" ht="14.25">
      <c r="A44" s="2927" t="s">
        <v>1691</v>
      </c>
      <c r="B44" s="2667"/>
      <c r="D44" s="2680" t="s">
        <v>1694</v>
      </c>
      <c r="E44" s="2667"/>
      <c r="F44" s="1309">
        <v>18</v>
      </c>
      <c r="G44" s="2672"/>
      <c r="H44" s="2672"/>
      <c r="I44" s="2966"/>
      <c r="J44" s="1683"/>
      <c r="K44" s="1683"/>
      <c r="L44" s="1683"/>
      <c r="M44" s="1683"/>
      <c r="N44" s="1683"/>
    </row>
    <row r="45" spans="1:14" ht="14.25">
      <c r="A45" s="2927" t="s">
        <v>1693</v>
      </c>
      <c r="B45" s="2681">
        <v>1.4999999999999999E-2</v>
      </c>
      <c r="C45" s="2561" t="s">
        <v>2843</v>
      </c>
      <c r="D45" s="2680" t="s">
        <v>1696</v>
      </c>
      <c r="E45" s="2667"/>
      <c r="F45" s="1309">
        <v>12</v>
      </c>
      <c r="G45" s="2672"/>
      <c r="H45" s="2672"/>
      <c r="M45" s="1683"/>
      <c r="N45" s="1683"/>
    </row>
    <row r="46" spans="1:14" ht="14.25">
      <c r="A46" s="2927" t="s">
        <v>1695</v>
      </c>
      <c r="B46" s="2682">
        <v>1.5E-3</v>
      </c>
      <c r="C46" s="2561" t="s">
        <v>2841</v>
      </c>
      <c r="D46" s="2680" t="s">
        <v>1458</v>
      </c>
      <c r="E46" s="2667"/>
      <c r="F46" s="1309">
        <v>3</v>
      </c>
      <c r="G46" s="2672"/>
      <c r="H46" s="2672"/>
      <c r="M46" s="1683"/>
      <c r="N46" s="1683"/>
    </row>
    <row r="47" spans="1:14" ht="15" thickBot="1">
      <c r="A47" s="2930" t="s">
        <v>1697</v>
      </c>
      <c r="B47" s="2683">
        <v>0.01</v>
      </c>
      <c r="C47" s="2561" t="s">
        <v>2842</v>
      </c>
      <c r="D47" s="2680" t="s">
        <v>1698</v>
      </c>
      <c r="E47" s="2667">
        <v>1.5</v>
      </c>
      <c r="F47" s="1309">
        <v>1.5</v>
      </c>
      <c r="G47" s="2672"/>
      <c r="H47" s="2672"/>
      <c r="M47" s="1683"/>
      <c r="N47" s="1683"/>
    </row>
    <row r="48" spans="1:14" ht="14.25">
      <c r="A48" s="2672"/>
      <c r="B48" s="2672"/>
      <c r="D48" s="2680" t="s">
        <v>1699</v>
      </c>
      <c r="E48" s="2667"/>
      <c r="F48" s="1309"/>
      <c r="G48" s="2672"/>
      <c r="H48" s="2672"/>
      <c r="M48" s="1683"/>
      <c r="N48" s="1683"/>
    </row>
    <row r="49" spans="1:41" ht="14.25">
      <c r="A49" s="2672">
        <v>974</v>
      </c>
      <c r="B49" s="2672"/>
      <c r="D49" s="2680" t="s">
        <v>1700</v>
      </c>
      <c r="E49" s="2667"/>
      <c r="F49" s="1309"/>
      <c r="G49" s="2672"/>
      <c r="H49" s="2672"/>
      <c r="M49" s="1683"/>
      <c r="N49" s="1683"/>
    </row>
    <row r="50" spans="1:41" ht="14.25">
      <c r="A50" s="2672">
        <v>1093900</v>
      </c>
      <c r="B50" s="2672"/>
      <c r="D50" s="2680" t="s">
        <v>1701</v>
      </c>
      <c r="E50" s="2667"/>
      <c r="F50" s="1309"/>
      <c r="G50" s="2672"/>
      <c r="H50" s="2672"/>
      <c r="M50" s="1683"/>
      <c r="N50" s="1683"/>
    </row>
    <row r="51" spans="1:41" s="945" customFormat="1" ht="15" thickBot="1">
      <c r="A51" s="2672">
        <f>ROUND(A50/A49/365,1)</f>
        <v>3.1</v>
      </c>
      <c r="B51" s="2672">
        <f>ROUND(A50/B5/365,1)</f>
        <v>1.7</v>
      </c>
      <c r="C51" s="2672">
        <f>ROUND((4.5*0.7+4.5)/2,1)</f>
        <v>3.8</v>
      </c>
      <c r="D51" s="2684" t="s">
        <v>1702</v>
      </c>
      <c r="E51" s="2685"/>
      <c r="F51" s="1309"/>
      <c r="G51" s="2672"/>
      <c r="H51" s="2672"/>
      <c r="I51" s="2672"/>
      <c r="J51" s="2672"/>
      <c r="K51" s="2672"/>
      <c r="L51" s="2672"/>
      <c r="M51" s="1683"/>
      <c r="N51" s="1683"/>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3"/>
      <c r="J52" s="1683"/>
      <c r="K52" s="1683"/>
      <c r="L52" s="1683"/>
      <c r="M52" s="1683"/>
      <c r="N52" s="1683"/>
    </row>
    <row r="53" spans="1:41" s="2672" customFormat="1" ht="14.25">
      <c r="D53" s="2966"/>
      <c r="E53" s="2966"/>
      <c r="F53" s="2966"/>
      <c r="G53" s="2966"/>
      <c r="H53" s="2966"/>
      <c r="I53" s="1683"/>
      <c r="J53" s="1683"/>
      <c r="K53" s="1683"/>
      <c r="L53" s="1683"/>
      <c r="M53" s="1683"/>
      <c r="N53" s="1683"/>
    </row>
    <row r="54" spans="1:41" s="2672" customFormat="1" ht="14.25">
      <c r="D54" s="2966"/>
      <c r="E54" s="2966"/>
      <c r="F54" s="2966"/>
      <c r="G54" s="2966"/>
      <c r="H54" s="2966"/>
      <c r="I54" s="1683"/>
      <c r="J54" s="1683"/>
      <c r="K54" s="1683"/>
      <c r="L54" s="1683"/>
      <c r="M54" s="1683"/>
      <c r="N54" s="1683"/>
    </row>
    <row r="55" spans="1:41" s="2672" customFormat="1" ht="14.25">
      <c r="D55" s="2966"/>
      <c r="E55" s="2966"/>
      <c r="F55" s="2966"/>
      <c r="G55" s="2966"/>
      <c r="H55" s="2966"/>
      <c r="I55" s="1683"/>
      <c r="J55" s="1683"/>
      <c r="K55" s="1683"/>
      <c r="L55" s="1683"/>
      <c r="M55" s="1683"/>
      <c r="N55" s="1683"/>
    </row>
    <row r="56" spans="1:41" s="2672" customFormat="1" ht="14.25">
      <c r="D56" s="2966"/>
      <c r="E56" s="2966"/>
      <c r="F56" s="2966"/>
      <c r="G56" s="2966"/>
      <c r="H56" s="2966"/>
      <c r="I56" s="1683"/>
      <c r="J56" s="1683"/>
      <c r="K56" s="1683"/>
      <c r="L56" s="1683"/>
      <c r="M56" s="1683"/>
      <c r="N56" s="1683"/>
    </row>
    <row r="57" spans="1:41" s="2672" customFormat="1" ht="14.25">
      <c r="D57" s="2966"/>
      <c r="E57" s="2966"/>
      <c r="F57" s="2966"/>
      <c r="G57" s="2966"/>
      <c r="H57" s="2966"/>
      <c r="I57" s="1683"/>
      <c r="J57" s="1683"/>
      <c r="K57" s="1683"/>
      <c r="L57" s="1683"/>
      <c r="M57" s="1683"/>
      <c r="N57" s="1683"/>
    </row>
    <row r="58" spans="1:41" s="2672" customFormat="1" ht="14.25">
      <c r="D58" s="2966"/>
      <c r="E58" s="2966"/>
      <c r="F58" s="2966"/>
      <c r="G58" s="2966"/>
      <c r="H58" s="2966"/>
      <c r="I58" s="1683"/>
      <c r="J58" s="1683"/>
      <c r="K58" s="1683"/>
      <c r="L58" s="1683"/>
      <c r="M58" s="1683"/>
      <c r="N58" s="1683"/>
    </row>
    <row r="59" spans="1:41" s="2672" customFormat="1" ht="14.25">
      <c r="D59" s="2966"/>
      <c r="E59" s="2966"/>
      <c r="F59" s="2966"/>
      <c r="G59" s="2966"/>
      <c r="H59" s="2966"/>
      <c r="I59" s="1683"/>
      <c r="J59" s="1683"/>
      <c r="K59" s="1683"/>
      <c r="L59" s="1683"/>
      <c r="M59" s="2967"/>
      <c r="N59" s="1683"/>
    </row>
    <row r="60" spans="1:41" s="2672" customFormat="1" ht="14.25">
      <c r="D60" s="2966"/>
      <c r="E60" s="2966"/>
      <c r="F60" s="2966"/>
      <c r="G60" s="2966"/>
      <c r="H60" s="2966"/>
      <c r="I60" s="1683"/>
      <c r="J60" s="1683"/>
      <c r="K60" s="1683"/>
      <c r="L60" s="1683"/>
      <c r="M60" s="1683"/>
      <c r="N60" s="1683"/>
    </row>
    <row r="61" spans="1:41" s="2672" customFormat="1" ht="14.25">
      <c r="D61" s="2966"/>
      <c r="E61" s="2966"/>
      <c r="F61" s="2966"/>
      <c r="G61" s="2966"/>
      <c r="H61" s="2966"/>
      <c r="I61" s="1683"/>
      <c r="J61" s="1683"/>
      <c r="K61" s="1683"/>
      <c r="L61" s="1683"/>
      <c r="M61" s="1683"/>
      <c r="N61" s="1683"/>
    </row>
    <row r="62" spans="1:41" s="2672" customFormat="1" ht="14.25">
      <c r="D62" s="2966"/>
      <c r="E62" s="2966"/>
      <c r="F62" s="2966"/>
      <c r="G62" s="2966"/>
      <c r="H62" s="2966"/>
      <c r="I62" s="1683"/>
      <c r="J62" s="1683"/>
      <c r="K62" s="1683"/>
      <c r="L62" s="1683"/>
      <c r="M62" s="1683"/>
      <c r="N62" s="1683"/>
    </row>
    <row r="63" spans="1:41" s="2672" customFormat="1" ht="14.25">
      <c r="D63" s="2966"/>
      <c r="E63" s="2966"/>
      <c r="F63" s="2966"/>
      <c r="G63" s="2966"/>
      <c r="H63" s="2966"/>
      <c r="I63" s="1683"/>
      <c r="J63" s="1683"/>
      <c r="K63" s="1683"/>
      <c r="L63" s="1683"/>
      <c r="M63" s="1683"/>
      <c r="N63" s="1683"/>
    </row>
    <row r="64" spans="1:41" s="2672" customFormat="1" ht="14.25">
      <c r="D64" s="2966"/>
      <c r="E64" s="2966"/>
      <c r="F64" s="2966"/>
      <c r="G64" s="2966"/>
      <c r="H64" s="2966"/>
      <c r="I64" s="1683"/>
      <c r="J64" s="1683"/>
      <c r="K64" s="1683"/>
      <c r="L64" s="1683"/>
      <c r="M64" s="1683"/>
      <c r="N64" s="1683"/>
    </row>
    <row r="65" spans="1:14" s="2672" customFormat="1" ht="14.25">
      <c r="D65" s="2966"/>
      <c r="E65" s="2966"/>
      <c r="F65" s="2966"/>
      <c r="G65" s="2966"/>
      <c r="H65" s="2966"/>
      <c r="I65" s="1683"/>
      <c r="J65" s="1683"/>
      <c r="K65" s="1683"/>
      <c r="L65" s="1683"/>
      <c r="M65" s="1683"/>
      <c r="N65" s="1683"/>
    </row>
    <row r="66" spans="1:14" s="2672" customFormat="1" ht="14.25">
      <c r="D66" s="2966"/>
      <c r="E66" s="2966"/>
      <c r="F66" s="2966"/>
      <c r="G66" s="2966"/>
      <c r="H66" s="2966"/>
      <c r="I66" s="1683"/>
      <c r="J66" s="1683"/>
      <c r="K66" s="1683"/>
      <c r="L66" s="1683"/>
      <c r="M66" s="1683"/>
      <c r="N66" s="1683"/>
    </row>
    <row r="67" spans="1:14" s="2672" customFormat="1" ht="14.25">
      <c r="A67" s="2970"/>
      <c r="D67" s="2966"/>
      <c r="E67" s="2966"/>
      <c r="F67" s="2966"/>
      <c r="G67" s="2966"/>
      <c r="H67" s="2966"/>
      <c r="I67" s="1683"/>
      <c r="J67" s="1683"/>
      <c r="K67" s="1683"/>
      <c r="L67" s="1683"/>
      <c r="M67" s="1683"/>
      <c r="N67" s="1683"/>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8" customWidth="1"/>
    <col min="4" max="4" width="2.625" style="2708" customWidth="1"/>
    <col min="5" max="5" width="5.875" style="2708" customWidth="1"/>
    <col min="6" max="6" width="27" style="2648"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5"/>
  </cols>
  <sheetData>
    <row r="1" spans="1:29" s="2693" customFormat="1" ht="19.5" thickBot="1">
      <c r="A1" s="3264" t="s">
        <v>1703</v>
      </c>
      <c r="B1" s="3265"/>
      <c r="C1" s="3265"/>
      <c r="D1" s="3265"/>
      <c r="E1" s="3265"/>
      <c r="F1" s="3265"/>
      <c r="G1" s="3265"/>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2"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2"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2"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2"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2"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2"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2"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2"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5"/>
      <c r="B10" s="3094" t="s">
        <v>2870</v>
      </c>
      <c r="C10" s="3116"/>
      <c r="D10" s="3105"/>
      <c r="E10" s="3105"/>
      <c r="F10" s="2974"/>
      <c r="G10" s="2974"/>
      <c r="H10" s="1496"/>
      <c r="I10" s="3117"/>
      <c r="J10" s="3118"/>
      <c r="K10" s="1496"/>
      <c r="L10" s="3117"/>
      <c r="M10" s="3118"/>
      <c r="N10" s="1496"/>
      <c r="O10" s="3117"/>
      <c r="P10" s="3118"/>
      <c r="Q10" s="1496"/>
      <c r="R10" s="3117"/>
      <c r="S10" s="3101"/>
      <c r="T10" s="3101"/>
      <c r="U10" s="3101"/>
      <c r="V10" s="3101"/>
      <c r="W10" s="3101"/>
      <c r="X10" s="3101"/>
      <c r="Y10" s="3101"/>
      <c r="Z10" s="3101"/>
      <c r="AA10" s="3101"/>
      <c r="AB10" s="3101"/>
      <c r="AC10" s="3101"/>
    </row>
    <row r="11" spans="1:29" s="2672" customFormat="1" ht="12.75">
      <c r="A11" s="3119"/>
      <c r="B11" s="2979"/>
      <c r="C11" s="3105"/>
      <c r="D11" s="3105"/>
      <c r="E11" s="3105"/>
      <c r="F11" s="2979"/>
      <c r="G11" s="3120"/>
      <c r="H11" s="1496"/>
      <c r="I11" s="3117"/>
      <c r="J11" s="3118"/>
      <c r="K11" s="1496"/>
      <c r="L11" s="3117"/>
      <c r="M11" s="3118"/>
      <c r="N11" s="1496"/>
      <c r="O11" s="3117"/>
      <c r="P11" s="3118"/>
      <c r="Q11" s="1496"/>
      <c r="R11" s="3117"/>
      <c r="S11" s="3101"/>
      <c r="T11" s="3101"/>
      <c r="U11" s="3101"/>
      <c r="V11" s="3101"/>
      <c r="W11" s="3101"/>
      <c r="X11" s="3101"/>
      <c r="Y11" s="3101"/>
      <c r="Z11" s="3101"/>
      <c r="AA11" s="3101"/>
      <c r="AB11" s="3101"/>
      <c r="AC11" s="3101"/>
    </row>
    <row r="12" spans="1:29" s="2693" customFormat="1" ht="18">
      <c r="A12" s="2643"/>
      <c r="B12" s="2697"/>
      <c r="C12" s="2696"/>
      <c r="D12" s="2698"/>
      <c r="E12" s="2696"/>
      <c r="F12" s="2697"/>
      <c r="G12" s="1841"/>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1709</v>
      </c>
      <c r="B13" s="2698"/>
      <c r="C13" s="2698"/>
      <c r="D13" s="2694"/>
      <c r="E13" s="2698"/>
      <c r="F13" s="2698"/>
      <c r="G13" s="2698"/>
    </row>
    <row r="14" spans="1:29" s="2632"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2"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2" customFormat="1" ht="25.5">
      <c r="A16" s="3132"/>
      <c r="B16" s="2572"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2" customFormat="1" ht="25.5">
      <c r="A17" s="3132"/>
      <c r="B17" s="2572"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2"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2"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2"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2"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2"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18" sqref="K18"/>
    </sheetView>
  </sheetViews>
  <sheetFormatPr defaultColWidth="14.625" defaultRowHeight="13.5"/>
  <cols>
    <col min="1" max="1" width="24.375" style="2581" customWidth="1"/>
    <col min="2" max="16384" width="14.625" style="2581"/>
  </cols>
  <sheetData>
    <row r="1" spans="1:9" ht="16.5">
      <c r="A1" s="2579" t="s">
        <v>1212</v>
      </c>
      <c r="B1" s="2579">
        <f>SUM(B14:B23)</f>
        <v>18770.8</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44270</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48600</v>
      </c>
      <c r="C5" s="2579">
        <f ca="1">ROUND(B5*10000/$B$1,0)</f>
        <v>25891</v>
      </c>
      <c r="D5" s="2579" t="e">
        <f ca="1">ROUND(B5*10000/$B$2,0)</f>
        <v>#DIV/0!</v>
      </c>
      <c r="E5" s="1632"/>
      <c r="F5" s="2580"/>
      <c r="G5" s="2580"/>
    </row>
    <row r="6" spans="1:9" ht="16.5">
      <c r="A6" s="2579" t="s">
        <v>1220</v>
      </c>
      <c r="B6" s="2579">
        <f ca="1">SUM(G14:G23)</f>
        <v>48600</v>
      </c>
      <c r="C6" s="2579">
        <f t="shared" ref="C6:C8" ca="1" si="0">ROUND(B6*10000/$B$1,0)</f>
        <v>25891</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1240</v>
      </c>
      <c r="B11" s="2583"/>
      <c r="C11" s="1632"/>
      <c r="D11" s="1632"/>
      <c r="E11" s="1632"/>
      <c r="F11" s="2580"/>
      <c r="G11" s="2580"/>
    </row>
    <row r="12" spans="1:9" ht="16.5">
      <c r="A12" s="1632"/>
      <c r="B12" s="1632"/>
      <c r="C12" s="1632"/>
      <c r="D12" s="1632"/>
      <c r="E12" s="1632"/>
      <c r="F12" s="2580"/>
      <c r="G12" s="2580"/>
    </row>
    <row r="13" spans="1:9" ht="33">
      <c r="A13" s="2584" t="s">
        <v>1239</v>
      </c>
      <c r="B13" s="2585" t="s">
        <v>1212</v>
      </c>
      <c r="C13" s="2585" t="s">
        <v>1213</v>
      </c>
      <c r="D13" s="2585" t="s">
        <v>1225</v>
      </c>
      <c r="E13" s="2579" t="s">
        <v>1217</v>
      </c>
      <c r="F13" s="2579" t="s">
        <v>1218</v>
      </c>
      <c r="G13" s="2585" t="s">
        <v>1226</v>
      </c>
      <c r="H13" s="2585" t="s">
        <v>1227</v>
      </c>
      <c r="I13" s="2585" t="s">
        <v>1228</v>
      </c>
    </row>
    <row r="14" spans="1:9" ht="16.5">
      <c r="A14" s="2884" t="s">
        <v>1238</v>
      </c>
      <c r="B14" s="2914">
        <f>项目基本情况!C12</f>
        <v>1715.28</v>
      </c>
      <c r="C14" s="2914">
        <f>项目基本情况!C13</f>
        <v>0</v>
      </c>
      <c r="D14" s="2914">
        <f ca="1">'结果表 (1修多)'!G19</f>
        <v>3786</v>
      </c>
      <c r="E14" s="2914">
        <f ca="1">ROUND(D14*10000/B14,0)</f>
        <v>22072</v>
      </c>
      <c r="F14" s="2914" t="e">
        <f ca="1">ROUND(D14*10000/C14,0)</f>
        <v>#DIV/0!</v>
      </c>
      <c r="G14" s="2914">
        <f ca="1">D14</f>
        <v>3786</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6" t="s">
        <v>1229</v>
      </c>
      <c r="B15" s="2587">
        <f>价值汇总!E19-价值汇总!E2</f>
        <v>17055.52</v>
      </c>
      <c r="C15" s="2587"/>
      <c r="D15" s="2587">
        <f>价值汇总!G19-价值汇总!G2</f>
        <v>44814</v>
      </c>
      <c r="E15" s="2914">
        <f t="shared" ref="E15:E23" si="2">ROUND(D15*10000/B15,0)</f>
        <v>26275</v>
      </c>
      <c r="F15" s="2914" t="e">
        <f t="shared" ref="F15:F23" si="3">ROUND(D15*10000/C15,0)</f>
        <v>#DIV/0!</v>
      </c>
      <c r="G15" s="1303">
        <f>D15</f>
        <v>44814</v>
      </c>
      <c r="H15" s="1303"/>
      <c r="I15" s="2587"/>
    </row>
    <row r="16" spans="1:9" ht="16.5">
      <c r="A16" s="2586" t="s">
        <v>1230</v>
      </c>
      <c r="B16" s="2587"/>
      <c r="C16" s="2587"/>
      <c r="D16" s="2587"/>
      <c r="E16" s="2914" t="e">
        <f t="shared" si="2"/>
        <v>#DIV/0!</v>
      </c>
      <c r="F16" s="2914" t="e">
        <f t="shared" si="3"/>
        <v>#DIV/0!</v>
      </c>
      <c r="G16" s="1303">
        <f t="shared" ref="G16:G19" si="4">D16</f>
        <v>0</v>
      </c>
      <c r="H16" s="1303"/>
      <c r="I16" s="2587"/>
    </row>
    <row r="17" spans="1:9" ht="16.5">
      <c r="A17" s="2586" t="s">
        <v>1231</v>
      </c>
      <c r="B17" s="2587"/>
      <c r="C17" s="2587"/>
      <c r="D17" s="2587"/>
      <c r="E17" s="2914" t="e">
        <f t="shared" si="2"/>
        <v>#DIV/0!</v>
      </c>
      <c r="F17" s="2914" t="e">
        <f t="shared" si="3"/>
        <v>#DIV/0!</v>
      </c>
      <c r="G17" s="1303">
        <f t="shared" si="4"/>
        <v>0</v>
      </c>
      <c r="H17" s="1303"/>
      <c r="I17" s="2587"/>
    </row>
    <row r="18" spans="1:9" ht="16.5">
      <c r="A18" s="2586" t="s">
        <v>1232</v>
      </c>
      <c r="B18" s="2587"/>
      <c r="C18" s="2587"/>
      <c r="D18" s="2587"/>
      <c r="E18" s="2914" t="e">
        <f t="shared" si="2"/>
        <v>#DIV/0!</v>
      </c>
      <c r="F18" s="2914" t="e">
        <f t="shared" si="3"/>
        <v>#DIV/0!</v>
      </c>
      <c r="G18" s="1303">
        <f t="shared" si="4"/>
        <v>0</v>
      </c>
      <c r="H18" s="2587"/>
      <c r="I18" s="2587"/>
    </row>
    <row r="19" spans="1:9" ht="16.5">
      <c r="A19" s="2586" t="s">
        <v>1233</v>
      </c>
      <c r="B19" s="2587"/>
      <c r="C19" s="2587"/>
      <c r="D19" s="2587"/>
      <c r="E19" s="2914" t="e">
        <f t="shared" si="2"/>
        <v>#DIV/0!</v>
      </c>
      <c r="F19" s="2914" t="e">
        <f t="shared" si="3"/>
        <v>#DIV/0!</v>
      </c>
      <c r="G19" s="1303">
        <f t="shared" si="4"/>
        <v>0</v>
      </c>
      <c r="H19" s="2587"/>
      <c r="I19" s="2587"/>
    </row>
    <row r="20" spans="1:9" ht="16.5">
      <c r="A20" s="2586" t="s">
        <v>1234</v>
      </c>
      <c r="B20" s="2587"/>
      <c r="C20" s="2587"/>
      <c r="D20" s="2587"/>
      <c r="E20" s="2914" t="e">
        <f t="shared" si="2"/>
        <v>#DIV/0!</v>
      </c>
      <c r="F20" s="2914" t="e">
        <f t="shared" si="3"/>
        <v>#DIV/0!</v>
      </c>
      <c r="G20" s="2587"/>
      <c r="H20" s="2587"/>
      <c r="I20" s="2587"/>
    </row>
    <row r="21" spans="1:9" ht="16.5">
      <c r="A21" s="2586" t="s">
        <v>1235</v>
      </c>
      <c r="B21" s="2587"/>
      <c r="C21" s="2587"/>
      <c r="D21" s="2587"/>
      <c r="E21" s="2914" t="e">
        <f t="shared" si="2"/>
        <v>#DIV/0!</v>
      </c>
      <c r="F21" s="2914" t="e">
        <f t="shared" si="3"/>
        <v>#DIV/0!</v>
      </c>
      <c r="G21" s="2587"/>
      <c r="H21" s="2587"/>
      <c r="I21" s="2587"/>
    </row>
    <row r="22" spans="1:9" ht="16.5">
      <c r="A22" s="2586" t="s">
        <v>1236</v>
      </c>
      <c r="B22" s="2587"/>
      <c r="C22" s="2587"/>
      <c r="D22" s="2587"/>
      <c r="E22" s="2914" t="e">
        <f t="shared" si="2"/>
        <v>#DIV/0!</v>
      </c>
      <c r="F22" s="2914" t="e">
        <f t="shared" si="3"/>
        <v>#DIV/0!</v>
      </c>
      <c r="G22" s="2587"/>
      <c r="H22" s="2587"/>
      <c r="I22" s="2587"/>
    </row>
    <row r="23" spans="1:9" ht="16.5">
      <c r="A23" s="2586" t="s">
        <v>1237</v>
      </c>
      <c r="B23" s="2587"/>
      <c r="C23" s="2587"/>
      <c r="D23" s="2587"/>
      <c r="E23" s="2915" t="e">
        <f t="shared" si="2"/>
        <v>#DIV/0!</v>
      </c>
      <c r="F23" s="2915" t="e">
        <f t="shared" si="3"/>
        <v>#DIV/0!</v>
      </c>
      <c r="G23" s="2587"/>
      <c r="H23" s="2587"/>
      <c r="I23" s="2587"/>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0"/>
    <col min="3" max="4" width="12.625" style="1460" customWidth="1"/>
    <col min="5" max="9" width="12.625" style="1460"/>
    <col min="10" max="10" width="3.625" style="2840"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1710</v>
      </c>
      <c r="B1" s="1459"/>
      <c r="C1" s="1459"/>
      <c r="D1" s="1459"/>
      <c r="E1" s="1459"/>
      <c r="F1" s="1459"/>
      <c r="G1" s="1459"/>
      <c r="H1" s="1459"/>
      <c r="I1" s="1459"/>
    </row>
    <row r="2" spans="1:15" ht="21.75" customHeight="1">
      <c r="A2" s="3337" t="str">
        <f>项目基本情况!B1</f>
        <v>北京市预评估</v>
      </c>
      <c r="B2" s="3337"/>
      <c r="C2" s="3337"/>
      <c r="D2" s="3337"/>
      <c r="E2" s="3337"/>
      <c r="F2" s="3337"/>
      <c r="G2" s="3337"/>
      <c r="H2" s="3337"/>
      <c r="I2" s="3337"/>
      <c r="J2" s="2841"/>
    </row>
    <row r="3" spans="1:15" ht="12.75">
      <c r="A3" s="3342" t="s">
        <v>1711</v>
      </c>
      <c r="B3" s="3343"/>
      <c r="C3" s="3343"/>
      <c r="D3" s="3343"/>
      <c r="E3" s="3343"/>
      <c r="F3" s="3343"/>
      <c r="G3" s="3343"/>
      <c r="H3" s="3343"/>
      <c r="I3" s="3343"/>
      <c r="J3" s="2842"/>
    </row>
    <row r="4" spans="1:15" ht="14.25">
      <c r="A4" s="2710" t="s">
        <v>1712</v>
      </c>
      <c r="B4" s="2710" t="s">
        <v>1713</v>
      </c>
      <c r="C4" s="2711"/>
      <c r="D4" s="2711"/>
      <c r="E4" s="3339" t="s">
        <v>1714</v>
      </c>
      <c r="F4" s="3327"/>
      <c r="G4" s="3327"/>
      <c r="H4" s="3327"/>
      <c r="I4" s="3328"/>
      <c r="J4" s="2843"/>
      <c r="L4" s="1459" t="str">
        <f>IF(ISNUMBER(FIND("比较法",结果表!C4)),"比较法",IF(ISNUMBER(FIND("成本法",结果表!C4)),"成本法",IF(ISNUMBER(FIND("假设开发法",结果表!C4)),"假设开发法",IF(ISNUMBER(FIND("收益法",结果表!C4)),"收益法","基准地价系数修正法"))))</f>
        <v>基准地价系数修正法</v>
      </c>
      <c r="M4" s="1459" t="str">
        <f>IF(ISNUMBER(FIND("比较法",结果表!D4)),"比较法",IF(ISNUMBER(FIND("成本法",结果表!D4)),"成本法",IF(ISNUMBER(FIND("假设开发法",结果表!D4)),"假设开发法",IF(ISNUMBER(FIND("收益法",结果表!D4)),"收益法","基准地价系数修正法"))))</f>
        <v>基准地价系数修正法</v>
      </c>
      <c r="N4" s="1459"/>
      <c r="O4" s="1459"/>
    </row>
    <row r="5" spans="1:15" ht="12.75">
      <c r="A5" s="3338" t="s">
        <v>1715</v>
      </c>
      <c r="B5" s="3338">
        <v>25</v>
      </c>
      <c r="C5" s="3344"/>
      <c r="D5" s="3341"/>
      <c r="E5" s="12" t="s">
        <v>1716</v>
      </c>
      <c r="F5" s="2087"/>
      <c r="G5" s="2087"/>
      <c r="H5" s="2087"/>
      <c r="I5" s="2082"/>
      <c r="J5" s="2843"/>
    </row>
    <row r="6" spans="1:15" ht="12.75">
      <c r="A6" s="3338"/>
      <c r="B6" s="3338"/>
      <c r="C6" s="3345"/>
      <c r="D6" s="3341"/>
      <c r="E6" s="12" t="s">
        <v>1717</v>
      </c>
      <c r="F6" s="2087"/>
      <c r="G6" s="2087"/>
      <c r="H6" s="2087"/>
      <c r="I6" s="2082"/>
      <c r="J6" s="2843"/>
    </row>
    <row r="7" spans="1:15" ht="12.75">
      <c r="A7" s="3338"/>
      <c r="B7" s="3338"/>
      <c r="C7" s="3346"/>
      <c r="D7" s="3341"/>
      <c r="E7" s="12" t="s">
        <v>1718</v>
      </c>
      <c r="F7" s="2087"/>
      <c r="G7" s="2087"/>
      <c r="H7" s="2087"/>
      <c r="I7" s="2082"/>
      <c r="J7" s="2843"/>
    </row>
    <row r="8" spans="1:15" ht="12.75">
      <c r="A8" s="3338" t="s">
        <v>1719</v>
      </c>
      <c r="B8" s="3338">
        <v>15</v>
      </c>
      <c r="C8" s="3344"/>
      <c r="D8" s="3341"/>
      <c r="E8" s="12" t="s">
        <v>1720</v>
      </c>
      <c r="F8" s="2087"/>
      <c r="G8" s="2087"/>
      <c r="H8" s="2087"/>
      <c r="I8" s="2082"/>
      <c r="J8" s="2843"/>
    </row>
    <row r="9" spans="1:15" ht="12.75">
      <c r="A9" s="3338"/>
      <c r="B9" s="3338"/>
      <c r="C9" s="3346"/>
      <c r="D9" s="3341"/>
      <c r="E9" s="12" t="s">
        <v>1721</v>
      </c>
      <c r="F9" s="2087"/>
      <c r="G9" s="2087"/>
      <c r="H9" s="2087"/>
      <c r="I9" s="2082"/>
      <c r="J9" s="2843"/>
    </row>
    <row r="10" spans="1:15" ht="12.75">
      <c r="A10" s="3338" t="s">
        <v>1722</v>
      </c>
      <c r="B10" s="3338">
        <v>15</v>
      </c>
      <c r="C10" s="3344"/>
      <c r="D10" s="3341"/>
      <c r="E10" s="12" t="s">
        <v>1723</v>
      </c>
      <c r="F10" s="2087"/>
      <c r="G10" s="2087"/>
      <c r="H10" s="2087"/>
      <c r="I10" s="2082"/>
      <c r="J10" s="2843"/>
    </row>
    <row r="11" spans="1:15" ht="12.75">
      <c r="A11" s="3338"/>
      <c r="B11" s="3338"/>
      <c r="C11" s="3346"/>
      <c r="D11" s="3341"/>
      <c r="E11" s="12" t="s">
        <v>1724</v>
      </c>
      <c r="F11" s="2087"/>
      <c r="G11" s="2087"/>
      <c r="H11" s="2087"/>
      <c r="I11" s="2082"/>
      <c r="J11" s="2843"/>
    </row>
    <row r="12" spans="1:15" ht="12.75">
      <c r="A12" s="3338" t="s">
        <v>1725</v>
      </c>
      <c r="B12" s="3338">
        <v>15</v>
      </c>
      <c r="C12" s="3344"/>
      <c r="D12" s="3341"/>
      <c r="E12" s="12" t="s">
        <v>1726</v>
      </c>
      <c r="F12" s="2087"/>
      <c r="G12" s="2087"/>
      <c r="H12" s="2087"/>
      <c r="I12" s="2082"/>
      <c r="J12" s="2843"/>
    </row>
    <row r="13" spans="1:15" ht="12.75">
      <c r="A13" s="3338"/>
      <c r="B13" s="3338"/>
      <c r="C13" s="3346"/>
      <c r="D13" s="3341"/>
      <c r="E13" s="12" t="s">
        <v>1727</v>
      </c>
      <c r="F13" s="2087"/>
      <c r="G13" s="2087"/>
      <c r="H13" s="2087"/>
      <c r="I13" s="2082"/>
      <c r="J13" s="2843"/>
    </row>
    <row r="14" spans="1:15" ht="12.75">
      <c r="A14" s="3338" t="s">
        <v>1728</v>
      </c>
      <c r="B14" s="3338">
        <v>30</v>
      </c>
      <c r="C14" s="3344"/>
      <c r="D14" s="3341"/>
      <c r="E14" s="12" t="s">
        <v>1729</v>
      </c>
      <c r="F14" s="2087"/>
      <c r="G14" s="2087"/>
      <c r="H14" s="2087"/>
      <c r="I14" s="2082"/>
      <c r="J14" s="2843"/>
    </row>
    <row r="15" spans="1:15" ht="12.75">
      <c r="A15" s="3338"/>
      <c r="B15" s="3338"/>
      <c r="C15" s="3345"/>
      <c r="D15" s="3341"/>
      <c r="E15" s="12" t="s">
        <v>1730</v>
      </c>
      <c r="F15" s="2087"/>
      <c r="G15" s="2087"/>
      <c r="H15" s="2087"/>
      <c r="I15" s="2082"/>
      <c r="J15" s="2843"/>
    </row>
    <row r="16" spans="1:15" ht="12.75">
      <c r="A16" s="3338"/>
      <c r="B16" s="3338"/>
      <c r="C16" s="3346"/>
      <c r="D16" s="3341"/>
      <c r="E16" s="12" t="s">
        <v>1731</v>
      </c>
      <c r="F16" s="2087"/>
      <c r="G16" s="2087"/>
      <c r="H16" s="2087"/>
      <c r="I16" s="2082"/>
      <c r="J16" s="2843"/>
    </row>
    <row r="17" spans="1:36" ht="15">
      <c r="A17" s="2712" t="s">
        <v>1732</v>
      </c>
      <c r="B17" s="2092"/>
      <c r="C17" s="2713">
        <f>SUM(C5:C16)</f>
        <v>0</v>
      </c>
      <c r="D17" s="2713">
        <f>SUM(D5:D16)</f>
        <v>0</v>
      </c>
      <c r="E17" s="2561"/>
      <c r="F17" s="2561"/>
      <c r="G17" s="2561"/>
      <c r="H17" s="2561"/>
      <c r="I17" s="2561"/>
      <c r="J17" s="2844"/>
    </row>
    <row r="18" spans="1:36" ht="30" customHeight="1" thickBot="1">
      <c r="A18" s="2714" t="s">
        <v>1733</v>
      </c>
      <c r="B18" s="2715"/>
      <c r="C18" s="2716" t="e">
        <f>ROUND(C17/SUM(C17:D17),2)</f>
        <v>#DIV/0!</v>
      </c>
      <c r="D18" s="2716" t="e">
        <f>1-C18</f>
        <v>#DIV/0!</v>
      </c>
      <c r="E18" s="3358" t="s">
        <v>2816</v>
      </c>
      <c r="F18" s="3359"/>
      <c r="G18" s="3359"/>
      <c r="H18" s="3359"/>
      <c r="I18" s="3359"/>
      <c r="J18" s="2844"/>
    </row>
    <row r="19" spans="1:36" ht="15">
      <c r="A19" s="2717" t="s">
        <v>1734</v>
      </c>
      <c r="B19" s="2718" t="s">
        <v>1735</v>
      </c>
      <c r="C19" s="2719" t="e">
        <f ca="1">SUMIF(INDIRECT("'"&amp;C4&amp;"'"&amp;"!A:A"),结果表!B19,INDIRECT("'"&amp;C4&amp;"'"&amp;"!B:B"))</f>
        <v>#REF!</v>
      </c>
      <c r="D19" s="2720" t="e">
        <f ca="1">SUMIF(INDIRECT("'"&amp;D4&amp;"'"&amp;"!A:A"),结果表!B19,INDIRECT("'"&amp;D4&amp;"'"&amp;"!B:B"))</f>
        <v>#REF!</v>
      </c>
      <c r="E19" s="2717" t="s">
        <v>1736</v>
      </c>
      <c r="F19" s="2718" t="s">
        <v>1735</v>
      </c>
      <c r="G19" s="2721" t="e">
        <f ca="1">ROUND(C19*$C$18+D19*$D$18,0)</f>
        <v>#REF!</v>
      </c>
      <c r="H19" s="2722" t="str">
        <f>'数据-取费表'!B3</f>
        <v>万元</v>
      </c>
      <c r="I19" s="2770"/>
      <c r="J19" s="2845"/>
    </row>
    <row r="20" spans="1:36" ht="15">
      <c r="A20" s="2723"/>
      <c r="B20" s="1692" t="s">
        <v>1737</v>
      </c>
      <c r="C20" s="1917" t="e">
        <f ca="1">SUMIF(INDIRECT("'"&amp;C4&amp;"'"&amp;"!A:A"),结果表!B20,INDIRECT("'"&amp;C4&amp;"'"&amp;"!B:B"))</f>
        <v>#REF!</v>
      </c>
      <c r="D20" s="1920" t="e">
        <f ca="1">SUMIF(INDIRECT("'"&amp;D4&amp;"'"&amp;"!A:A"),结果表!B20,INDIRECT("'"&amp;D4&amp;"'"&amp;"!B:B"))</f>
        <v>#REF!</v>
      </c>
      <c r="E20" s="2723"/>
      <c r="F20" s="1692" t="s">
        <v>1737</v>
      </c>
      <c r="G20" s="2091" t="e">
        <f ca="1">ROUND(C20*$C$18+D20*$D$18,0)</f>
        <v>#REF!</v>
      </c>
      <c r="H20" s="2724" t="s">
        <v>1738</v>
      </c>
      <c r="I20" s="2561"/>
      <c r="J20" s="2844"/>
    </row>
    <row r="21" spans="1:36" ht="15" customHeight="1" thickBot="1">
      <c r="A21" s="2725"/>
      <c r="B21" s="2726"/>
      <c r="C21" s="2726"/>
      <c r="D21" s="2727"/>
      <c r="E21" s="2725"/>
      <c r="F21" s="2726"/>
      <c r="G21" s="2728"/>
      <c r="H21" s="2729"/>
      <c r="I21" s="2561"/>
      <c r="J21" s="2844"/>
    </row>
    <row r="22" spans="1:36" ht="15" thickBot="1">
      <c r="A22" s="2730" t="s">
        <v>1739</v>
      </c>
      <c r="B22" s="2731"/>
      <c r="C22" s="2645"/>
      <c r="D22" s="2732" t="e">
        <f ca="1">IF(C19&lt;D19,D19/C19-1,C19/D19-1)</f>
        <v>#REF!</v>
      </c>
      <c r="E22" s="945"/>
      <c r="F22" s="945"/>
      <c r="G22" s="945"/>
      <c r="H22" s="945"/>
      <c r="I22" s="945"/>
      <c r="J22" s="2844"/>
    </row>
    <row r="23" spans="1:36" ht="13.5" thickBot="1">
      <c r="A23" s="2561"/>
      <c r="B23" s="2561"/>
      <c r="C23" s="2561"/>
      <c r="D23" s="2561"/>
      <c r="E23" s="945"/>
      <c r="F23" s="945"/>
      <c r="G23" s="945"/>
      <c r="H23" s="945"/>
      <c r="I23" s="945"/>
      <c r="J23" s="2844"/>
    </row>
    <row r="24" spans="1:36" ht="21.75" customHeight="1">
      <c r="A24" s="3347" t="s">
        <v>1740</v>
      </c>
      <c r="B24" s="2718" t="s">
        <v>1735</v>
      </c>
      <c r="C24" s="2721">
        <f>D30</f>
        <v>0</v>
      </c>
      <c r="D24" s="2673"/>
      <c r="E24" s="945"/>
      <c r="F24" s="945"/>
      <c r="G24" s="945"/>
      <c r="H24" s="945"/>
      <c r="I24" s="945"/>
      <c r="J24" s="2844"/>
    </row>
    <row r="25" spans="1:36" ht="21.75" customHeight="1">
      <c r="A25" s="3348"/>
      <c r="B25" s="1692" t="s">
        <v>1737</v>
      </c>
      <c r="C25" s="2733">
        <f>IF(B30=0,0,C30)</f>
        <v>0</v>
      </c>
      <c r="D25" s="2734"/>
      <c r="E25" s="945"/>
      <c r="F25" s="945"/>
      <c r="G25" s="945"/>
      <c r="H25" s="945"/>
      <c r="I25" s="945"/>
      <c r="J25" s="2844"/>
    </row>
    <row r="26" spans="1:36" ht="13.5" customHeight="1">
      <c r="A26" s="2735" t="s">
        <v>1741</v>
      </c>
      <c r="B26" s="2736" t="s">
        <v>1742</v>
      </c>
      <c r="C26" s="2736" t="s">
        <v>1743</v>
      </c>
      <c r="D26" s="2737" t="s">
        <v>1744</v>
      </c>
      <c r="E26" s="945"/>
      <c r="F26" s="945"/>
      <c r="G26" s="945"/>
      <c r="H26" s="945"/>
      <c r="I26" s="945"/>
      <c r="J26" s="2844"/>
    </row>
    <row r="27" spans="1:36" ht="14.25">
      <c r="A27" s="2738"/>
      <c r="B27" s="2736">
        <v>0</v>
      </c>
      <c r="C27" s="2736">
        <v>0</v>
      </c>
      <c r="D27" s="2737">
        <f>ROUND(C27*B27/10000,0)</f>
        <v>0</v>
      </c>
      <c r="E27" s="945"/>
      <c r="F27" s="945"/>
      <c r="G27" s="945"/>
      <c r="H27" s="945"/>
      <c r="I27" s="945"/>
      <c r="J27" s="2844"/>
    </row>
    <row r="28" spans="1:36" ht="14.25">
      <c r="A28" s="2735"/>
      <c r="B28" s="2736"/>
      <c r="C28" s="2736"/>
      <c r="D28" s="2737">
        <f t="shared" ref="D28:D29" si="0">ROUND(C28*B28/10000,0)</f>
        <v>0</v>
      </c>
      <c r="E28" s="945"/>
      <c r="F28" s="945"/>
      <c r="G28" s="945"/>
      <c r="H28" s="945"/>
      <c r="I28" s="945"/>
      <c r="J28" s="2844"/>
    </row>
    <row r="29" spans="1:36" ht="14.25">
      <c r="A29" s="2735"/>
      <c r="B29" s="2736"/>
      <c r="C29" s="2736"/>
      <c r="D29" s="2737">
        <f t="shared" si="0"/>
        <v>0</v>
      </c>
      <c r="E29" s="945"/>
      <c r="F29" s="945"/>
      <c r="G29" s="945"/>
      <c r="H29" s="945"/>
      <c r="I29" s="945"/>
      <c r="J29" s="2844"/>
    </row>
    <row r="30" spans="1:36" ht="15" thickBot="1">
      <c r="A30" s="2772" t="s">
        <v>1745</v>
      </c>
      <c r="B30" s="2772"/>
      <c r="C30" s="2772"/>
      <c r="D30" s="2772"/>
      <c r="E30" s="2739" t="s">
        <v>2820</v>
      </c>
      <c r="F30" s="2561"/>
      <c r="G30" s="2561"/>
      <c r="H30" s="2561"/>
      <c r="I30" s="2561"/>
      <c r="J30" s="2844"/>
    </row>
    <row r="31" spans="1:36" s="2837" customFormat="1" ht="26.45"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1746</v>
      </c>
      <c r="B32" s="2826" t="str">
        <f>'数据-取费表'!B4</f>
        <v>总价</v>
      </c>
      <c r="C32" s="2827" t="e">
        <f ca="1">IF(B32="总价",G19-C24,G20-C25)</f>
        <v>#REF!</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1747</v>
      </c>
      <c r="B33" s="255"/>
      <c r="C33" s="2741"/>
      <c r="D33" s="2742"/>
      <c r="E33" s="2743" t="s">
        <v>1748</v>
      </c>
      <c r="F33" s="2744" t="str">
        <f>IF(B32="楼面单价","取值（单价）","取值（总价）")</f>
        <v>取值（总价）</v>
      </c>
      <c r="G33" s="945"/>
      <c r="H33" s="945"/>
      <c r="I33" s="945"/>
      <c r="J33" s="2844"/>
    </row>
    <row r="34" spans="1:17" ht="15">
      <c r="A34" s="1464"/>
      <c r="B34" s="2745" t="s">
        <v>1749</v>
      </c>
      <c r="C34" s="2746" t="e">
        <f ca="1">IF(D33="自定义",F34,C32-C35)</f>
        <v>#REF!</v>
      </c>
      <c r="D34" s="2747">
        <f ca="1">IF(D33="自定义",ROUND(C34/C32,3),1-D35)</f>
        <v>0.83399999999999996</v>
      </c>
      <c r="E34" s="1433" t="s">
        <v>1750</v>
      </c>
      <c r="F34" s="2748">
        <v>2000</v>
      </c>
      <c r="G34" s="945"/>
      <c r="H34" s="945"/>
      <c r="I34" s="945"/>
      <c r="J34" s="2844"/>
    </row>
    <row r="35" spans="1:17" ht="15.75" thickBot="1">
      <c r="A35" s="1465"/>
      <c r="B35" s="2749" t="s">
        <v>1751</v>
      </c>
      <c r="C35" s="2750" t="e">
        <f ca="1">IF(D33="自定义",F35,ROUND(C32*D35,0))</f>
        <v>#REF!</v>
      </c>
      <c r="D35" s="2751">
        <f ca="1">IF(D33="自定义",ROUND(C35/C32,3),IF(D33="成本法成本比率",成本法!C56,IF(D33="收益法收益比率",收益法!J38,收益法!J41)))</f>
        <v>0.16600000000000001</v>
      </c>
      <c r="E35" s="2752" t="s">
        <v>1752</v>
      </c>
      <c r="F35" s="2753">
        <v>4460</v>
      </c>
      <c r="G35" s="945"/>
      <c r="H35" s="945"/>
      <c r="I35" s="945"/>
      <c r="J35" s="2844"/>
    </row>
    <row r="36" spans="1:17" ht="15.75" thickBot="1">
      <c r="A36" s="3347" t="s">
        <v>1753</v>
      </c>
      <c r="B36" s="1466" t="s">
        <v>1754</v>
      </c>
      <c r="C36" s="2754">
        <v>0</v>
      </c>
      <c r="D36" s="2755"/>
      <c r="E36" s="1678"/>
      <c r="F36" s="1678"/>
      <c r="G36" s="945"/>
      <c r="H36" s="945"/>
      <c r="I36" s="945"/>
      <c r="J36" s="2844"/>
    </row>
    <row r="37" spans="1:17" ht="15.75" thickBot="1">
      <c r="A37" s="3352"/>
      <c r="B37" s="2092" t="s">
        <v>1755</v>
      </c>
      <c r="C37" s="2756">
        <v>0</v>
      </c>
      <c r="D37" s="1309"/>
      <c r="E37" s="1309"/>
      <c r="F37" s="1678"/>
      <c r="G37" s="1309"/>
      <c r="H37" s="1309"/>
      <c r="I37" s="1309"/>
      <c r="J37" s="2848"/>
    </row>
    <row r="38" spans="1:17" ht="15.75" thickBot="1">
      <c r="A38" s="3353"/>
      <c r="B38" s="1467" t="s">
        <v>1756</v>
      </c>
      <c r="C38" s="2757">
        <v>0</v>
      </c>
      <c r="D38" s="2758" t="s">
        <v>1757</v>
      </c>
      <c r="E38" s="1309"/>
      <c r="F38" s="1678"/>
      <c r="G38" s="1309"/>
      <c r="H38" s="1309"/>
      <c r="I38" s="1309"/>
      <c r="J38" s="2848"/>
    </row>
    <row r="39" spans="1:17" ht="15">
      <c r="A39" s="2723" t="s">
        <v>1758</v>
      </c>
      <c r="B39" s="2759" t="s">
        <v>1742</v>
      </c>
      <c r="C39" s="2760" t="s">
        <v>1743</v>
      </c>
      <c r="D39" s="2760" t="s">
        <v>1759</v>
      </c>
      <c r="E39" s="2761" t="s">
        <v>1744</v>
      </c>
      <c r="F39" s="1678"/>
      <c r="G39" s="1309"/>
      <c r="H39" s="1309"/>
      <c r="I39" s="1309"/>
      <c r="J39" s="2848"/>
    </row>
    <row r="40" spans="1:17" ht="14.25">
      <c r="A40" s="2762" t="s">
        <v>1760</v>
      </c>
      <c r="B40" s="2763"/>
      <c r="C40" s="2764"/>
      <c r="D40" s="2764"/>
      <c r="E40" s="2765"/>
      <c r="F40" s="1678"/>
      <c r="G40" s="1309"/>
      <c r="H40" s="1309"/>
      <c r="I40" s="1309"/>
      <c r="J40" s="2848"/>
    </row>
    <row r="41" spans="1:17" ht="14.25">
      <c r="A41" s="2762" t="s">
        <v>1761</v>
      </c>
      <c r="B41" s="2763"/>
      <c r="C41" s="2764"/>
      <c r="D41" s="2764"/>
      <c r="E41" s="2765"/>
      <c r="F41" s="1678"/>
      <c r="G41" s="1309"/>
      <c r="H41" s="1309"/>
      <c r="I41" s="1309"/>
      <c r="J41" s="2848"/>
    </row>
    <row r="42" spans="1:17" ht="15" thickBot="1">
      <c r="A42" s="2766"/>
      <c r="B42" s="2767"/>
      <c r="C42" s="2768"/>
      <c r="D42" s="2768"/>
      <c r="E42" s="2753"/>
      <c r="F42" s="1678"/>
      <c r="G42" s="1309"/>
      <c r="H42" s="1309"/>
      <c r="I42" s="1309"/>
      <c r="J42" s="2848"/>
    </row>
    <row r="43" spans="1:17" ht="12.75">
      <c r="A43" s="2974"/>
      <c r="B43" s="2974"/>
      <c r="C43" s="2974"/>
      <c r="D43" s="2974"/>
      <c r="E43" s="2974"/>
      <c r="F43" s="2973"/>
      <c r="G43" s="2973"/>
      <c r="H43" s="2973"/>
      <c r="I43" s="2661"/>
      <c r="J43" s="2849"/>
    </row>
    <row r="44" spans="1:17" ht="18.75">
      <c r="A44" s="1469" t="s">
        <v>1762</v>
      </c>
      <c r="B44" s="1470"/>
      <c r="C44" s="1470"/>
      <c r="D44" s="1471"/>
      <c r="E44" s="1471"/>
      <c r="F44" s="1472"/>
      <c r="G44" s="1472"/>
      <c r="H44" s="1472"/>
      <c r="I44" s="2838" t="s">
        <v>2815</v>
      </c>
      <c r="J44" s="2850"/>
      <c r="K44" s="1473" t="s">
        <v>1763</v>
      </c>
      <c r="L44" s="1474"/>
      <c r="M44" s="1474"/>
      <c r="N44" s="1474"/>
      <c r="O44" s="1474"/>
      <c r="P44" s="1474"/>
      <c r="Q44" s="1306"/>
    </row>
    <row r="45" spans="1:17" ht="14.25" customHeight="1" thickBot="1">
      <c r="A45" s="3272" t="s">
        <v>1764</v>
      </c>
      <c r="B45" s="3273"/>
      <c r="C45" s="3283"/>
      <c r="D45" s="246" t="e">
        <f ca="1">ROUND(I102*F45,0)</f>
        <v>#REF!</v>
      </c>
      <c r="E45" s="1540" t="s">
        <v>1765</v>
      </c>
      <c r="F45" s="2559">
        <v>1</v>
      </c>
      <c r="G45" s="2560" t="s">
        <v>1766</v>
      </c>
      <c r="H45" s="945"/>
      <c r="I45" s="945"/>
      <c r="J45" s="2844"/>
      <c r="K45" s="3278" t="s">
        <v>2745</v>
      </c>
      <c r="L45" s="3278"/>
      <c r="M45" s="3278"/>
      <c r="N45" s="3278"/>
      <c r="O45" s="3278"/>
      <c r="P45" s="3278"/>
      <c r="Q45" s="1306"/>
    </row>
    <row r="46" spans="1:17" ht="14.25" customHeight="1">
      <c r="A46" s="3349" t="s">
        <v>1768</v>
      </c>
      <c r="B46" s="3350"/>
      <c r="C46" s="3350"/>
      <c r="D46" s="3350"/>
      <c r="E46" s="3350"/>
      <c r="F46" s="3350"/>
      <c r="G46" s="3351"/>
      <c r="H46" s="2976"/>
      <c r="I46" s="945"/>
      <c r="J46" s="2844"/>
      <c r="K46" s="2534">
        <v>1</v>
      </c>
      <c r="L46" s="3279" t="s">
        <v>2746</v>
      </c>
      <c r="M46" s="3279"/>
      <c r="N46" s="3280" t="str">
        <f>项目基本情况!B1</f>
        <v>北京市预评估</v>
      </c>
      <c r="O46" s="3280"/>
      <c r="P46" s="3280"/>
      <c r="Q46" s="1306"/>
    </row>
    <row r="47" spans="1:17" ht="12" customHeight="1">
      <c r="A47" s="38" t="s">
        <v>1770</v>
      </c>
      <c r="B47" s="39"/>
      <c r="C47" s="40"/>
      <c r="D47" s="1097" t="s">
        <v>1771</v>
      </c>
      <c r="E47" s="235" t="s">
        <v>1772</v>
      </c>
      <c r="F47" s="41" t="s">
        <v>1773</v>
      </c>
      <c r="G47" s="2562" t="s">
        <v>1774</v>
      </c>
      <c r="H47" s="2976"/>
      <c r="I47" s="945"/>
      <c r="J47" s="2844"/>
      <c r="K47" s="2534">
        <v>2</v>
      </c>
      <c r="L47" s="3279" t="s">
        <v>2747</v>
      </c>
      <c r="M47" s="3279"/>
      <c r="N47" s="3281">
        <f>'数据-取费表'!B2</f>
        <v>44270</v>
      </c>
      <c r="O47" s="3281"/>
      <c r="P47" s="3281"/>
      <c r="Q47" s="1306"/>
    </row>
    <row r="48" spans="1:17" ht="25.5">
      <c r="A48" s="3354" t="s">
        <v>1776</v>
      </c>
      <c r="B48" s="3288"/>
      <c r="C48" s="3288"/>
      <c r="D48" s="12" t="e">
        <f ca="1">IF(H48="情况1",0,IF(H48="情况2",D52,IF(H48="情况3",D53,IF(H48="情况4",D54))))</f>
        <v>#REF!</v>
      </c>
      <c r="E48" s="2090" t="str">
        <f>IF(H48="情况4","(销售额-原购置价)×税（费）率","销售额×税（费）率")</f>
        <v>销售额×税（费）率</v>
      </c>
      <c r="F48" s="2563">
        <f>IF(H48="情况1","免征",'数据-取费表'!E29)</f>
        <v>5.5000000000000007E-2</v>
      </c>
      <c r="G48" s="2564" t="s">
        <v>1777</v>
      </c>
      <c r="H48" s="2565" t="s">
        <v>1778</v>
      </c>
      <c r="I48" s="2976"/>
      <c r="J48" s="2851"/>
      <c r="K48" s="2534">
        <v>3</v>
      </c>
      <c r="L48" s="3279" t="s">
        <v>2748</v>
      </c>
      <c r="M48" s="3279"/>
      <c r="N48" s="3280" t="e">
        <f ca="1">I102</f>
        <v>#REF!</v>
      </c>
      <c r="O48" s="3280"/>
      <c r="P48" s="3280"/>
      <c r="Q48" s="1306"/>
    </row>
    <row r="49" spans="1:17" ht="25.5" customHeight="1">
      <c r="A49" s="2089" t="s">
        <v>1780</v>
      </c>
      <c r="B49" s="3327" t="s">
        <v>1781</v>
      </c>
      <c r="C49" s="3327"/>
      <c r="D49" s="2566">
        <v>0</v>
      </c>
      <c r="E49" s="261" t="s">
        <v>1782</v>
      </c>
      <c r="F49" s="2567" t="s">
        <v>48</v>
      </c>
      <c r="G49" s="3269"/>
      <c r="H49" s="2568" t="s">
        <v>2822</v>
      </c>
      <c r="I49" s="2569"/>
      <c r="J49" s="2852"/>
      <c r="K49" s="2534">
        <v>4</v>
      </c>
      <c r="L49" s="3279" t="str">
        <f>IF(项目基本情况!F5="房地产抵押价值","房地产抵押价值","抵押担保权已注销时的房地产抵押价值")</f>
        <v>抵押担保权已注销时的房地产抵押价值</v>
      </c>
      <c r="M49" s="3279"/>
      <c r="N49" s="3280" t="str">
        <f>IF(项目基本情况!F5="房地产抵押价值",I110,I112)</f>
        <v>——</v>
      </c>
      <c r="O49" s="3280"/>
      <c r="P49" s="3280"/>
      <c r="Q49" s="1306"/>
    </row>
    <row r="50" spans="1:17" ht="25.5" customHeight="1">
      <c r="A50" s="2079"/>
      <c r="B50" s="3327" t="s">
        <v>1783</v>
      </c>
      <c r="C50" s="3327"/>
      <c r="D50" s="2570"/>
      <c r="E50" s="269"/>
      <c r="F50" s="2567"/>
      <c r="G50" s="3270"/>
      <c r="H50" s="2571" t="s">
        <v>2741</v>
      </c>
      <c r="I50" s="2569"/>
      <c r="J50" s="2852"/>
      <c r="K50" s="3279" t="s">
        <v>2749</v>
      </c>
      <c r="L50" s="3279"/>
      <c r="M50" s="3279"/>
      <c r="N50" s="3279"/>
      <c r="O50" s="3279"/>
      <c r="P50" s="3279"/>
      <c r="Q50" s="1306"/>
    </row>
    <row r="51" spans="1:17" ht="20.45" customHeight="1">
      <c r="A51" s="2572"/>
      <c r="B51" s="3327" t="s">
        <v>1785</v>
      </c>
      <c r="C51" s="3327"/>
      <c r="D51" s="1097"/>
      <c r="E51" s="264"/>
      <c r="F51" s="2567"/>
      <c r="G51" s="3271"/>
      <c r="H51" s="2571" t="s">
        <v>2742</v>
      </c>
      <c r="I51" s="2569"/>
      <c r="J51" s="2852"/>
      <c r="K51" s="2535" t="s">
        <v>2750</v>
      </c>
      <c r="L51" s="3279" t="s">
        <v>2751</v>
      </c>
      <c r="M51" s="3279"/>
      <c r="N51" s="2535" t="s">
        <v>2752</v>
      </c>
      <c r="O51" s="2535" t="s">
        <v>2753</v>
      </c>
      <c r="P51" s="2535" t="s">
        <v>2754</v>
      </c>
      <c r="Q51" s="1306"/>
    </row>
    <row r="52" spans="1:17" ht="24" customHeight="1">
      <c r="A52" s="2080" t="s">
        <v>1791</v>
      </c>
      <c r="B52" s="3327" t="s">
        <v>1792</v>
      </c>
      <c r="C52" s="3327"/>
      <c r="D52" s="1097" t="e">
        <f ca="1">ROUND(D45*'数据-取费表'!E29/(1+'数据-取费表'!F30),0)</f>
        <v>#REF!</v>
      </c>
      <c r="E52" s="2090" t="s">
        <v>1793</v>
      </c>
      <c r="F52" s="2573">
        <f>'数据-取费表'!E29</f>
        <v>5.5000000000000007E-2</v>
      </c>
      <c r="G52" s="2574"/>
      <c r="H52" s="945"/>
      <c r="I52" s="2977"/>
      <c r="J52" s="2852"/>
      <c r="K52" s="2534">
        <v>1</v>
      </c>
      <c r="L52" s="3268" t="s">
        <v>2755</v>
      </c>
      <c r="M52" s="3268"/>
      <c r="N52" s="2536" t="e">
        <f ca="1">D48</f>
        <v>#REF!</v>
      </c>
      <c r="O52" s="2534" t="str">
        <f>E48</f>
        <v>销售额×税（费）率</v>
      </c>
      <c r="P52" s="2537">
        <f>F48</f>
        <v>5.5000000000000007E-2</v>
      </c>
      <c r="Q52" s="1306"/>
    </row>
    <row r="53" spans="1:17" ht="12" customHeight="1">
      <c r="A53" s="2080" t="s">
        <v>1795</v>
      </c>
      <c r="B53" s="3339" t="s">
        <v>2834</v>
      </c>
      <c r="C53" s="3328"/>
      <c r="D53" s="1097" t="e">
        <f ca="1">ROUND(D45*'数据-取费表'!E29/(1+'数据-取费表'!F30),0)</f>
        <v>#REF!</v>
      </c>
      <c r="E53" s="2090" t="s">
        <v>1793</v>
      </c>
      <c r="F53" s="2573">
        <f>'数据-取费表'!E29</f>
        <v>5.5000000000000007E-2</v>
      </c>
      <c r="G53" s="2574"/>
      <c r="H53" s="945"/>
      <c r="I53" s="2977"/>
      <c r="J53" s="2852"/>
      <c r="K53" s="2534">
        <v>2</v>
      </c>
      <c r="L53" s="3268" t="s">
        <v>2756</v>
      </c>
      <c r="M53" s="3268"/>
      <c r="N53" s="2536">
        <f t="shared" ref="N53:P54" si="1">D55</f>
        <v>0</v>
      </c>
      <c r="O53" s="2534" t="str">
        <f t="shared" si="1"/>
        <v>销售额×税（费）率</v>
      </c>
      <c r="P53" s="2537" t="str">
        <f t="shared" si="1"/>
        <v>免征</v>
      </c>
      <c r="Q53" s="1306"/>
    </row>
    <row r="54" spans="1:17" ht="12" customHeight="1">
      <c r="A54" s="2080" t="s">
        <v>1797</v>
      </c>
      <c r="B54" s="3339" t="s">
        <v>2835</v>
      </c>
      <c r="C54" s="3328"/>
      <c r="D54" s="1097" t="e">
        <f ca="1">C68</f>
        <v>#REF!</v>
      </c>
      <c r="E54" s="264" t="s">
        <v>1798</v>
      </c>
      <c r="F54" s="2573">
        <f>'数据-取费表'!E29</f>
        <v>5.5000000000000007E-2</v>
      </c>
      <c r="G54" s="2574"/>
      <c r="H54" s="2978"/>
      <c r="I54" s="2977"/>
      <c r="J54" s="2852"/>
      <c r="K54" s="2534">
        <v>3</v>
      </c>
      <c r="L54" s="3268" t="s">
        <v>2757</v>
      </c>
      <c r="M54" s="3268"/>
      <c r="N54" s="2536">
        <f t="shared" si="1"/>
        <v>0</v>
      </c>
      <c r="O54" s="2534" t="str">
        <f t="shared" si="1"/>
        <v>增值额×税（费）率</v>
      </c>
      <c r="P54" s="2538" t="str">
        <f t="shared" si="1"/>
        <v>免征</v>
      </c>
      <c r="Q54" s="1306"/>
    </row>
    <row r="55" spans="1:17" ht="24" customHeight="1">
      <c r="A55" s="3292" t="s">
        <v>1800</v>
      </c>
      <c r="B55" s="3288"/>
      <c r="C55" s="3288"/>
      <c r="D55" s="12">
        <f>IF(H55="个人住宅",0,ROUND(D45*I55,0))</f>
        <v>0</v>
      </c>
      <c r="E55" s="2090" t="s">
        <v>1801</v>
      </c>
      <c r="F55" s="2573" t="str">
        <f>IF(H55="正常",I55,"免征")</f>
        <v>免征</v>
      </c>
      <c r="G55" s="2574"/>
      <c r="H55" s="2565" t="s">
        <v>2738</v>
      </c>
      <c r="I55" s="74">
        <f>'数据-取费表'!E37</f>
        <v>5.0000000000000001E-4</v>
      </c>
      <c r="J55" s="2852"/>
      <c r="K55" s="2534" t="str">
        <f>IF(H59="非个人房产","",4)</f>
        <v/>
      </c>
      <c r="L55" s="3268" t="str">
        <f>IF(H59="非个人房产","——","个人所得税")</f>
        <v>——</v>
      </c>
      <c r="M55" s="3268"/>
      <c r="N55" s="2539" t="str">
        <f>D59</f>
        <v>——</v>
      </c>
      <c r="O55" s="2540" t="str">
        <f>E59</f>
        <v>——</v>
      </c>
      <c r="P55" s="2541" t="str">
        <f>F59</f>
        <v>——</v>
      </c>
      <c r="Q55" s="1306"/>
    </row>
    <row r="56" spans="1:17" ht="24.75">
      <c r="A56" s="3292" t="s">
        <v>1803</v>
      </c>
      <c r="B56" s="3288"/>
      <c r="C56" s="3288"/>
      <c r="D56" s="12">
        <f>IF(H56="个人住宅",D57,D58)</f>
        <v>0</v>
      </c>
      <c r="E56" s="2090" t="s">
        <v>1804</v>
      </c>
      <c r="F56" s="2573" t="str">
        <f>IF(H56="正常",F58,"免征")</f>
        <v>免征</v>
      </c>
      <c r="G56" s="2575" t="s">
        <v>1805</v>
      </c>
      <c r="H56" s="2576" t="s">
        <v>2738</v>
      </c>
      <c r="I56" s="2979"/>
      <c r="J56" s="2852"/>
      <c r="K56" s="2534" t="str">
        <f>IF(项目基本情况!I6="上海银行",IF(K55="",4,K55+1),"")</f>
        <v/>
      </c>
      <c r="L56" s="3266" t="str">
        <f>IF(项目基本情况!I6="上海银行","其他处置费用","")</f>
        <v/>
      </c>
      <c r="M56" s="3286"/>
      <c r="N56" s="2536" t="str">
        <f>IF(项目基本情况!I6="上海银行",N69,"")</f>
        <v/>
      </c>
      <c r="O56" s="3266" t="str">
        <f>IF(项目基本情况!I6="上海银行","包含处置中涉及的律师、诉讼、拍卖、评估等费用","")</f>
        <v/>
      </c>
      <c r="P56" s="3267"/>
      <c r="Q56" s="1306"/>
    </row>
    <row r="57" spans="1:17" ht="12.75">
      <c r="A57" s="2080" t="s">
        <v>1780</v>
      </c>
      <c r="B57" s="3339" t="s">
        <v>1806</v>
      </c>
      <c r="C57" s="3328"/>
      <c r="D57" s="2566">
        <v>0</v>
      </c>
      <c r="E57" s="261" t="s">
        <v>1782</v>
      </c>
      <c r="F57" s="235"/>
      <c r="G57" s="2574"/>
      <c r="H57" s="2979"/>
      <c r="I57" s="2979"/>
      <c r="J57" s="2852"/>
      <c r="K57" s="3268">
        <f>IF(AND(K55="",K56=""),4,IF(项目基本情况!I6="上海银行",K56+1,K55+1))</f>
        <v>4</v>
      </c>
      <c r="L57" s="3268" t="s">
        <v>2758</v>
      </c>
      <c r="M57" s="2542" t="s">
        <v>2759</v>
      </c>
      <c r="N57" s="2543"/>
      <c r="O57" s="2544">
        <f ca="1">SUMIF(N52:N56,"&lt;9e307")</f>
        <v>0</v>
      </c>
      <c r="P57" s="2545"/>
      <c r="Q57" s="1304" t="e">
        <f ca="1">O57/N49</f>
        <v>#VALUE!</v>
      </c>
    </row>
    <row r="58" spans="1:17" ht="24.75">
      <c r="A58" s="2080" t="s">
        <v>1791</v>
      </c>
      <c r="B58" s="3339" t="s">
        <v>1809</v>
      </c>
      <c r="C58" s="3327"/>
      <c r="D58" s="12" t="e">
        <f ca="1">IF(H58="转让取得",C81,C97)</f>
        <v>#REF!</v>
      </c>
      <c r="E58" s="2090" t="s">
        <v>1804</v>
      </c>
      <c r="F58" s="235" t="s">
        <v>48</v>
      </c>
      <c r="G58" s="2574"/>
      <c r="H58" s="2576" t="s">
        <v>1810</v>
      </c>
      <c r="I58" s="2979"/>
      <c r="J58" s="2852"/>
      <c r="K58" s="3268"/>
      <c r="L58" s="3268"/>
      <c r="M58" s="2542" t="s">
        <v>2760</v>
      </c>
      <c r="N58" s="2546"/>
      <c r="O58" s="2547" t="str">
        <f ca="1">IF(H19="元",NUMBERSTRING(INT(O57),2)&amp;"元整",NUMBERSTRING(INT(O57*10000),2)&amp;"元整")</f>
        <v>零元整</v>
      </c>
      <c r="P58" s="2548"/>
      <c r="Q58" s="1306"/>
    </row>
    <row r="59" spans="1:17" ht="24.75" thickBot="1">
      <c r="A59" s="3355" t="s">
        <v>1812</v>
      </c>
      <c r="B59" s="3356"/>
      <c r="C59" s="3356"/>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2" t="s">
        <v>2813</v>
      </c>
      <c r="H59" s="2094" t="s">
        <v>2823</v>
      </c>
      <c r="I59" s="2881" t="s">
        <v>2824</v>
      </c>
      <c r="J59" s="2852"/>
      <c r="K59" s="3321">
        <f>K57+1</f>
        <v>5</v>
      </c>
      <c r="L59" s="3268" t="s">
        <v>2761</v>
      </c>
      <c r="M59" s="2534" t="s">
        <v>2759</v>
      </c>
      <c r="N59" s="2549"/>
      <c r="O59" s="2550" t="e">
        <f ca="1">N49-O57</f>
        <v>#VALUE!</v>
      </c>
      <c r="P59" s="2551"/>
      <c r="Q59" s="1306"/>
    </row>
    <row r="60" spans="1:17" ht="12" customHeight="1">
      <c r="A60" s="1455"/>
      <c r="B60" s="1459"/>
      <c r="C60" s="1459"/>
      <c r="D60" s="1459"/>
      <c r="E60" s="810"/>
      <c r="F60" s="2980"/>
      <c r="G60" s="2980"/>
      <c r="H60" s="2981"/>
      <c r="I60" s="31"/>
      <c r="K60" s="3322"/>
      <c r="L60" s="3268"/>
      <c r="M60" s="2542" t="s">
        <v>2760</v>
      </c>
      <c r="N60" s="2546"/>
      <c r="O60" s="2547" t="e">
        <f ca="1">IF(H19="元",NUMBERSTRING(INT(O59),2)&amp;"元整",NUMBERSTRING(INT(O59*10000),2)&amp;"元整")</f>
        <v>#VALUE!</v>
      </c>
      <c r="P60" s="2548"/>
      <c r="Q60" s="1306"/>
    </row>
    <row r="61" spans="1:17" ht="13.5" thickBot="1">
      <c r="A61" s="3357" t="s">
        <v>1814</v>
      </c>
      <c r="B61" s="3357"/>
      <c r="C61" s="3357"/>
      <c r="D61" s="3357"/>
      <c r="E61" s="3357"/>
      <c r="F61" s="2980"/>
      <c r="G61" s="2980"/>
      <c r="H61" s="2982"/>
      <c r="I61" s="31"/>
      <c r="K61" s="2534">
        <f>K59+1</f>
        <v>6</v>
      </c>
      <c r="L61" s="3268" t="s">
        <v>2762</v>
      </c>
      <c r="M61" s="3268"/>
      <c r="N61" s="2552"/>
      <c r="O61" s="2553" t="e">
        <f ca="1">IF(H19="元",ROUND(O59/项目基本情况!C12,0),ROUND(O59*10000/项目基本情况!C12,0))</f>
        <v>#VALUE!</v>
      </c>
      <c r="P61" s="2554"/>
      <c r="Q61" s="1306"/>
    </row>
    <row r="62" spans="1:17" ht="12.75">
      <c r="A62" s="3306" t="s">
        <v>1816</v>
      </c>
      <c r="B62" s="3307"/>
      <c r="C62" s="1605"/>
      <c r="D62" s="1605" t="s">
        <v>1817</v>
      </c>
      <c r="E62" s="45" t="s">
        <v>1818</v>
      </c>
      <c r="F62" s="2980"/>
      <c r="G62" s="2980"/>
      <c r="H62" s="2982"/>
      <c r="I62" s="31"/>
      <c r="K62" s="2555"/>
      <c r="L62" s="2555"/>
      <c r="M62" s="2555"/>
      <c r="N62" s="2555"/>
      <c r="O62" s="2555"/>
      <c r="P62" s="2555"/>
      <c r="Q62" s="1306"/>
    </row>
    <row r="63" spans="1:17" ht="12.75">
      <c r="A63" s="46">
        <v>1</v>
      </c>
      <c r="B63" s="47" t="s">
        <v>1819</v>
      </c>
      <c r="C63" s="2783" t="e">
        <f ca="1">ROUND((C64+C65)/(1+'数据-取费表'!F30),0)</f>
        <v>#REF!</v>
      </c>
      <c r="D63" s="47"/>
      <c r="E63" s="48"/>
      <c r="F63" s="2980"/>
      <c r="G63" s="2980"/>
      <c r="H63" s="2982"/>
      <c r="I63" s="31"/>
      <c r="K63" s="3287" t="s">
        <v>2763</v>
      </c>
      <c r="L63" s="2556" t="s">
        <v>2764</v>
      </c>
      <c r="M63" s="2556" t="e">
        <f>IF(N49&gt;10000,N49*0.5%,IF(AND(N49&gt;1000,N49&lt;=10000),N49*1%,IF(AND(N49&gt;100,N49&lt;=1000),N49*3%,IF(AND(N49&gt;10,N49&lt;=100),N49*5%,N49*8%))))</f>
        <v>#VALUE!</v>
      </c>
      <c r="N63" s="2557" t="e">
        <f>ROUND(M63,1)</f>
        <v>#VALUE!</v>
      </c>
      <c r="O63" s="2555"/>
      <c r="P63" s="2555"/>
      <c r="Q63" s="1306"/>
    </row>
    <row r="64" spans="1:17" ht="12.75">
      <c r="A64" s="49" t="s">
        <v>71</v>
      </c>
      <c r="B64" s="50" t="s">
        <v>1822</v>
      </c>
      <c r="C64" s="2784" t="e">
        <f ca="1">D45</f>
        <v>#REF!</v>
      </c>
      <c r="D64" s="50" t="s">
        <v>41</v>
      </c>
      <c r="E64" s="52"/>
      <c r="F64" s="2980"/>
      <c r="G64" s="2980"/>
      <c r="H64" s="2982"/>
      <c r="I64" s="31"/>
      <c r="K64" s="3287"/>
      <c r="L64" s="2556" t="s">
        <v>2765</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2766</v>
      </c>
      <c r="P64" s="2555"/>
      <c r="Q64" s="1306"/>
    </row>
    <row r="65" spans="1:36" ht="12.75">
      <c r="A65" s="49" t="s">
        <v>72</v>
      </c>
      <c r="B65" s="50" t="s">
        <v>1825</v>
      </c>
      <c r="C65" s="2785"/>
      <c r="D65" s="50"/>
      <c r="E65" s="52"/>
      <c r="F65" s="2980"/>
      <c r="G65" s="2980"/>
      <c r="H65" s="2982"/>
      <c r="I65" s="31"/>
      <c r="K65" s="3287"/>
      <c r="L65" s="2556" t="s">
        <v>2767</v>
      </c>
      <c r="M65" s="2556" t="e">
        <f>IF(N49&gt;1000,N49*0.1%,IF(AND(N49&gt;500,N49&lt;=1000),N49*0.5%,IF(AND(N49&gt;50,N49&lt;=500),N49*1%,IF(AND(N49&gt;1,N49&lt;=50),N49*1.5%))))</f>
        <v>#VALUE!</v>
      </c>
      <c r="N65" s="2557" t="e">
        <f t="shared" si="2"/>
        <v>#VALUE!</v>
      </c>
      <c r="O65" s="2555" t="s">
        <v>2766</v>
      </c>
      <c r="P65" s="2555"/>
      <c r="Q65" s="1306"/>
    </row>
    <row r="66" spans="1:36" ht="12.75">
      <c r="A66" s="53" t="s">
        <v>47</v>
      </c>
      <c r="B66" s="54" t="s">
        <v>1827</v>
      </c>
      <c r="C66" s="2786"/>
      <c r="D66" s="54" t="s">
        <v>41</v>
      </c>
      <c r="E66" s="1314" t="s">
        <v>1828</v>
      </c>
      <c r="F66" s="2980"/>
      <c r="G66" s="2980"/>
      <c r="H66" s="2982"/>
      <c r="I66" s="31"/>
      <c r="K66" s="3287"/>
      <c r="L66" s="2556" t="s">
        <v>2768</v>
      </c>
      <c r="M66" s="2556" t="e">
        <f>N49*0.5%</f>
        <v>#VALUE!</v>
      </c>
      <c r="N66" s="2557" t="e">
        <f>IF(M66&gt;0.5,0.5,ROUND(M66,0))</f>
        <v>#VALUE!</v>
      </c>
      <c r="O66" s="2555" t="s">
        <v>2769</v>
      </c>
      <c r="P66" s="2555"/>
      <c r="Q66" s="1306"/>
    </row>
    <row r="67" spans="1:36" ht="12.75">
      <c r="A67" s="53" t="s">
        <v>42</v>
      </c>
      <c r="B67" s="54" t="s">
        <v>1831</v>
      </c>
      <c r="C67" s="2787" t="e">
        <f ca="1">C63-C66</f>
        <v>#REF!</v>
      </c>
      <c r="D67" s="50" t="s">
        <v>41</v>
      </c>
      <c r="E67" s="52"/>
      <c r="F67" s="2980"/>
      <c r="G67" s="2980"/>
      <c r="H67" s="2982"/>
      <c r="I67" s="31"/>
      <c r="K67" s="3287"/>
      <c r="L67" s="2556" t="s">
        <v>2770</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6"/>
    </row>
    <row r="68" spans="1:36" ht="13.5" thickBot="1">
      <c r="A68" s="55" t="s">
        <v>46</v>
      </c>
      <c r="B68" s="56" t="s">
        <v>1833</v>
      </c>
      <c r="C68" s="2788" t="e">
        <f ca="1">IF(C67&lt;=0,0,ROUND(C67*D68,0))</f>
        <v>#REF!</v>
      </c>
      <c r="D68" s="2240">
        <f>'数据-取费表'!E29</f>
        <v>5.5000000000000007E-2</v>
      </c>
      <c r="E68" s="57"/>
      <c r="F68" s="2980"/>
      <c r="G68" s="2980"/>
      <c r="H68" s="2982"/>
      <c r="I68" s="31"/>
      <c r="K68" s="3287"/>
      <c r="L68" s="2556" t="s">
        <v>2771</v>
      </c>
      <c r="M68" s="2556" t="e">
        <f>IF(N49&gt;10000,N49*0.5%,IF(AND(N49&gt;5000,N49&lt;=10000),N49*1%,IF(AND(N49&gt;1000,N49&lt;=5000),N49*2%,IF(AND(N49&gt;200,N49&lt;=1000),N49*3%,N49*5%))))</f>
        <v>#VALUE!</v>
      </c>
      <c r="N68" s="2557" t="e">
        <f>ROUND(M68,1)</f>
        <v>#VALUE!</v>
      </c>
      <c r="O68" s="2555"/>
      <c r="P68" s="2555"/>
      <c r="Q68" s="1306"/>
    </row>
    <row r="69" spans="1:36" s="1463" customFormat="1" ht="7.5" customHeight="1">
      <c r="A69" s="1475"/>
      <c r="B69" s="1476"/>
      <c r="C69" s="1477"/>
      <c r="D69" s="1478"/>
      <c r="E69" s="1479"/>
      <c r="F69" s="810"/>
      <c r="G69" s="810"/>
      <c r="H69" s="1468"/>
      <c r="I69" s="1459"/>
      <c r="J69" s="2840"/>
      <c r="K69" s="3287"/>
      <c r="L69" s="2556" t="s">
        <v>54</v>
      </c>
      <c r="M69" s="2556"/>
      <c r="N69" s="2557" t="e">
        <f>ROUND(SUM(N63:N68),0)</f>
        <v>#VALUE!</v>
      </c>
      <c r="O69" s="2558" t="e">
        <f>N69/N49</f>
        <v>#VALUE!</v>
      </c>
      <c r="P69" s="2555"/>
      <c r="Q69" s="1306"/>
      <c r="R69" s="657"/>
      <c r="S69" s="657"/>
      <c r="T69" s="657"/>
      <c r="U69" s="657"/>
      <c r="V69" s="657"/>
      <c r="W69" s="657"/>
      <c r="X69" s="657"/>
      <c r="Y69" s="657"/>
      <c r="Z69" s="657"/>
      <c r="AA69" s="657"/>
      <c r="AB69" s="1306"/>
      <c r="AC69" s="1306"/>
      <c r="AD69" s="1306"/>
      <c r="AE69" s="1306"/>
      <c r="AF69" s="1306"/>
      <c r="AG69" s="1306"/>
      <c r="AH69" s="1306"/>
      <c r="AI69" s="1306"/>
      <c r="AJ69" s="1306"/>
    </row>
    <row r="70" spans="1:36" s="1481" customFormat="1" ht="15" thickBot="1">
      <c r="A70" s="3308" t="s">
        <v>1836</v>
      </c>
      <c r="B70" s="3309"/>
      <c r="C70" s="3309"/>
      <c r="D70" s="3309"/>
      <c r="E70" s="3309"/>
      <c r="F70" s="3309"/>
      <c r="G70" s="3309"/>
      <c r="H70" s="3309"/>
      <c r="I70" s="1480"/>
      <c r="J70" s="2853"/>
      <c r="P70" s="974"/>
      <c r="Q70" s="974"/>
      <c r="R70" s="974"/>
      <c r="S70" s="974"/>
      <c r="T70" s="974"/>
      <c r="U70" s="974"/>
      <c r="V70" s="974"/>
      <c r="W70" s="974"/>
      <c r="X70" s="974"/>
      <c r="Y70" s="974"/>
      <c r="Z70" s="974"/>
      <c r="AA70" s="974"/>
      <c r="AB70" s="1482"/>
      <c r="AC70" s="1482"/>
      <c r="AD70" s="1482"/>
      <c r="AE70" s="1482"/>
      <c r="AF70" s="1482"/>
      <c r="AG70" s="1482"/>
      <c r="AH70" s="1482"/>
      <c r="AI70" s="1482"/>
      <c r="AJ70" s="1482"/>
    </row>
    <row r="71" spans="1:36" s="1481" customFormat="1" ht="14.25">
      <c r="A71" s="3306" t="s">
        <v>1816</v>
      </c>
      <c r="B71" s="3307"/>
      <c r="C71" s="1605"/>
      <c r="D71" s="1605" t="s">
        <v>1817</v>
      </c>
      <c r="E71" s="58" t="s">
        <v>1818</v>
      </c>
      <c r="F71" s="59"/>
      <c r="G71" s="59"/>
      <c r="H71" s="60"/>
      <c r="I71" s="1483"/>
      <c r="J71" s="2854"/>
      <c r="P71" s="974"/>
      <c r="Q71" s="974"/>
      <c r="R71" s="974"/>
      <c r="S71" s="974"/>
      <c r="T71" s="974"/>
      <c r="U71" s="974"/>
      <c r="V71" s="974"/>
      <c r="W71" s="974"/>
      <c r="X71" s="974"/>
      <c r="Y71" s="974"/>
      <c r="Z71" s="974"/>
      <c r="AA71" s="974"/>
      <c r="AB71" s="1482"/>
      <c r="AC71" s="1482"/>
      <c r="AD71" s="1482"/>
      <c r="AE71" s="1482"/>
      <c r="AF71" s="1482"/>
      <c r="AG71" s="1482"/>
      <c r="AH71" s="1482"/>
      <c r="AI71" s="1482"/>
      <c r="AJ71" s="1482"/>
    </row>
    <row r="72" spans="1:36" s="1481" customFormat="1" ht="14.25">
      <c r="A72" s="61">
        <v>1</v>
      </c>
      <c r="B72" s="54" t="s">
        <v>1837</v>
      </c>
      <c r="C72" s="2787" t="e">
        <f ca="1">ROUND(D45/(1+'数据-取费表'!F30),0)</f>
        <v>#REF!</v>
      </c>
      <c r="D72" s="50" t="s">
        <v>41</v>
      </c>
      <c r="E72" s="12" t="s">
        <v>1838</v>
      </c>
      <c r="F72" s="2087"/>
      <c r="G72" s="2087"/>
      <c r="H72" s="62"/>
      <c r="I72" s="1483"/>
      <c r="J72" s="2854"/>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63">
        <v>2</v>
      </c>
      <c r="B73" s="41" t="s">
        <v>1839</v>
      </c>
      <c r="C73" s="2787" t="e">
        <f ca="1">C74+C78</f>
        <v>#REF!</v>
      </c>
      <c r="D73" s="50" t="s">
        <v>41</v>
      </c>
      <c r="E73" s="2086"/>
      <c r="F73" s="2087"/>
      <c r="G73" s="2087"/>
      <c r="H73" s="62"/>
      <c r="I73" s="1483"/>
      <c r="J73" s="2854"/>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24">
      <c r="A74" s="49" t="s">
        <v>73</v>
      </c>
      <c r="B74" s="50" t="s">
        <v>1840</v>
      </c>
      <c r="C74" s="50">
        <f>ROUND(IF(G77="2016年5月1日后购买",C75/(1+'数据-取费表'!F30)+C76+C77,C75+C76+C77),0)</f>
        <v>0</v>
      </c>
      <c r="D74" s="50" t="s">
        <v>41</v>
      </c>
      <c r="E74" s="2086"/>
      <c r="F74" s="2087"/>
      <c r="G74" s="2087"/>
      <c r="H74" s="62"/>
      <c r="I74" s="1483"/>
      <c r="J74" s="2854"/>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49" t="s">
        <v>74</v>
      </c>
      <c r="B75" s="50" t="s">
        <v>1841</v>
      </c>
      <c r="C75" s="2266"/>
      <c r="D75" s="50" t="s">
        <v>41</v>
      </c>
      <c r="E75" s="64" t="s">
        <v>1842</v>
      </c>
      <c r="F75" s="2791" t="s">
        <v>1843</v>
      </c>
      <c r="G75" s="64" t="s">
        <v>1844</v>
      </c>
      <c r="H75" s="2792"/>
      <c r="I75" s="9"/>
      <c r="J75" s="2855"/>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24.75" customHeight="1">
      <c r="A76" s="49" t="s">
        <v>75</v>
      </c>
      <c r="B76" s="65" t="s">
        <v>1845</v>
      </c>
      <c r="C76" s="50">
        <f>IF(F75="购房发票",ROUND(C75*H75*D76,0),0)</f>
        <v>0</v>
      </c>
      <c r="D76" s="2793">
        <v>0.05</v>
      </c>
      <c r="E76" s="3339" t="s">
        <v>1846</v>
      </c>
      <c r="F76" s="3327"/>
      <c r="G76" s="3327"/>
      <c r="H76" s="3340"/>
      <c r="I76" s="1483"/>
      <c r="J76" s="2854"/>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24.75" customHeight="1">
      <c r="A77" s="49" t="s">
        <v>76</v>
      </c>
      <c r="B77" s="50" t="s">
        <v>1847</v>
      </c>
      <c r="C77" s="50">
        <f>ROUND(IF(G77="个人住宅",0,IF(G77="2016年5月1日前购买",C75*D77,C75*D77/(1+'数据-取费表'!F30))),0)</f>
        <v>0</v>
      </c>
      <c r="D77" s="2794">
        <f>'数据-取费表'!E36+'数据-取费表'!E37</f>
        <v>3.0499999999999999E-2</v>
      </c>
      <c r="E77" s="12" t="s">
        <v>1848</v>
      </c>
      <c r="F77" s="2093"/>
      <c r="G77" s="1484" t="s">
        <v>1849</v>
      </c>
      <c r="H77" s="2088" t="str">
        <f>IF(G77="个人买卖住房","免征印花税"," ")</f>
        <v xml:space="preserve"> </v>
      </c>
      <c r="I77" s="1483"/>
      <c r="J77" s="2854"/>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77</v>
      </c>
      <c r="B78" s="50" t="s">
        <v>1850</v>
      </c>
      <c r="C78" s="2795" t="e">
        <f ca="1">ROUND(D45*D78/(1+'数据-取费表'!F30),0)</f>
        <v>#REF!</v>
      </c>
      <c r="D78" s="2796">
        <f>'数据-取费表'!E31</f>
        <v>5.000000000000001E-3</v>
      </c>
      <c r="E78" s="3275" t="s">
        <v>1851</v>
      </c>
      <c r="F78" s="3276"/>
      <c r="G78" s="3276"/>
      <c r="H78" s="3296"/>
      <c r="I78" s="1485"/>
      <c r="J78" s="2856"/>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14.25">
      <c r="A79" s="53" t="s">
        <v>42</v>
      </c>
      <c r="B79" s="54" t="s">
        <v>1852</v>
      </c>
      <c r="C79" s="2787" t="e">
        <f ca="1">C72-C73</f>
        <v>#REF!</v>
      </c>
      <c r="D79" s="50" t="s">
        <v>41</v>
      </c>
      <c r="E79" s="2086"/>
      <c r="F79" s="2087"/>
      <c r="G79" s="2087"/>
      <c r="H79" s="62"/>
      <c r="I79" s="1483"/>
      <c r="J79" s="2854"/>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
      <c r="A80" s="53" t="s">
        <v>43</v>
      </c>
      <c r="B80" s="54" t="s">
        <v>1853</v>
      </c>
      <c r="C80" s="2797"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7"/>
      <c r="G80" s="2087"/>
      <c r="H80" s="62"/>
      <c r="I80" s="1483"/>
      <c r="J80" s="2854"/>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24.75" thickBot="1">
      <c r="A81" s="55" t="s">
        <v>44</v>
      </c>
      <c r="B81" s="56" t="s">
        <v>1854</v>
      </c>
      <c r="C81" s="2798" t="e">
        <f ca="1">ROUND(IF(C79&lt;=0,0,IF(C80&gt;=200%,C79*60%-C73*35%,IF(C80&gt;=100%,C79*50%-C73*15%,IF(C80&gt;=50%,C79*40%-C73*5%,IF(C80&lt;50%,C79*30%,0))))),0)</f>
        <v>#REF!</v>
      </c>
      <c r="D81" s="217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3"/>
      <c r="J81" s="2854"/>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7.5" customHeight="1">
      <c r="A82" s="605"/>
      <c r="B82" s="606"/>
      <c r="C82" s="9"/>
      <c r="D82" s="9"/>
      <c r="E82" s="606"/>
      <c r="F82" s="606"/>
      <c r="G82" s="606"/>
      <c r="H82" s="607"/>
      <c r="I82" s="1485"/>
      <c r="J82" s="2856"/>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3308" t="s">
        <v>1855</v>
      </c>
      <c r="B83" s="3309"/>
      <c r="C83" s="3309"/>
      <c r="D83" s="3309"/>
      <c r="E83" s="3309"/>
      <c r="F83" s="3309"/>
      <c r="G83" s="3309"/>
      <c r="H83" s="3309"/>
      <c r="I83" s="9"/>
      <c r="J83" s="2855"/>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14.25">
      <c r="A84" s="3306" t="s">
        <v>1816</v>
      </c>
      <c r="B84" s="3307"/>
      <c r="C84" s="1605"/>
      <c r="D84" s="1605" t="s">
        <v>1817</v>
      </c>
      <c r="E84" s="58" t="s">
        <v>1818</v>
      </c>
      <c r="F84" s="59"/>
      <c r="G84" s="59"/>
      <c r="H84" s="72"/>
      <c r="I84" s="9"/>
      <c r="J84" s="2855"/>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24">
      <c r="A85" s="61">
        <v>1</v>
      </c>
      <c r="B85" s="54" t="s">
        <v>1837</v>
      </c>
      <c r="C85" s="2787" t="e">
        <f ca="1">ROUND(D45/(1+'数据-取费表'!F30),0)</f>
        <v>#REF!</v>
      </c>
      <c r="D85" s="50" t="s">
        <v>41</v>
      </c>
      <c r="E85" s="2086" t="s">
        <v>1838</v>
      </c>
      <c r="F85" s="2087"/>
      <c r="G85" s="2087"/>
      <c r="H85" s="73"/>
      <c r="I85" s="9"/>
      <c r="J85" s="2855"/>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63">
        <v>2</v>
      </c>
      <c r="B86" s="41" t="s">
        <v>1839</v>
      </c>
      <c r="C86" s="2787" t="e">
        <f ca="1">IF(H88="仅含出让金",C87+C90+C91+C92+C93+C94,C87+C91+C92+C93+C94)</f>
        <v>#REF!</v>
      </c>
      <c r="D86" s="2799"/>
      <c r="E86" s="2086"/>
      <c r="F86" s="2087"/>
      <c r="G86" s="2087"/>
      <c r="H86" s="73"/>
      <c r="I86" s="9"/>
      <c r="J86" s="2855"/>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49" t="s">
        <v>73</v>
      </c>
      <c r="B87" s="50" t="s">
        <v>1856</v>
      </c>
      <c r="C87" s="2795">
        <f>C88+C89</f>
        <v>0</v>
      </c>
      <c r="D87" s="2796"/>
      <c r="E87" s="2083"/>
      <c r="F87" s="2084"/>
      <c r="G87" s="2084"/>
      <c r="H87" s="2085"/>
      <c r="I87" s="9"/>
      <c r="J87" s="2855"/>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49" t="s">
        <v>74</v>
      </c>
      <c r="B88" s="50" t="s">
        <v>1857</v>
      </c>
      <c r="C88" s="2800"/>
      <c r="D88" s="2796"/>
      <c r="E88" s="74" t="s">
        <v>1858</v>
      </c>
      <c r="F88" s="2084"/>
      <c r="G88" s="75" t="s">
        <v>1859</v>
      </c>
      <c r="H88" s="1486"/>
      <c r="I88" s="9"/>
      <c r="J88" s="2855"/>
      <c r="K88" s="2971" t="s">
        <v>2817</v>
      </c>
      <c r="L88" s="1482"/>
      <c r="M88" s="1482"/>
      <c r="N88" s="1482"/>
      <c r="O88" s="1482"/>
      <c r="P88" s="1482"/>
      <c r="Q88" s="1482"/>
      <c r="R88" s="1482"/>
      <c r="S88" s="1482"/>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75</v>
      </c>
      <c r="B89" s="50" t="s">
        <v>1847</v>
      </c>
      <c r="C89" s="2795">
        <f>ROUND(C88*D89,0)</f>
        <v>0</v>
      </c>
      <c r="D89" s="2796">
        <f>'数据-取费表'!E36+'数据-取费表'!E37</f>
        <v>3.0499999999999999E-2</v>
      </c>
      <c r="E89" s="74" t="s">
        <v>1860</v>
      </c>
      <c r="F89" s="2084"/>
      <c r="G89" s="2084"/>
      <c r="H89" s="2085"/>
      <c r="I89" s="9"/>
      <c r="J89" s="2855"/>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24" customHeight="1">
      <c r="A90" s="49" t="s">
        <v>77</v>
      </c>
      <c r="B90" s="50" t="s">
        <v>1861</v>
      </c>
      <c r="C90" s="2800"/>
      <c r="D90" s="2796"/>
      <c r="E90" s="74" t="str">
        <f>IF(H88="-","土地取得成本中已包含该笔费用"," ")</f>
        <v xml:space="preserve"> </v>
      </c>
      <c r="F90" s="2084"/>
      <c r="G90" s="3315" t="s">
        <v>2733</v>
      </c>
      <c r="H90" s="3315"/>
      <c r="I90" s="9"/>
      <c r="J90" s="2855"/>
      <c r="K90" s="2971" t="s">
        <v>2818</v>
      </c>
      <c r="L90" s="1482"/>
      <c r="M90" s="1482"/>
      <c r="N90" s="1482"/>
      <c r="O90" s="1482"/>
      <c r="P90" s="1482"/>
      <c r="Q90" s="1482"/>
      <c r="R90" s="1482"/>
      <c r="S90" s="1482"/>
      <c r="T90" s="1482"/>
      <c r="U90" s="974"/>
      <c r="V90" s="974"/>
      <c r="W90" s="974"/>
      <c r="X90" s="974"/>
      <c r="Y90" s="974"/>
      <c r="Z90" s="974"/>
      <c r="AA90" s="974"/>
      <c r="AB90" s="1482"/>
      <c r="AC90" s="1482"/>
      <c r="AD90" s="1482"/>
      <c r="AE90" s="1482"/>
      <c r="AF90" s="1482"/>
      <c r="AG90" s="1482"/>
      <c r="AH90" s="1482"/>
      <c r="AI90" s="1482"/>
      <c r="AJ90" s="1482"/>
    </row>
    <row r="91" spans="1:36" s="1481" customFormat="1" ht="30.75" customHeight="1">
      <c r="A91" s="49" t="s">
        <v>78</v>
      </c>
      <c r="B91" s="50" t="s">
        <v>1862</v>
      </c>
      <c r="C91" s="2795">
        <f>IF(H91="——",成本法!C33,I91)</f>
        <v>0</v>
      </c>
      <c r="D91" s="2796"/>
      <c r="E91" s="3275" t="s">
        <v>1863</v>
      </c>
      <c r="F91" s="3276"/>
      <c r="G91" s="3276"/>
      <c r="H91" s="1487" t="s">
        <v>1864</v>
      </c>
      <c r="I91" s="1488"/>
      <c r="J91" s="2857"/>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25.5" customHeight="1">
      <c r="A92" s="49" t="s">
        <v>79</v>
      </c>
      <c r="B92" s="50" t="s">
        <v>1865</v>
      </c>
      <c r="C92" s="2795">
        <f>ROUND((C87+C90+C91)*D92,0)</f>
        <v>0</v>
      </c>
      <c r="D92" s="2839">
        <v>0.1</v>
      </c>
      <c r="E92" s="3275" t="s">
        <v>1866</v>
      </c>
      <c r="F92" s="3276"/>
      <c r="G92" s="3276"/>
      <c r="H92" s="3296"/>
      <c r="I92" s="9"/>
      <c r="J92" s="2855"/>
      <c r="K92" s="2972" t="s">
        <v>2819</v>
      </c>
      <c r="L92" s="1482"/>
      <c r="M92" s="1482"/>
      <c r="N92" s="1482"/>
      <c r="O92" s="1482"/>
      <c r="P92" s="1482"/>
      <c r="Q92" s="974"/>
      <c r="R92" s="974"/>
      <c r="S92" s="974"/>
      <c r="T92" s="974"/>
      <c r="U92" s="974"/>
      <c r="V92" s="974"/>
      <c r="W92" s="974"/>
      <c r="X92" s="974"/>
      <c r="Y92" s="974"/>
      <c r="Z92" s="974"/>
      <c r="AA92" s="974"/>
      <c r="AB92" s="1482"/>
      <c r="AC92" s="1482"/>
      <c r="AD92" s="1482"/>
      <c r="AE92" s="1482"/>
      <c r="AF92" s="1482"/>
      <c r="AG92" s="1482"/>
      <c r="AH92" s="1482"/>
      <c r="AI92" s="1482"/>
      <c r="AJ92" s="1482"/>
    </row>
    <row r="93" spans="1:36" s="1481" customFormat="1" ht="25.5" customHeight="1">
      <c r="A93" s="49" t="s">
        <v>80</v>
      </c>
      <c r="B93" s="50" t="s">
        <v>1850</v>
      </c>
      <c r="C93" s="2795" t="e">
        <f ca="1">ROUND(D45*D93/(1+'数据-取费表'!F30),0)</f>
        <v>#REF!</v>
      </c>
      <c r="D93" s="2796">
        <f>'数据-取费表'!E31</f>
        <v>5.000000000000001E-3</v>
      </c>
      <c r="E93" s="3275" t="s">
        <v>1851</v>
      </c>
      <c r="F93" s="3276"/>
      <c r="G93" s="3276"/>
      <c r="H93" s="3296"/>
      <c r="I93" s="9"/>
      <c r="J93" s="2855"/>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81</v>
      </c>
      <c r="B94" s="50" t="s">
        <v>1867</v>
      </c>
      <c r="C94" s="2795">
        <f>ROUND((C87+C90+C91)*D94,0)</f>
        <v>0</v>
      </c>
      <c r="D94" s="2796">
        <v>0.2</v>
      </c>
      <c r="E94" s="3275" t="s">
        <v>1868</v>
      </c>
      <c r="F94" s="3276"/>
      <c r="G94" s="3276"/>
      <c r="H94" s="3296"/>
      <c r="I94" s="9"/>
      <c r="J94" s="2855"/>
      <c r="K94" s="974"/>
      <c r="L94" s="974"/>
      <c r="M94" s="974"/>
      <c r="N94" s="974"/>
      <c r="O94" s="974"/>
      <c r="P94" s="974"/>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14.25">
      <c r="A95" s="53" t="s">
        <v>42</v>
      </c>
      <c r="B95" s="54" t="s">
        <v>1852</v>
      </c>
      <c r="C95" s="2787" t="e">
        <f ca="1">ROUND(C85-C86,0)</f>
        <v>#REF!</v>
      </c>
      <c r="D95" s="50" t="s">
        <v>41</v>
      </c>
      <c r="E95" s="2086"/>
      <c r="F95" s="2087"/>
      <c r="G95" s="2087"/>
      <c r="H95" s="73"/>
      <c r="I95" s="9"/>
      <c r="J95" s="2855"/>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4">
      <c r="A96" s="53" t="s">
        <v>43</v>
      </c>
      <c r="B96" s="54" t="s">
        <v>1853</v>
      </c>
      <c r="C96" s="2797"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7"/>
      <c r="G96" s="2087"/>
      <c r="H96" s="73"/>
      <c r="I96" s="9"/>
      <c r="J96" s="2855"/>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24.75" thickBot="1">
      <c r="A97" s="55" t="s">
        <v>44</v>
      </c>
      <c r="B97" s="56" t="s">
        <v>1854</v>
      </c>
      <c r="C97" s="2798" t="e">
        <f ca="1">ROUND(IF(C95&lt;=0,0,IF(C96&gt;=200%,C95*60%-C86*35%,IF(C96&gt;=100%,C95*50%-C86*15%,IF(C96&gt;=50%,C95*40%-C86*5%,IF(C96&lt;50%,C95*30%,0))))),0)</f>
        <v>#REF!</v>
      </c>
      <c r="D97" s="217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5"/>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ht="21.75" customHeight="1" thickBot="1">
      <c r="A98" s="1469" t="s">
        <v>1869</v>
      </c>
      <c r="B98" s="1459"/>
      <c r="C98" s="1459"/>
      <c r="D98" s="1459"/>
      <c r="E98" s="810"/>
      <c r="F98" s="810"/>
      <c r="G98" s="810"/>
      <c r="H98" s="1468"/>
      <c r="I98" s="1459"/>
    </row>
    <row r="99" spans="1:36" ht="15.75">
      <c r="A99" s="3293" t="s">
        <v>1870</v>
      </c>
      <c r="B99" s="3294"/>
      <c r="C99" s="3294"/>
      <c r="D99" s="3295"/>
      <c r="E99" s="1459"/>
      <c r="F99" s="3303" t="s">
        <v>1871</v>
      </c>
      <c r="G99" s="3304"/>
      <c r="H99" s="3304"/>
      <c r="I99" s="3305"/>
      <c r="J99" s="2858"/>
    </row>
    <row r="100" spans="1:36" ht="15">
      <c r="A100" s="3310" t="s">
        <v>1872</v>
      </c>
      <c r="B100" s="3311"/>
      <c r="C100" s="1305">
        <f>C4</f>
        <v>0</v>
      </c>
      <c r="D100" s="2806">
        <f>D4</f>
        <v>0</v>
      </c>
      <c r="E100" s="1459"/>
      <c r="F100" s="3312" t="s">
        <v>2777</v>
      </c>
      <c r="G100" s="3314"/>
      <c r="H100" s="3312" t="s">
        <v>2778</v>
      </c>
      <c r="I100" s="3313"/>
      <c r="J100" s="2859"/>
    </row>
    <row r="101" spans="1:36" ht="12.75">
      <c r="A101" s="3329" t="s">
        <v>2810</v>
      </c>
      <c r="B101" s="2305" t="str">
        <f>IF(H19="元","总价（元）","总价（万元）")</f>
        <v>总价（万元）</v>
      </c>
      <c r="C101" s="1305" t="e">
        <f ca="1">C19</f>
        <v>#REF!</v>
      </c>
      <c r="D101" s="2806" t="e">
        <f ca="1">D19</f>
        <v>#REF!</v>
      </c>
      <c r="E101" s="1459"/>
      <c r="F101" s="3312" t="str">
        <f>项目基本情况!I1</f>
        <v>北京市房地产</v>
      </c>
      <c r="G101" s="3314"/>
      <c r="H101" s="3316">
        <f>项目基本情况!C12</f>
        <v>1715.28</v>
      </c>
      <c r="I101" s="3313"/>
      <c r="J101" s="2859"/>
    </row>
    <row r="102" spans="1:36" ht="12.75">
      <c r="A102" s="3329"/>
      <c r="B102" s="2305" t="s">
        <v>2811</v>
      </c>
      <c r="C102" s="2807" t="e">
        <f ca="1">C20</f>
        <v>#REF!</v>
      </c>
      <c r="D102" s="2808" t="e">
        <f ca="1">D20</f>
        <v>#REF!</v>
      </c>
      <c r="E102" s="1459"/>
      <c r="F102" s="3299" t="s">
        <v>2807</v>
      </c>
      <c r="G102" s="3300"/>
      <c r="H102" s="2816" t="str">
        <f>C106</f>
        <v>总价（万元）</v>
      </c>
      <c r="I102" s="2817" t="e">
        <f ca="1">H121</f>
        <v>#REF!</v>
      </c>
      <c r="J102" s="2859"/>
    </row>
    <row r="103" spans="1:36" ht="12.75">
      <c r="A103" s="3329" t="s">
        <v>2812</v>
      </c>
      <c r="B103" s="2243" t="str">
        <f>B101</f>
        <v>总价（万元）</v>
      </c>
      <c r="C103" s="2811" t="e">
        <f ca="1">H121</f>
        <v>#REF!</v>
      </c>
      <c r="D103" s="2809"/>
      <c r="E103" s="1459"/>
      <c r="F103" s="3299"/>
      <c r="G103" s="3300"/>
      <c r="H103" s="2816" t="s">
        <v>2780</v>
      </c>
      <c r="I103" s="52" t="e">
        <f ca="1">I121</f>
        <v>#REF!</v>
      </c>
      <c r="J103" s="2843"/>
    </row>
    <row r="104" spans="1:36" ht="13.5" thickBot="1">
      <c r="A104" s="3330"/>
      <c r="B104" s="2813" t="s">
        <v>2811</v>
      </c>
      <c r="C104" s="2814" t="e">
        <f ca="1">I121</f>
        <v>#REF!</v>
      </c>
      <c r="D104" s="2815"/>
      <c r="E104" s="1459"/>
      <c r="F104" s="3299"/>
      <c r="G104" s="3300"/>
      <c r="H104" s="3331"/>
      <c r="I104" s="3332"/>
      <c r="J104" s="2860"/>
    </row>
    <row r="105" spans="1:36" ht="15">
      <c r="A105" s="3293" t="s">
        <v>1873</v>
      </c>
      <c r="B105" s="3294"/>
      <c r="C105" s="3294"/>
      <c r="D105" s="3295"/>
      <c r="E105" s="1459"/>
      <c r="F105" s="3335" t="s">
        <v>2781</v>
      </c>
      <c r="G105" s="3336"/>
      <c r="H105" s="2818" t="str">
        <f>C108</f>
        <v>总额（万元）</v>
      </c>
      <c r="I105" s="2817">
        <f>SUMIF(I106:I108,"&lt;9E307")</f>
        <v>0</v>
      </c>
      <c r="J105" s="2859"/>
    </row>
    <row r="106" spans="1:36" ht="14.25">
      <c r="A106" s="3299" t="s">
        <v>2804</v>
      </c>
      <c r="B106" s="3300"/>
      <c r="C106" s="2816" t="str">
        <f>B101</f>
        <v>总价（万元）</v>
      </c>
      <c r="D106" s="2817" t="e">
        <f ca="1">H121</f>
        <v>#REF!</v>
      </c>
      <c r="E106" s="1459"/>
      <c r="F106" s="3301" t="s">
        <v>2782</v>
      </c>
      <c r="G106" s="3302"/>
      <c r="H106" s="2818" t="str">
        <f>C109</f>
        <v>总额（万元）</v>
      </c>
      <c r="I106" s="2819">
        <f>IF(D36="同一抵押权人同一抵押物续贷",C36&amp;"（续贷，未扣减，详见特别提示）",C36)</f>
        <v>0</v>
      </c>
      <c r="J106" s="2843"/>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99"/>
      <c r="B107" s="3300"/>
      <c r="C107" s="2816" t="s">
        <v>2805</v>
      </c>
      <c r="D107" s="52" t="e">
        <f ca="1">I121</f>
        <v>#REF!</v>
      </c>
      <c r="E107" s="1459"/>
      <c r="F107" s="3301" t="s">
        <v>2783</v>
      </c>
      <c r="G107" s="3302"/>
      <c r="H107" s="2818" t="str">
        <f>C110</f>
        <v>总额（万元）</v>
      </c>
      <c r="I107" s="52">
        <f>C37</f>
        <v>0</v>
      </c>
      <c r="J107" s="2843"/>
    </row>
    <row r="108" spans="1:36" ht="12.75">
      <c r="A108" s="3370" t="s">
        <v>2781</v>
      </c>
      <c r="B108" s="3371"/>
      <c r="C108" s="2818" t="str">
        <f>IF(H19="元","总额（元）","总额（万元）")</f>
        <v>总额（万元）</v>
      </c>
      <c r="D108" s="2817">
        <f>IF(D36="正常操作",I106+I107+I108,I107+I108)</f>
        <v>0</v>
      </c>
      <c r="E108" s="1459"/>
      <c r="F108" s="3301" t="s">
        <v>2808</v>
      </c>
      <c r="G108" s="3302"/>
      <c r="H108" s="2818" t="str">
        <f>C111</f>
        <v>总额（万元）</v>
      </c>
      <c r="I108" s="52">
        <f>C38</f>
        <v>0</v>
      </c>
      <c r="J108" s="2843"/>
    </row>
    <row r="109" spans="1:36" ht="12.75">
      <c r="A109" s="3301" t="s">
        <v>2782</v>
      </c>
      <c r="B109" s="3302"/>
      <c r="C109" s="2818" t="str">
        <f>C108</f>
        <v>总额（万元）</v>
      </c>
      <c r="D109" s="52">
        <f>IF(D36="同一抵押权人同一抵押物续贷",C36&amp;"（未扣减，详见特别提示）",C36)</f>
        <v>0</v>
      </c>
      <c r="E109" s="1459"/>
      <c r="F109" s="3299"/>
      <c r="G109" s="3300"/>
      <c r="H109" s="3333"/>
      <c r="I109" s="3334"/>
      <c r="J109" s="2861"/>
    </row>
    <row r="110" spans="1:36" ht="28.5" customHeight="1">
      <c r="A110" s="3301" t="s">
        <v>2806</v>
      </c>
      <c r="B110" s="3302"/>
      <c r="C110" s="2818" t="str">
        <f>C108</f>
        <v>总额（万元）</v>
      </c>
      <c r="D110" s="52">
        <f>C37</f>
        <v>0</v>
      </c>
      <c r="E110" s="1459"/>
      <c r="F110" s="3282" t="str">
        <f>IF(项目基本情况!F5="已注销","——","3.房地产抵押价值")</f>
        <v>3.房地产抵押价值</v>
      </c>
      <c r="G110" s="3283"/>
      <c r="H110" s="2804" t="str">
        <f>C112</f>
        <v>总价（万元）</v>
      </c>
      <c r="I110" s="2817" t="e">
        <f ca="1">IF(F110="——","——",I102-I105)</f>
        <v>#REF!</v>
      </c>
      <c r="J110" s="2859"/>
    </row>
    <row r="111" spans="1:36" ht="12.75">
      <c r="A111" s="3301" t="s">
        <v>2785</v>
      </c>
      <c r="B111" s="3302"/>
      <c r="C111" s="2818" t="str">
        <f>C108</f>
        <v>总额（万元）</v>
      </c>
      <c r="D111" s="52">
        <f>C38</f>
        <v>0</v>
      </c>
      <c r="E111" s="1459"/>
      <c r="F111" s="3284"/>
      <c r="G111" s="3285"/>
      <c r="H111" s="2816" t="s">
        <v>2780</v>
      </c>
      <c r="I111" s="2820" t="e">
        <f ca="1">D113</f>
        <v>#REF!</v>
      </c>
      <c r="J111" s="2862"/>
    </row>
    <row r="112" spans="1:36" ht="26.25" customHeight="1">
      <c r="A112" s="3299" t="str">
        <f>IF(项目基本情况!F5="已注销","——","3.房地产抵押价值")</f>
        <v>3.房地产抵押价值</v>
      </c>
      <c r="B112" s="3300"/>
      <c r="C112" s="2816" t="str">
        <f>B101</f>
        <v>总价（万元）</v>
      </c>
      <c r="D112" s="2817" t="e">
        <f ca="1">IF(A112="——","——",D106-D108)</f>
        <v>#REF!</v>
      </c>
      <c r="E112" s="1459"/>
      <c r="F112" s="3282" t="str">
        <f>IF(项目基本情况!F5="已注销及未注销","4.抵押担保权已注销时的房地产抵押价值",IF(项目基本情况!F5="已注销","3.抵押担保权已注销时的房地产抵押价值","——"))</f>
        <v>——</v>
      </c>
      <c r="G112" s="3283"/>
      <c r="H112" s="2804" t="str">
        <f>C114</f>
        <v>总价（万元）</v>
      </c>
      <c r="I112" s="2817" t="str">
        <f>IF(F112="——","——",I102-I107-I108)</f>
        <v>——</v>
      </c>
      <c r="J112" s="2859"/>
    </row>
    <row r="113" spans="1:16" ht="12.75">
      <c r="A113" s="3299"/>
      <c r="B113" s="3300"/>
      <c r="C113" s="2816" t="s">
        <v>2773</v>
      </c>
      <c r="D113" s="52" t="e">
        <f ca="1">ROUND(IF(D112=D106,D107,IF(H19="元",D112/项目基本情况!C12,D112*10000/项目基本情况!C12)),0)</f>
        <v>#REF!</v>
      </c>
      <c r="E113" s="1459"/>
      <c r="F113" s="3284"/>
      <c r="G113" s="3285"/>
      <c r="H113" s="2816" t="s">
        <v>2809</v>
      </c>
      <c r="I113" s="52" t="str">
        <f>D115</f>
        <v>——</v>
      </c>
      <c r="J113" s="2843"/>
    </row>
    <row r="114" spans="1:16" ht="12.75">
      <c r="A114" s="3299" t="str">
        <f>IF(项目基本情况!F5="已注销及未注销","4.抵押担保权已注销时的房地产抵押价值",IF(项目基本情况!F5="已注销","3.抵押担保权已注销时的房地产抵押价值","——"))</f>
        <v>——</v>
      </c>
      <c r="B114" s="3300"/>
      <c r="C114" s="2816" t="str">
        <f>B101</f>
        <v>总价（万元）</v>
      </c>
      <c r="D114" s="2817" t="str">
        <f>IF(A114="——","——",D106-D110-D111)</f>
        <v>——</v>
      </c>
      <c r="E114" s="1459"/>
      <c r="F114" s="3282" t="str">
        <f>IF(项目基本情况!G5="抵押净值",IF(OR(项目基本情况!F5="已注销",项目基本情况!F5="房地产抵押价值"),"4.抵押净值","5.抵押净值"),"——")</f>
        <v>——</v>
      </c>
      <c r="G114" s="3283"/>
      <c r="H114" s="2816" t="str">
        <f>C116</f>
        <v>总价（万元）</v>
      </c>
      <c r="I114" s="2817" t="str">
        <f>IF(F114="——","——",O59)</f>
        <v>——</v>
      </c>
      <c r="J114" s="2859"/>
    </row>
    <row r="115" spans="1:16" ht="13.5" thickBot="1">
      <c r="A115" s="3299"/>
      <c r="B115" s="3300"/>
      <c r="C115" s="2816" t="s">
        <v>2773</v>
      </c>
      <c r="D115" s="52" t="str">
        <f>IF(A114="——","——",ROUND(IF(D114=D106,D107,IF(H19="元",D114/项目基本情况!C12,D114*10000/项目基本情况!C12)),0))</f>
        <v>——</v>
      </c>
      <c r="E115" s="1459"/>
      <c r="F115" s="3362"/>
      <c r="G115" s="3363"/>
      <c r="H115" s="2821" t="s">
        <v>2773</v>
      </c>
      <c r="I115" s="2805" t="e">
        <f ca="1">D117</f>
        <v>#REF!</v>
      </c>
      <c r="J115" s="2843"/>
    </row>
    <row r="116" spans="1:16" ht="15.75">
      <c r="A116" s="3299" t="str">
        <f>IF(项目基本情况!G5="抵押净值",IF(OR(项目基本情况!F5="已注销",项目基本情况!F5="房地产抵押价值"),"4.抵押净值","5.抵押净值"),"——")</f>
        <v>——</v>
      </c>
      <c r="B116" s="3300"/>
      <c r="C116" s="2816" t="str">
        <f>B101</f>
        <v>总价（万元）</v>
      </c>
      <c r="D116" s="2817" t="str">
        <f>IF(A116="——","——",O59)</f>
        <v>——</v>
      </c>
      <c r="E116" s="1459"/>
      <c r="F116" s="3277"/>
      <c r="G116" s="3277"/>
      <c r="H116" s="3318"/>
      <c r="I116" s="3318"/>
      <c r="J116" s="2863"/>
      <c r="O116" s="32"/>
      <c r="P116" s="32"/>
    </row>
    <row r="117" spans="1:16" ht="13.5" thickBot="1">
      <c r="A117" s="3368"/>
      <c r="B117" s="3369"/>
      <c r="C117" s="2821" t="s">
        <v>2773</v>
      </c>
      <c r="D117" s="2805" t="e">
        <f ca="1">IF(D116=D112,D113,IF(A116="——","——",O61))</f>
        <v>#REF!</v>
      </c>
      <c r="E117" s="1459"/>
      <c r="F117" s="3361" t="str">
        <f>IF(B32="总价","（以上估价结果中单价为总价除以建筑面积得出）","（以上估价结果中总价为楼面单价乘以建筑面积得出）")</f>
        <v>（以上估价结果中单价为总价除以建筑面积得出）</v>
      </c>
      <c r="G117" s="3361"/>
      <c r="H117" s="3361"/>
      <c r="I117" s="3361"/>
      <c r="J117" s="2864"/>
      <c r="O117" s="32"/>
      <c r="P117" s="32"/>
    </row>
    <row r="118" spans="1:16" ht="15">
      <c r="A118" s="3319" t="s">
        <v>1874</v>
      </c>
      <c r="B118" s="3320"/>
      <c r="C118" s="3320"/>
      <c r="D118" s="3320"/>
      <c r="E118" s="3320"/>
      <c r="F118" s="3320"/>
      <c r="G118" s="3320"/>
      <c r="H118" s="3320"/>
      <c r="I118" s="3320"/>
      <c r="J118" s="2865"/>
    </row>
    <row r="119" spans="1:16" ht="12.75">
      <c r="A119" s="3292" t="s">
        <v>2791</v>
      </c>
      <c r="B119" s="3290" t="s">
        <v>2801</v>
      </c>
      <c r="C119" s="3290" t="s">
        <v>2802</v>
      </c>
      <c r="D119" s="3297" t="s">
        <v>2793</v>
      </c>
      <c r="E119" s="3298"/>
      <c r="F119" s="3288" t="s">
        <v>2803</v>
      </c>
      <c r="G119" s="3288"/>
      <c r="H119" s="3288" t="s">
        <v>2794</v>
      </c>
      <c r="I119" s="3289"/>
      <c r="J119" s="2843"/>
    </row>
    <row r="120" spans="1:16" ht="12.75">
      <c r="A120" s="3292"/>
      <c r="B120" s="3291"/>
      <c r="C120" s="3291"/>
      <c r="D120" s="2090" t="s">
        <v>2795</v>
      </c>
      <c r="E120" s="2090" t="s">
        <v>2800</v>
      </c>
      <c r="F120" s="2090" t="s">
        <v>2795</v>
      </c>
      <c r="G120" s="2090" t="s">
        <v>2796</v>
      </c>
      <c r="H120" s="2090" t="s">
        <v>2795</v>
      </c>
      <c r="I120" s="52" t="s">
        <v>2796</v>
      </c>
      <c r="J120" s="2843"/>
    </row>
    <row r="121" spans="1:16" ht="12.75">
      <c r="A121" s="2080" t="str">
        <f>项目基本情况!I1</f>
        <v>北京市房地产</v>
      </c>
      <c r="B121" s="2090">
        <f>项目基本情况!C12</f>
        <v>1715.28</v>
      </c>
      <c r="C121" s="2090">
        <f>项目基本情况!C13</f>
        <v>0</v>
      </c>
      <c r="D121" s="2090" t="e">
        <f ca="1">ROUND(IF(B32="总价",C34,IF('数据-取费表'!B3="万元",E121*B121/10000,E121*B121)),0)</f>
        <v>#REF!</v>
      </c>
      <c r="E121" s="2090" t="e">
        <f ca="1">ROUND(IF(B32="楼面单价",C34,IF(H19="元",D121/B121,D121*10000/B121)),0)</f>
        <v>#REF!</v>
      </c>
      <c r="F121" s="2090" t="e">
        <f ca="1">ROUND(IF(B32="总价",C35,IF('数据-取费表'!B3="万元",G121*B121/10000,G121*B121)),0)</f>
        <v>#REF!</v>
      </c>
      <c r="G121" s="2090" t="e">
        <f ca="1">ROUND(IF(B32="楼面单价",C35,IF(H19="元",F121/B121,F121*10000/B121)),0)</f>
        <v>#REF!</v>
      </c>
      <c r="H121" s="2090" t="e">
        <f ca="1">ROUND(IF(B32="总价",C32,IF('数据-取费表'!B3="万元",I121*B121/10000,I121*B121)),0)</f>
        <v>#REF!</v>
      </c>
      <c r="I121" s="52" t="e">
        <f ca="1">ROUND(IF(B32="楼面单价",C32,IF(H19="元",H121/B121,H121*10000/B121)),0)</f>
        <v>#REF!</v>
      </c>
      <c r="J121" s="2843"/>
    </row>
    <row r="122" spans="1:16" ht="12.75">
      <c r="A122" s="3292" t="s">
        <v>2797</v>
      </c>
      <c r="B122" s="3288"/>
      <c r="C122" s="3288"/>
      <c r="D122" s="3323" t="e">
        <f ca="1">IF(H19="元",NUMBERSTRING(INT(D121),2)&amp;"元整",NUMBERSTRING(INT(D121*10000),2)&amp;"元整")</f>
        <v>#REF!</v>
      </c>
      <c r="E122" s="3324"/>
      <c r="F122" s="3323" t="e">
        <f ca="1">IF(H19="元",NUMBERSTRING(INT(F121),2)&amp;"元整",NUMBERSTRING(INT(F121*10000),2)&amp;"元整")</f>
        <v>#REF!</v>
      </c>
      <c r="G122" s="3324"/>
      <c r="H122" s="3323" t="e">
        <f ca="1">IF(H19="元",NUMBERSTRING(INT(H121),2)&amp;"元整",NUMBERSTRING(INT(H121*10000),2)&amp;"元整")</f>
        <v>#REF!</v>
      </c>
      <c r="I122" s="3372"/>
      <c r="J122" s="2866"/>
    </row>
    <row r="123" spans="1:16" ht="12.75">
      <c r="A123" s="3312" t="str">
        <f>IF(项目基本情况!D5="房地产市场价值","——",MID(A108,3,LEN(A108)-2))</f>
        <v>估价师所知悉的法定优先受偿款</v>
      </c>
      <c r="B123" s="3325"/>
      <c r="C123" s="3314"/>
      <c r="D123" s="3316">
        <f>I105</f>
        <v>0</v>
      </c>
      <c r="E123" s="3325"/>
      <c r="F123" s="3325"/>
      <c r="G123" s="3325"/>
      <c r="H123" s="3325"/>
      <c r="I123" s="3313"/>
      <c r="J123" s="2859"/>
    </row>
    <row r="124" spans="1:16" ht="12.75">
      <c r="A124" s="3326" t="s">
        <v>2797</v>
      </c>
      <c r="B124" s="3327"/>
      <c r="C124" s="3328"/>
      <c r="D124" s="3364">
        <f>H109</f>
        <v>0</v>
      </c>
      <c r="E124" s="3365"/>
      <c r="F124" s="3365"/>
      <c r="G124" s="3365"/>
      <c r="H124" s="3365"/>
      <c r="I124" s="3366"/>
      <c r="J124" s="2867"/>
    </row>
    <row r="125" spans="1:16" ht="12.75">
      <c r="A125" s="3299" t="str">
        <f>IF(项目基本情况!D5="房地产市场价值","——",MID(A112,3,LEN(A112)-2))</f>
        <v>房地产抵押价值</v>
      </c>
      <c r="B125" s="3300"/>
      <c r="C125" s="3300"/>
      <c r="D125" s="3316" t="e">
        <f ca="1">I110</f>
        <v>#REF!</v>
      </c>
      <c r="E125" s="3325"/>
      <c r="F125" s="3325"/>
      <c r="G125" s="3325"/>
      <c r="H125" s="3325"/>
      <c r="I125" s="3313"/>
      <c r="J125" s="2859"/>
    </row>
    <row r="126" spans="1:16" ht="12.75">
      <c r="A126" s="3292" t="s">
        <v>2797</v>
      </c>
      <c r="B126" s="3288"/>
      <c r="C126" s="3288"/>
      <c r="D126" s="3364" t="e">
        <f ca="1">I111</f>
        <v>#REF!</v>
      </c>
      <c r="E126" s="3365"/>
      <c r="F126" s="3365"/>
      <c r="G126" s="3365"/>
      <c r="H126" s="3365"/>
      <c r="I126" s="3366"/>
      <c r="J126" s="2867"/>
    </row>
    <row r="127" spans="1:16" ht="13.5" thickBot="1">
      <c r="A127" s="3299" t="str">
        <f>IF(项目基本情况!D5="房地产市场价值","——",MID(A114,3,LEN(A114)-2))</f>
        <v/>
      </c>
      <c r="B127" s="3300"/>
      <c r="C127" s="3300"/>
      <c r="D127" s="3272" t="str">
        <f>I112</f>
        <v>——</v>
      </c>
      <c r="E127" s="3273"/>
      <c r="F127" s="3273"/>
      <c r="G127" s="3273"/>
      <c r="H127" s="3273"/>
      <c r="I127" s="3274"/>
      <c r="J127" s="2859"/>
    </row>
    <row r="128" spans="1:16" ht="14.25" thickTop="1" thickBot="1">
      <c r="A128" s="3292" t="s">
        <v>2797</v>
      </c>
      <c r="B128" s="3288"/>
      <c r="C128" s="3339"/>
      <c r="D128" s="3317" t="str">
        <f>I113</f>
        <v>——</v>
      </c>
      <c r="E128" s="3317"/>
      <c r="F128" s="3317"/>
      <c r="G128" s="3317"/>
      <c r="H128" s="3317"/>
      <c r="I128" s="3317"/>
      <c r="J128" s="2867"/>
    </row>
    <row r="129" spans="1:10" ht="14.25" thickTop="1" thickBot="1">
      <c r="A129" s="3299" t="str">
        <f>IF(项目基本情况!D5="房地产市场价值","——",MID(F114,3,LEN(F114)-2))</f>
        <v/>
      </c>
      <c r="B129" s="3300"/>
      <c r="C129" s="3316"/>
      <c r="D129" s="3367" t="str">
        <f>I114</f>
        <v>——</v>
      </c>
      <c r="E129" s="3367"/>
      <c r="F129" s="3367"/>
      <c r="G129" s="3367"/>
      <c r="H129" s="3367"/>
      <c r="I129" s="3367"/>
      <c r="J129" s="2859"/>
    </row>
    <row r="130" spans="1:10" ht="14.25" thickTop="1" thickBot="1">
      <c r="A130" s="3355" t="s">
        <v>2797</v>
      </c>
      <c r="B130" s="3356"/>
      <c r="C130" s="3356"/>
      <c r="D130" s="3373">
        <f>H116</f>
        <v>0</v>
      </c>
      <c r="E130" s="3374"/>
      <c r="F130" s="3374"/>
      <c r="G130" s="3374"/>
      <c r="H130" s="3374"/>
      <c r="I130" s="3375"/>
      <c r="J130" s="2867"/>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8"/>
    </row>
    <row r="132" spans="1:10" ht="13.5" thickBot="1">
      <c r="A132" s="3360" t="str">
        <f>IF(B32="总价","（以上估价结果中楼面单价为总价除以建筑面积得出）","（以上估价结果中总价为楼面单价乘以建筑面积得出）")</f>
        <v>（以上估价结果中楼面单价为总价除以建筑面积得出）</v>
      </c>
      <c r="B132" s="3360"/>
      <c r="C132" s="3360"/>
      <c r="D132" s="3360"/>
      <c r="E132" s="3360"/>
      <c r="F132" s="3360"/>
      <c r="G132" s="3360"/>
      <c r="H132" s="3360"/>
      <c r="I132" s="3360"/>
      <c r="J132" s="2861"/>
    </row>
    <row r="133" spans="1:10" ht="21.75" customHeight="1">
      <c r="A133" s="1489" t="s">
        <v>1875</v>
      </c>
      <c r="B133" s="1490"/>
      <c r="C133" s="1491" t="s">
        <v>1876</v>
      </c>
      <c r="D133" s="1492"/>
      <c r="E133" s="1492"/>
      <c r="F133" s="1492"/>
      <c r="G133" s="1492"/>
      <c r="H133" s="1493"/>
      <c r="I133" s="1494"/>
      <c r="J133" s="2869"/>
    </row>
    <row r="134" spans="1:10" ht="21.75" customHeight="1">
      <c r="A134" s="1495">
        <v>1</v>
      </c>
      <c r="B134" s="1496"/>
      <c r="C134" s="1496"/>
      <c r="D134" s="1492"/>
      <c r="E134" s="1492"/>
      <c r="F134" s="1492"/>
      <c r="G134" s="1492"/>
      <c r="H134" s="1493"/>
      <c r="I134" s="1494"/>
      <c r="J134" s="2869"/>
    </row>
    <row r="135" spans="1:10" ht="21.75" customHeight="1">
      <c r="A135" s="1495">
        <v>2</v>
      </c>
      <c r="B135" s="1496"/>
      <c r="C135" s="1496"/>
      <c r="D135" s="1492"/>
      <c r="E135" s="1492"/>
      <c r="F135" s="1492"/>
      <c r="G135" s="1492"/>
      <c r="H135" s="1493"/>
      <c r="I135" s="1494"/>
      <c r="J135" s="2869"/>
    </row>
    <row r="136" spans="1:10" ht="21.75" customHeight="1">
      <c r="A136" s="1495">
        <v>3</v>
      </c>
      <c r="B136" s="1496"/>
      <c r="C136" s="1496"/>
      <c r="D136" s="1492"/>
      <c r="E136" s="1492"/>
      <c r="F136" s="32"/>
      <c r="G136" s="32"/>
      <c r="H136" s="32"/>
      <c r="I136" s="32"/>
      <c r="J136" s="2870"/>
    </row>
    <row r="137" spans="1:10" ht="21.75" customHeight="1">
      <c r="A137" s="1497"/>
      <c r="B137" s="1498"/>
      <c r="C137" s="1498"/>
      <c r="D137" s="1499"/>
      <c r="E137" s="1499"/>
      <c r="F137" s="1499"/>
      <c r="G137" s="1499"/>
      <c r="H137" s="1500"/>
      <c r="I137" s="1501"/>
      <c r="J137" s="2869"/>
    </row>
    <row r="138" spans="1:10" ht="21.75" customHeight="1">
      <c r="A138" s="1496"/>
      <c r="B138" s="1496"/>
      <c r="C138" s="1496"/>
      <c r="D138" s="1492"/>
      <c r="E138" s="1492"/>
      <c r="F138" s="1492"/>
      <c r="G138" s="1492"/>
      <c r="H138" s="1493"/>
      <c r="I138" s="657"/>
      <c r="J138" s="2870"/>
    </row>
    <row r="139" spans="1:10" ht="21.75" customHeight="1">
      <c r="A139" s="657"/>
      <c r="B139" s="657"/>
      <c r="C139" s="657"/>
      <c r="D139" s="657"/>
      <c r="E139" s="657"/>
      <c r="F139" s="1502" t="s">
        <v>1877</v>
      </c>
      <c r="G139" s="1503"/>
      <c r="H139" s="1503"/>
      <c r="I139" s="1504" t="s">
        <v>1878</v>
      </c>
      <c r="J139" s="2871"/>
    </row>
    <row r="140" spans="1:10" ht="21.75" customHeight="1">
      <c r="A140" s="657"/>
      <c r="B140" s="1505" t="s">
        <v>1879</v>
      </c>
      <c r="C140" s="657"/>
      <c r="D140" s="657"/>
      <c r="E140" s="657"/>
      <c r="F140" s="657"/>
      <c r="G140" s="657"/>
      <c r="H140" s="657"/>
      <c r="I140" s="657"/>
      <c r="J140" s="2870"/>
    </row>
    <row r="141" spans="1:10" ht="21.75" customHeight="1">
      <c r="A141" s="657"/>
      <c r="B141" s="657"/>
      <c r="C141" s="657"/>
      <c r="D141" s="657"/>
      <c r="E141" s="657"/>
      <c r="F141" s="657"/>
      <c r="G141" s="657"/>
      <c r="H141" s="657"/>
      <c r="I141" s="657"/>
      <c r="J141" s="2870"/>
    </row>
    <row r="142" spans="1:10" ht="21.75" customHeight="1">
      <c r="A142" s="657"/>
      <c r="B142" s="1503"/>
      <c r="C142" s="1503"/>
      <c r="D142" s="1503"/>
      <c r="E142" s="1503"/>
      <c r="F142" s="1503"/>
      <c r="G142" s="1503"/>
      <c r="H142" s="1503"/>
      <c r="I142" s="1504" t="s">
        <v>1880</v>
      </c>
      <c r="J142" s="2871"/>
    </row>
    <row r="143" spans="1:10" ht="21.75" customHeight="1">
      <c r="A143" s="657"/>
      <c r="B143" s="1505" t="s">
        <v>1881</v>
      </c>
      <c r="C143" s="657"/>
      <c r="D143" s="657"/>
      <c r="E143" s="657"/>
      <c r="F143" s="657"/>
      <c r="G143" s="657"/>
      <c r="H143" s="657"/>
      <c r="I143" s="657"/>
      <c r="J143" s="2870"/>
    </row>
    <row r="144" spans="1:10" ht="21.75" customHeight="1">
      <c r="A144" s="657"/>
      <c r="B144" s="1505"/>
      <c r="C144" s="657"/>
      <c r="D144" s="657"/>
      <c r="E144" s="657"/>
      <c r="F144" s="657"/>
      <c r="G144" s="657"/>
      <c r="H144" s="657"/>
      <c r="I144" s="657"/>
      <c r="J144" s="2870"/>
    </row>
    <row r="145" spans="1:36" ht="21.75" customHeight="1">
      <c r="A145" s="657"/>
      <c r="B145" s="1503"/>
      <c r="C145" s="1503"/>
      <c r="D145" s="1503"/>
      <c r="E145" s="1503"/>
      <c r="F145" s="1503"/>
      <c r="G145" s="1503"/>
      <c r="H145" s="1503"/>
      <c r="I145" s="1504" t="s">
        <v>1880</v>
      </c>
      <c r="J145" s="2871"/>
    </row>
    <row r="146" spans="1:36" ht="21.75" customHeight="1">
      <c r="A146" s="657"/>
      <c r="B146" s="1505"/>
      <c r="C146" s="1506"/>
      <c r="D146" s="1507"/>
      <c r="E146" s="1507"/>
      <c r="F146" s="1508"/>
      <c r="G146" s="657"/>
      <c r="H146" s="657"/>
      <c r="I146" s="657"/>
      <c r="J146" s="2870"/>
    </row>
    <row r="147" spans="1:36" s="32" customFormat="1" ht="21.75" customHeight="1">
      <c r="A147" s="657"/>
      <c r="B147" s="1505"/>
      <c r="C147" s="1506"/>
      <c r="D147" s="1507"/>
      <c r="E147" s="1507"/>
      <c r="F147" s="657"/>
      <c r="G147" s="657"/>
      <c r="H147" s="657"/>
      <c r="I147" s="657"/>
      <c r="J147" s="2870"/>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70"/>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70"/>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70"/>
    </row>
    <row r="151" spans="1:36" s="657" customFormat="1" ht="21.75" customHeight="1">
      <c r="J151" s="2870"/>
    </row>
    <row r="152" spans="1:36" s="657" customFormat="1" ht="21.75" customHeight="1">
      <c r="J152" s="2870"/>
    </row>
    <row r="153" spans="1:36" s="657" customFormat="1" ht="21.75" customHeight="1">
      <c r="J153" s="2870"/>
    </row>
    <row r="154" spans="1:36" s="657" customFormat="1" ht="21.75" customHeight="1">
      <c r="J154" s="2870"/>
    </row>
    <row r="155" spans="1:36" s="657" customFormat="1" ht="21.75" customHeight="1">
      <c r="J155" s="2870"/>
    </row>
    <row r="156" spans="1:36" s="657" customFormat="1" ht="21.75" customHeight="1">
      <c r="J156" s="2870"/>
    </row>
    <row r="157" spans="1:36" s="657" customFormat="1" ht="21.75" customHeight="1">
      <c r="J157" s="2870"/>
    </row>
    <row r="158" spans="1:36" s="657" customFormat="1" ht="21.75" customHeight="1">
      <c r="J158" s="2870"/>
    </row>
    <row r="159" spans="1:36" s="657" customFormat="1" ht="21.75" customHeight="1">
      <c r="J159" s="2870"/>
    </row>
    <row r="160" spans="1:36" s="657" customFormat="1" ht="21.75" customHeight="1">
      <c r="J160" s="2870"/>
    </row>
    <row r="161" spans="10:10" s="657" customFormat="1" ht="21.75" customHeight="1">
      <c r="J161" s="2870"/>
    </row>
    <row r="162" spans="10:10" s="657" customFormat="1" ht="21.75" customHeight="1">
      <c r="J162" s="2870"/>
    </row>
    <row r="163" spans="10:10" s="657" customFormat="1" ht="21.75" customHeight="1">
      <c r="J163" s="2870"/>
    </row>
    <row r="164" spans="10:10" s="657" customFormat="1" ht="21.75" customHeight="1">
      <c r="J164" s="2870"/>
    </row>
    <row r="165" spans="10:10" s="657" customFormat="1" ht="21.75" customHeight="1">
      <c r="J165" s="2870"/>
    </row>
    <row r="166" spans="10:10" s="657" customFormat="1" ht="21.75" customHeight="1">
      <c r="J166" s="2870"/>
    </row>
    <row r="167" spans="10:10" s="657" customFormat="1" ht="21.75" customHeight="1">
      <c r="J167" s="2870"/>
    </row>
    <row r="168" spans="10:10" s="657" customFormat="1" ht="21.75" customHeight="1">
      <c r="J168" s="2870"/>
    </row>
    <row r="169" spans="10:10" s="657" customFormat="1" ht="21.75" customHeight="1">
      <c r="J169" s="2870"/>
    </row>
    <row r="170" spans="10:10" s="657" customFormat="1" ht="21.75" customHeight="1">
      <c r="J170" s="2870"/>
    </row>
    <row r="171" spans="10:10" s="657" customFormat="1" ht="21.75" customHeight="1">
      <c r="J171" s="2870"/>
    </row>
    <row r="172" spans="10:10" s="657" customFormat="1" ht="21.75" customHeight="1">
      <c r="J172" s="2870"/>
    </row>
    <row r="173" spans="10:10" s="657" customFormat="1" ht="21.75" customHeight="1">
      <c r="J173" s="2870"/>
    </row>
    <row r="174" spans="10:10" s="657" customFormat="1" ht="21.75" customHeight="1">
      <c r="J174" s="2870"/>
    </row>
    <row r="175" spans="10:10" s="657" customFormat="1" ht="21.75" customHeight="1">
      <c r="J175" s="2870"/>
    </row>
    <row r="176" spans="10:10" s="657" customFormat="1" ht="21.75" customHeight="1">
      <c r="J176" s="2870"/>
    </row>
    <row r="177" spans="10:10" s="657" customFormat="1" ht="21.75" customHeight="1">
      <c r="J177" s="2870"/>
    </row>
    <row r="178" spans="10:10" s="657" customFormat="1" ht="21.75" customHeight="1">
      <c r="J178" s="2870"/>
    </row>
    <row r="179" spans="10:10" s="657" customFormat="1" ht="21.75" customHeight="1">
      <c r="J179" s="2870"/>
    </row>
    <row r="180" spans="10:10" s="657" customFormat="1" ht="21.75" customHeight="1">
      <c r="J180" s="2870"/>
    </row>
    <row r="181" spans="10:10" s="657" customFormat="1" ht="21.75" customHeight="1">
      <c r="J181" s="2870"/>
    </row>
    <row r="182" spans="10:10" s="657" customFormat="1" ht="21.75" customHeight="1">
      <c r="J182" s="2870"/>
    </row>
    <row r="183" spans="10:10" s="657" customFormat="1" ht="21.75" customHeight="1">
      <c r="J183" s="2870"/>
    </row>
    <row r="184" spans="10:10" s="657" customFormat="1" ht="21.75" customHeight="1">
      <c r="J184" s="2870"/>
    </row>
    <row r="185" spans="10:10" s="657" customFormat="1" ht="21.75" customHeight="1">
      <c r="J185" s="2870"/>
    </row>
    <row r="186" spans="10:10" s="657" customFormat="1" ht="21.75" customHeight="1">
      <c r="J186" s="2870"/>
    </row>
    <row r="187" spans="10:10" s="657" customFormat="1" ht="21.75" customHeight="1">
      <c r="J187" s="2870"/>
    </row>
    <row r="188" spans="10:10" s="657" customFormat="1" ht="21.75" customHeight="1">
      <c r="J188" s="2870"/>
    </row>
    <row r="189" spans="10:10" s="657" customFormat="1" ht="21.75" customHeight="1">
      <c r="J189" s="2870"/>
    </row>
    <row r="190" spans="10:10" s="657" customFormat="1" ht="21.75" customHeight="1">
      <c r="J190" s="2870"/>
    </row>
    <row r="191" spans="10:10" s="657" customFormat="1" ht="21.75" customHeight="1">
      <c r="J191" s="2870"/>
    </row>
    <row r="192" spans="10:10" s="657" customFormat="1" ht="21.75" customHeight="1">
      <c r="J192" s="2870"/>
    </row>
    <row r="193" spans="10:10" s="657" customFormat="1" ht="21.75" customHeight="1">
      <c r="J193" s="2870"/>
    </row>
    <row r="194" spans="10:10" s="657" customFormat="1" ht="21.75" customHeight="1">
      <c r="J194" s="2870"/>
    </row>
    <row r="195" spans="10:10" s="657" customFormat="1" ht="21.75" customHeight="1">
      <c r="J195" s="2870"/>
    </row>
    <row r="196" spans="10:10" s="657" customFormat="1" ht="21.75" customHeight="1">
      <c r="J196" s="2870"/>
    </row>
    <row r="197" spans="10:10" s="657" customFormat="1" ht="21.75" customHeight="1">
      <c r="J197" s="2870"/>
    </row>
    <row r="198" spans="10:10" s="657" customFormat="1" ht="21.75" customHeight="1">
      <c r="J198" s="2870"/>
    </row>
    <row r="199" spans="10:10" s="657" customFormat="1" ht="21.75" customHeight="1">
      <c r="J199" s="2870"/>
    </row>
    <row r="200" spans="10:10" s="657" customFormat="1" ht="21.75" customHeight="1">
      <c r="J200" s="2870"/>
    </row>
    <row r="201" spans="10:10" s="657" customFormat="1" ht="21.75" customHeight="1">
      <c r="J201" s="2870"/>
    </row>
    <row r="202" spans="10:10" s="657" customFormat="1" ht="21.75" customHeight="1">
      <c r="J202" s="2870"/>
    </row>
    <row r="203" spans="10:10" s="657" customFormat="1" ht="21.75" customHeight="1">
      <c r="J203" s="2870"/>
    </row>
    <row r="204" spans="10:10" s="657" customFormat="1" ht="21.75" customHeight="1">
      <c r="J204" s="2870"/>
    </row>
    <row r="205" spans="10:10" s="657" customFormat="1" ht="21.75" customHeight="1">
      <c r="J205" s="2870"/>
    </row>
    <row r="206" spans="10:10" s="657" customFormat="1" ht="21.75" customHeight="1">
      <c r="J206" s="2870"/>
    </row>
    <row r="207" spans="10:10" s="657" customFormat="1" ht="21.75" customHeight="1">
      <c r="J207" s="2870"/>
    </row>
    <row r="208" spans="10:10" s="657" customFormat="1" ht="21.75" customHeight="1">
      <c r="J208" s="2870"/>
    </row>
    <row r="209" spans="10:10" s="657" customFormat="1" ht="21.75" customHeight="1">
      <c r="J209" s="2870"/>
    </row>
    <row r="210" spans="10:10" s="657" customFormat="1" ht="21.75" customHeight="1">
      <c r="J210" s="2870"/>
    </row>
    <row r="211" spans="10:10" s="657" customFormat="1" ht="21.75" customHeight="1">
      <c r="J211" s="2870"/>
    </row>
    <row r="212" spans="10:10" s="657" customFormat="1" ht="21.75" customHeight="1">
      <c r="J212" s="2870"/>
    </row>
    <row r="213" spans="10:10" s="657" customFormat="1" ht="21.75" customHeight="1">
      <c r="J213" s="2870"/>
    </row>
    <row r="214" spans="10:10" s="657" customFormat="1" ht="21.75" customHeight="1">
      <c r="J214" s="2870"/>
    </row>
    <row r="215" spans="10:10" s="657" customFormat="1" ht="21.75" customHeight="1">
      <c r="J215" s="2870"/>
    </row>
    <row r="216" spans="10:10" s="657" customFormat="1" ht="21.75" customHeight="1">
      <c r="J216" s="2870"/>
    </row>
    <row r="217" spans="10:10" s="657" customFormat="1" ht="21.75" customHeight="1">
      <c r="J217" s="2870"/>
    </row>
    <row r="218" spans="10:10" s="657" customFormat="1" ht="21.75" customHeight="1">
      <c r="J218" s="2870"/>
    </row>
    <row r="219" spans="10:10" s="657" customFormat="1" ht="21.75" customHeight="1">
      <c r="J219" s="2870"/>
    </row>
    <row r="220" spans="10:10" s="657" customFormat="1" ht="21.75" customHeight="1">
      <c r="J220" s="2870"/>
    </row>
    <row r="221" spans="10:10" s="657" customFormat="1" ht="21.75" customHeight="1">
      <c r="J221" s="2870"/>
    </row>
    <row r="222" spans="10:10" s="657" customFormat="1" ht="21.75" customHeight="1">
      <c r="J222" s="2870"/>
    </row>
    <row r="223" spans="10:10" s="657" customFormat="1" ht="21.75" customHeight="1">
      <c r="J223" s="2870"/>
    </row>
    <row r="224" spans="10:10" s="657" customFormat="1" ht="21.75" customHeight="1">
      <c r="J224" s="2870"/>
    </row>
    <row r="225" spans="10:10" s="657" customFormat="1" ht="21.75" customHeight="1">
      <c r="J225" s="2870"/>
    </row>
    <row r="226" spans="10:10" s="657" customFormat="1" ht="21.75" customHeight="1">
      <c r="J226" s="2870"/>
    </row>
    <row r="227" spans="10:10" s="657" customFormat="1" ht="21.75" customHeight="1">
      <c r="J227" s="2870"/>
    </row>
    <row r="228" spans="10:10" s="657" customFormat="1" ht="21.75" customHeight="1">
      <c r="J228" s="2870"/>
    </row>
    <row r="229" spans="10:10" s="657" customFormat="1" ht="21.75" customHeight="1">
      <c r="J229" s="2870"/>
    </row>
    <row r="230" spans="10:10" s="657" customFormat="1" ht="21.75" customHeight="1">
      <c r="J230" s="2870"/>
    </row>
    <row r="231" spans="10:10" s="657" customFormat="1" ht="21.75" customHeight="1">
      <c r="J231" s="2870"/>
    </row>
    <row r="232" spans="10:10" s="657" customFormat="1" ht="21.75" customHeight="1">
      <c r="J232" s="2870"/>
    </row>
    <row r="233" spans="10:10" s="657" customFormat="1" ht="21.75" customHeight="1">
      <c r="J233" s="2870"/>
    </row>
    <row r="234" spans="10:10" s="657" customFormat="1" ht="21.75" customHeight="1">
      <c r="J234" s="2870"/>
    </row>
    <row r="235" spans="10:10" s="657" customFormat="1" ht="21.75" customHeight="1">
      <c r="J235" s="2870"/>
    </row>
    <row r="236" spans="10:10" s="657" customFormat="1" ht="21.75" customHeight="1">
      <c r="J236" s="2870"/>
    </row>
    <row r="237" spans="10:10" s="657" customFormat="1" ht="21.75" customHeight="1">
      <c r="J237" s="2870"/>
    </row>
    <row r="238" spans="10:10" s="657" customFormat="1" ht="21.75" customHeight="1">
      <c r="J238" s="2870"/>
    </row>
    <row r="239" spans="10:10" s="657" customFormat="1" ht="21.75" customHeight="1">
      <c r="J239" s="2870"/>
    </row>
    <row r="240" spans="10:10" s="657" customFormat="1" ht="21.75" customHeight="1">
      <c r="J240" s="2870"/>
    </row>
    <row r="241" spans="10:10" s="657" customFormat="1" ht="21.75" customHeight="1">
      <c r="J241" s="2870"/>
    </row>
    <row r="242" spans="10:10" s="657" customFormat="1" ht="21.75" customHeight="1">
      <c r="J242" s="2870"/>
    </row>
    <row r="243" spans="10:10" s="657" customFormat="1" ht="21.75" customHeight="1">
      <c r="J243" s="2870"/>
    </row>
    <row r="244" spans="10:10" s="657" customFormat="1" ht="21.75" customHeight="1">
      <c r="J244" s="2870"/>
    </row>
    <row r="245" spans="10:10" s="657" customFormat="1" ht="21.75" customHeight="1">
      <c r="J245" s="2870"/>
    </row>
    <row r="246" spans="10:10" s="657" customFormat="1" ht="21.75" customHeight="1">
      <c r="J246" s="2870"/>
    </row>
    <row r="247" spans="10:10" s="657" customFormat="1" ht="21.75" customHeight="1">
      <c r="J247" s="2870"/>
    </row>
    <row r="248" spans="10:10" s="657" customFormat="1" ht="21.75" customHeight="1">
      <c r="J248" s="2870"/>
    </row>
    <row r="249" spans="10:10" s="657" customFormat="1" ht="21.75" customHeight="1">
      <c r="J249" s="2870"/>
    </row>
    <row r="250" spans="10:10" s="657" customFormat="1" ht="21.75" customHeight="1">
      <c r="J250" s="2870"/>
    </row>
    <row r="251" spans="10:10" s="657" customFormat="1" ht="21.75" customHeight="1">
      <c r="J251" s="2870"/>
    </row>
    <row r="252" spans="10:10" s="657" customFormat="1" ht="21.75" customHeight="1">
      <c r="J252" s="2870"/>
    </row>
    <row r="253" spans="10:10" s="657" customFormat="1" ht="21.75" customHeight="1">
      <c r="J253" s="2870"/>
    </row>
    <row r="254" spans="10:10" s="657" customFormat="1" ht="21.75" customHeight="1">
      <c r="J254" s="2870"/>
    </row>
    <row r="255" spans="10:10" s="657" customFormat="1" ht="21.75" customHeight="1">
      <c r="J255" s="2870"/>
    </row>
    <row r="256" spans="10:10" s="657" customFormat="1" ht="21.75" customHeight="1">
      <c r="J256" s="2870"/>
    </row>
    <row r="257" spans="10:10" s="657" customFormat="1" ht="21.75" customHeight="1">
      <c r="J257" s="2870"/>
    </row>
    <row r="258" spans="10:10" s="657" customFormat="1" ht="21.75" customHeight="1">
      <c r="J258" s="2870"/>
    </row>
    <row r="259" spans="10:10" s="657" customFormat="1" ht="21.75" customHeight="1">
      <c r="J259" s="2870"/>
    </row>
    <row r="260" spans="10:10" s="657" customFormat="1" ht="21.75" customHeight="1">
      <c r="J260" s="2870"/>
    </row>
    <row r="261" spans="10:10" s="657" customFormat="1" ht="21.75" customHeight="1">
      <c r="J261" s="2870"/>
    </row>
    <row r="262" spans="10:10" s="657" customFormat="1" ht="21.75" customHeight="1">
      <c r="J262" s="2870"/>
    </row>
    <row r="263" spans="10:10" s="657" customFormat="1" ht="21.75" customHeight="1">
      <c r="J263" s="2870"/>
    </row>
    <row r="264" spans="10:10" s="657" customFormat="1" ht="21.75" customHeight="1">
      <c r="J264" s="2870"/>
    </row>
    <row r="265" spans="10:10" s="657" customFormat="1" ht="21.75" customHeight="1">
      <c r="J265" s="2870"/>
    </row>
    <row r="266" spans="10:10" s="657" customFormat="1" ht="21.75" customHeight="1">
      <c r="J266" s="2870"/>
    </row>
    <row r="267" spans="10:10" s="657" customFormat="1" ht="21.75" customHeight="1">
      <c r="J267" s="2870"/>
    </row>
    <row r="268" spans="10:10" s="657" customFormat="1" ht="21.75" customHeight="1">
      <c r="J268" s="2870"/>
    </row>
    <row r="269" spans="10:10" s="657" customFormat="1" ht="21.75" customHeight="1">
      <c r="J269" s="2870"/>
    </row>
    <row r="270" spans="10:10" s="657" customFormat="1" ht="21.75" customHeight="1">
      <c r="J270" s="2870"/>
    </row>
    <row r="271" spans="10:10" s="657" customFormat="1" ht="21.75" customHeight="1">
      <c r="J271" s="2870"/>
    </row>
    <row r="272" spans="10:10" s="657" customFormat="1" ht="21.75" customHeight="1">
      <c r="J272" s="2870"/>
    </row>
    <row r="273" spans="10:10" s="657" customFormat="1" ht="21.75" customHeight="1">
      <c r="J273" s="2870"/>
    </row>
    <row r="274" spans="10:10" s="657" customFormat="1" ht="21.75" customHeight="1">
      <c r="J274" s="2870"/>
    </row>
    <row r="275" spans="10:10" s="657" customFormat="1" ht="21.75" customHeight="1">
      <c r="J275" s="2870"/>
    </row>
    <row r="276" spans="10:10" s="657" customFormat="1" ht="21.75" customHeight="1">
      <c r="J276" s="2870"/>
    </row>
    <row r="277" spans="10:10" s="657" customFormat="1" ht="21.75" customHeight="1">
      <c r="J277" s="2870"/>
    </row>
    <row r="278" spans="10:10" s="657" customFormat="1" ht="21.75" customHeight="1">
      <c r="J278" s="2870"/>
    </row>
    <row r="279" spans="10:10" s="657" customFormat="1" ht="21.75" customHeight="1">
      <c r="J279" s="2870"/>
    </row>
    <row r="280" spans="10:10" s="657" customFormat="1" ht="21.75" customHeight="1">
      <c r="J280" s="2870"/>
    </row>
    <row r="281" spans="10:10" s="657" customFormat="1" ht="21.75" customHeight="1">
      <c r="J281" s="2870"/>
    </row>
    <row r="282" spans="10:10" s="657" customFormat="1" ht="21.75" customHeight="1">
      <c r="J282" s="2870"/>
    </row>
    <row r="283" spans="10:10" s="657" customFormat="1" ht="21.75" customHeight="1">
      <c r="J283" s="2870"/>
    </row>
    <row r="284" spans="10:10" s="657" customFormat="1" ht="21.75" customHeight="1">
      <c r="J284" s="2870"/>
    </row>
    <row r="285" spans="10:10" s="657" customFormat="1" ht="21.75" customHeight="1">
      <c r="J285" s="2870"/>
    </row>
    <row r="286" spans="10:10" s="657" customFormat="1" ht="21.75" customHeight="1">
      <c r="J286" s="2870"/>
    </row>
    <row r="287" spans="10:10" s="657" customFormat="1" ht="21.75" customHeight="1">
      <c r="J287" s="2870"/>
    </row>
    <row r="288" spans="10:10" s="657" customFormat="1" ht="21.75" customHeight="1">
      <c r="J288" s="2870"/>
    </row>
    <row r="289" spans="10:10" s="657" customFormat="1" ht="21.75" customHeight="1">
      <c r="J289" s="2870"/>
    </row>
    <row r="290" spans="10:10" s="657" customFormat="1" ht="21.75" customHeight="1">
      <c r="J290" s="2870"/>
    </row>
    <row r="291" spans="10:10" s="657" customFormat="1" ht="21.75" customHeight="1">
      <c r="J291" s="2870"/>
    </row>
    <row r="292" spans="10:10" s="657" customFormat="1" ht="21.75" customHeight="1">
      <c r="J292" s="2870"/>
    </row>
    <row r="293" spans="10:10" s="657" customFormat="1" ht="21.75" customHeight="1">
      <c r="J293" s="2870"/>
    </row>
    <row r="294" spans="10:10" s="657" customFormat="1" ht="21.75" customHeight="1">
      <c r="J294" s="2870"/>
    </row>
    <row r="295" spans="10:10" s="657" customFormat="1" ht="21.75" customHeight="1">
      <c r="J295" s="2870"/>
    </row>
    <row r="296" spans="10:10" s="657" customFormat="1" ht="21.75" customHeight="1">
      <c r="J296" s="2870"/>
    </row>
    <row r="297" spans="10:10" s="657" customFormat="1" ht="21.75" customHeight="1">
      <c r="J297" s="2870"/>
    </row>
    <row r="298" spans="10:10" s="657" customFormat="1" ht="21.75" customHeight="1">
      <c r="J298" s="2870"/>
    </row>
    <row r="299" spans="10:10" s="657" customFormat="1" ht="21.75" customHeight="1">
      <c r="J299" s="2870"/>
    </row>
    <row r="300" spans="10:10" s="657" customFormat="1" ht="21.75" customHeight="1">
      <c r="J300" s="2870"/>
    </row>
    <row r="301" spans="10:10" s="657" customFormat="1" ht="21.75" customHeight="1">
      <c r="J301" s="2870"/>
    </row>
    <row r="302" spans="10:10" s="657" customFormat="1" ht="21.75" customHeight="1">
      <c r="J302" s="2870"/>
    </row>
    <row r="303" spans="10:10" s="657" customFormat="1" ht="21.75" customHeight="1">
      <c r="J303" s="2870"/>
    </row>
    <row r="304" spans="10:10" s="657" customFormat="1" ht="21.75" customHeight="1">
      <c r="J304" s="2870"/>
    </row>
    <row r="305" spans="10:10" s="657" customFormat="1" ht="21.75" customHeight="1">
      <c r="J305" s="2870"/>
    </row>
    <row r="306" spans="10:10" s="657" customFormat="1" ht="21.75" customHeight="1">
      <c r="J306" s="2870"/>
    </row>
    <row r="307" spans="10:10" s="657" customFormat="1" ht="21.75" customHeight="1">
      <c r="J307" s="2870"/>
    </row>
    <row r="308" spans="10:10" s="657" customFormat="1" ht="21.75" customHeight="1">
      <c r="J308" s="2870"/>
    </row>
    <row r="309" spans="10:10" s="657" customFormat="1" ht="21.75" customHeight="1">
      <c r="J309" s="2870"/>
    </row>
    <row r="310" spans="10:10" s="657" customFormat="1" ht="21.75" customHeight="1">
      <c r="J310" s="2870"/>
    </row>
    <row r="311" spans="10:10" s="657" customFormat="1" ht="21.75" customHeight="1">
      <c r="J311" s="2870"/>
    </row>
    <row r="312" spans="10:10" s="657" customFormat="1" ht="21.75" customHeight="1">
      <c r="J312" s="2870"/>
    </row>
    <row r="313" spans="10:10" s="657" customFormat="1" ht="21.75" customHeight="1">
      <c r="J313" s="2870"/>
    </row>
    <row r="314" spans="10:10" s="657" customFormat="1" ht="21.75" customHeight="1">
      <c r="J314" s="2870"/>
    </row>
    <row r="315" spans="10:10" s="657" customFormat="1" ht="21.75" customHeight="1">
      <c r="J315" s="2870"/>
    </row>
    <row r="316" spans="10:10" s="657" customFormat="1" ht="21.75" customHeight="1">
      <c r="J316" s="2870"/>
    </row>
    <row r="317" spans="10:10" s="657" customFormat="1" ht="21.75" customHeight="1">
      <c r="J317" s="2870"/>
    </row>
    <row r="318" spans="10:10" s="657" customFormat="1" ht="21.75" customHeight="1">
      <c r="J318" s="2870"/>
    </row>
    <row r="319" spans="10:10" s="657" customFormat="1" ht="21.75" customHeight="1">
      <c r="J319" s="2870"/>
    </row>
    <row r="320" spans="10:10" s="657" customFormat="1" ht="21.75" customHeight="1">
      <c r="J320" s="2870"/>
    </row>
    <row r="321" spans="10:10" s="657" customFormat="1" ht="21.75" customHeight="1">
      <c r="J321" s="2870"/>
    </row>
    <row r="322" spans="10:10" s="657" customFormat="1" ht="21.75" customHeight="1">
      <c r="J322" s="2870"/>
    </row>
    <row r="323" spans="10:10" s="657" customFormat="1" ht="21.75" customHeight="1">
      <c r="J323" s="2870"/>
    </row>
    <row r="324" spans="10:10" s="657" customFormat="1" ht="21.75" customHeight="1">
      <c r="J324" s="2870"/>
    </row>
    <row r="325" spans="10:10" s="657" customFormat="1" ht="21.75" customHeight="1">
      <c r="J325" s="2870"/>
    </row>
    <row r="326" spans="10:10" s="657" customFormat="1" ht="21.75" customHeight="1">
      <c r="J326" s="2870"/>
    </row>
    <row r="327" spans="10:10" s="657" customFormat="1" ht="21.75" customHeight="1">
      <c r="J327" s="2870"/>
    </row>
    <row r="328" spans="10:10" s="657" customFormat="1" ht="21.75" customHeight="1">
      <c r="J328" s="2870"/>
    </row>
    <row r="329" spans="10:10" s="657" customFormat="1" ht="21.75" customHeight="1">
      <c r="J329" s="2870"/>
    </row>
    <row r="330" spans="10:10" s="657" customFormat="1" ht="21.75" customHeight="1">
      <c r="J330" s="2870"/>
    </row>
    <row r="331" spans="10:10" s="657" customFormat="1" ht="21.75" customHeight="1">
      <c r="J331" s="2870"/>
    </row>
    <row r="332" spans="10:10" s="657" customFormat="1" ht="21.75" customHeight="1">
      <c r="J332" s="2870"/>
    </row>
    <row r="333" spans="10:10" s="657" customFormat="1" ht="21.75" customHeight="1">
      <c r="J333" s="2870"/>
    </row>
    <row r="334" spans="10:10" s="657" customFormat="1" ht="21.75" customHeight="1">
      <c r="J334" s="2870"/>
    </row>
    <row r="335" spans="10:10" s="657" customFormat="1" ht="21.75" customHeight="1">
      <c r="J335" s="2870"/>
    </row>
    <row r="336" spans="10:10" s="657" customFormat="1" ht="21.75" customHeight="1">
      <c r="J336" s="2870"/>
    </row>
    <row r="337" spans="10:10" s="657" customFormat="1" ht="21.75" customHeight="1">
      <c r="J337" s="2870"/>
    </row>
    <row r="338" spans="10:10" s="657" customFormat="1" ht="21.75" customHeight="1">
      <c r="J338" s="2870"/>
    </row>
    <row r="339" spans="10:10" s="657" customFormat="1" ht="21.75" customHeight="1">
      <c r="J339" s="2870"/>
    </row>
    <row r="340" spans="10:10" s="657" customFormat="1" ht="21.75" customHeight="1">
      <c r="J340" s="2870"/>
    </row>
    <row r="341" spans="10:10" s="657" customFormat="1" ht="21.75" customHeight="1">
      <c r="J341" s="2870"/>
    </row>
    <row r="342" spans="10:10" s="657" customFormat="1" ht="21.75" customHeight="1">
      <c r="J342" s="2870"/>
    </row>
    <row r="343" spans="10:10" s="657" customFormat="1" ht="21.75" customHeight="1">
      <c r="J343" s="2870"/>
    </row>
    <row r="344" spans="10:10" s="657" customFormat="1" ht="21.75" customHeight="1">
      <c r="J344" s="2870"/>
    </row>
    <row r="345" spans="10:10" s="657" customFormat="1" ht="21.75" customHeight="1">
      <c r="J345" s="2870"/>
    </row>
    <row r="346" spans="10:10" s="657" customFormat="1" ht="21.75" customHeight="1">
      <c r="J346" s="2870"/>
    </row>
    <row r="347" spans="10:10" s="657" customFormat="1" ht="21.75" customHeight="1">
      <c r="J347" s="2870"/>
    </row>
    <row r="348" spans="10:10" s="657" customFormat="1" ht="21.75" customHeight="1">
      <c r="J348" s="2870"/>
    </row>
    <row r="349" spans="10:10" s="657" customFormat="1" ht="21.75" customHeight="1">
      <c r="J349" s="2870"/>
    </row>
    <row r="350" spans="10:10" s="657" customFormat="1" ht="21.75" customHeight="1">
      <c r="J350" s="2870"/>
    </row>
    <row r="351" spans="10:10" s="657" customFormat="1" ht="21.75" customHeight="1">
      <c r="J351" s="2870"/>
    </row>
    <row r="352" spans="10:10" s="657" customFormat="1" ht="21.75" customHeight="1">
      <c r="J352" s="2870"/>
    </row>
    <row r="353" spans="10:10" s="657" customFormat="1" ht="21.75" customHeight="1">
      <c r="J353" s="2870"/>
    </row>
    <row r="354" spans="10:10" s="657" customFormat="1" ht="21.75" customHeight="1">
      <c r="J354" s="2870"/>
    </row>
    <row r="355" spans="10:10" s="657" customFormat="1" ht="21.75" customHeight="1">
      <c r="J355" s="2870"/>
    </row>
    <row r="356" spans="10:10" s="657" customFormat="1" ht="21.75" customHeight="1">
      <c r="J356" s="2870"/>
    </row>
    <row r="357" spans="10:10" s="657" customFormat="1" ht="21.75" customHeight="1">
      <c r="J357" s="2870"/>
    </row>
    <row r="358" spans="10:10" s="657" customFormat="1" ht="21.75" customHeight="1">
      <c r="J358" s="2870"/>
    </row>
    <row r="359" spans="10:10" s="657" customFormat="1" ht="21.75" customHeight="1">
      <c r="J359" s="2870"/>
    </row>
    <row r="360" spans="10:10" s="657" customFormat="1" ht="21.75" customHeight="1">
      <c r="J360" s="2870"/>
    </row>
    <row r="361" spans="10:10" s="657" customFormat="1" ht="21.75" customHeight="1">
      <c r="J361" s="2870"/>
    </row>
    <row r="362" spans="10:10" s="657" customFormat="1" ht="21.75" customHeight="1">
      <c r="J362" s="2870"/>
    </row>
    <row r="363" spans="10:10" s="657" customFormat="1" ht="21.75" customHeight="1">
      <c r="J363" s="2870"/>
    </row>
    <row r="364" spans="10:10" s="657" customFormat="1" ht="21.75" customHeight="1">
      <c r="J364" s="2870"/>
    </row>
    <row r="365" spans="10:10" s="657" customFormat="1" ht="21.75" customHeight="1">
      <c r="J365" s="2870"/>
    </row>
    <row r="366" spans="10:10" s="657" customFormat="1" ht="21.75" customHeight="1">
      <c r="J366" s="2870"/>
    </row>
    <row r="367" spans="10:10" s="657" customFormat="1" ht="21.75" customHeight="1">
      <c r="J367" s="2870"/>
    </row>
    <row r="368" spans="10:10" s="657" customFormat="1" ht="21.75" customHeight="1">
      <c r="J368" s="2870"/>
    </row>
    <row r="369" spans="10:10" s="657" customFormat="1" ht="21.75" customHeight="1">
      <c r="J369" s="2870"/>
    </row>
    <row r="370" spans="10:10" s="657" customFormat="1" ht="21.75" customHeight="1">
      <c r="J370" s="2870"/>
    </row>
    <row r="371" spans="10:10" s="657" customFormat="1" ht="21.75" customHeight="1">
      <c r="J371" s="2870"/>
    </row>
    <row r="372" spans="10:10" s="657" customFormat="1" ht="21.75" customHeight="1">
      <c r="J372" s="2870"/>
    </row>
    <row r="373" spans="10:10" s="657" customFormat="1" ht="21.75" customHeight="1">
      <c r="J373" s="2870"/>
    </row>
    <row r="374" spans="10:10" s="657" customFormat="1" ht="21.75" customHeight="1">
      <c r="J374" s="2870"/>
    </row>
    <row r="375" spans="10:10" s="657" customFormat="1" ht="21.75" customHeight="1">
      <c r="J375" s="2870"/>
    </row>
    <row r="376" spans="10:10" s="657" customFormat="1" ht="21.75" customHeight="1">
      <c r="J376" s="2870"/>
    </row>
    <row r="377" spans="10:10" s="657" customFormat="1" ht="21.75" customHeight="1">
      <c r="J377" s="2870"/>
    </row>
    <row r="378" spans="10:10" s="657" customFormat="1" ht="21.75" customHeight="1">
      <c r="J378" s="2870"/>
    </row>
    <row r="379" spans="10:10" s="657" customFormat="1" ht="21.75" customHeight="1">
      <c r="J379" s="2870"/>
    </row>
    <row r="380" spans="10:10" s="657" customFormat="1" ht="21.75" customHeight="1">
      <c r="J380" s="2870"/>
    </row>
    <row r="381" spans="10:10" s="657" customFormat="1" ht="21.75" customHeight="1">
      <c r="J381" s="2870"/>
    </row>
    <row r="382" spans="10:10" s="657" customFormat="1" ht="21.75" customHeight="1">
      <c r="J382" s="2870"/>
    </row>
    <row r="383" spans="10:10" s="657" customFormat="1" ht="21.75" customHeight="1">
      <c r="J383" s="2870"/>
    </row>
    <row r="384" spans="10:10" s="657" customFormat="1" ht="21.75" customHeight="1">
      <c r="J384" s="2870"/>
    </row>
    <row r="385" spans="10:10" s="657" customFormat="1" ht="21.75" customHeight="1">
      <c r="J385" s="2870"/>
    </row>
    <row r="386" spans="10:10" s="657" customFormat="1" ht="21.75" customHeight="1">
      <c r="J386" s="2870"/>
    </row>
    <row r="387" spans="10:10" s="657" customFormat="1" ht="21.75" customHeight="1">
      <c r="J387" s="2870"/>
    </row>
    <row r="388" spans="10:10" s="657" customFormat="1" ht="21.75" customHeight="1">
      <c r="J388" s="2870"/>
    </row>
    <row r="389" spans="10:10" s="657" customFormat="1" ht="21.75" customHeight="1">
      <c r="J389" s="2870"/>
    </row>
    <row r="390" spans="10:10" s="657" customFormat="1" ht="21.75" customHeight="1">
      <c r="J390" s="2870"/>
    </row>
    <row r="391" spans="10:10" s="657" customFormat="1" ht="21.75" customHeight="1">
      <c r="J391" s="2870"/>
    </row>
    <row r="392" spans="10:10" s="657" customFormat="1" ht="21.75" customHeight="1">
      <c r="J392" s="2870"/>
    </row>
    <row r="393" spans="10:10" s="657" customFormat="1" ht="21.75" customHeight="1">
      <c r="J393" s="2870"/>
    </row>
    <row r="394" spans="10:10" s="657" customFormat="1" ht="21.75" customHeight="1">
      <c r="J394" s="2870"/>
    </row>
    <row r="395" spans="10:10" s="657" customFormat="1" ht="21.75" customHeight="1">
      <c r="J395" s="2870"/>
    </row>
    <row r="396" spans="10:10" s="657" customFormat="1" ht="21.75" customHeight="1">
      <c r="J396" s="2870"/>
    </row>
    <row r="397" spans="10:10" s="657" customFormat="1" ht="21.75" customHeight="1">
      <c r="J397" s="2870"/>
    </row>
    <row r="398" spans="10:10" s="657" customFormat="1" ht="21.75" customHeight="1">
      <c r="J398" s="2870"/>
    </row>
    <row r="399" spans="10:10" s="657" customFormat="1" ht="21.75" customHeight="1">
      <c r="J399" s="2870"/>
    </row>
    <row r="400" spans="10:10" s="657" customFormat="1" ht="21.75" customHeight="1">
      <c r="J400" s="2870"/>
    </row>
    <row r="401" spans="10:27" s="657" customFormat="1" ht="21.75" customHeight="1">
      <c r="J401" s="2870"/>
    </row>
    <row r="402" spans="10:27" s="657" customFormat="1" ht="21.75" customHeight="1">
      <c r="J402" s="2870"/>
    </row>
    <row r="403" spans="10:27" s="1306" customFormat="1" ht="21.75" customHeight="1">
      <c r="J403" s="2840"/>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40"/>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40"/>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40"/>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40"/>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40"/>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40"/>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40"/>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40"/>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40"/>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40"/>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40"/>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40"/>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40"/>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40"/>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40"/>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40"/>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40"/>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40"/>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40"/>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40"/>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40"/>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40"/>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40"/>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40"/>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40"/>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40"/>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40"/>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40"/>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40"/>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40"/>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40"/>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40"/>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40"/>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40"/>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40"/>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40"/>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40"/>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40"/>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40"/>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40"/>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40"/>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40"/>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40"/>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40"/>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40"/>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40"/>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40"/>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40"/>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40"/>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40"/>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40"/>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40"/>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40"/>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40"/>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40"/>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40"/>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40"/>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40"/>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40"/>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40"/>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40"/>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40"/>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40"/>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40"/>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40"/>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40"/>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40"/>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40"/>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40"/>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40"/>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40"/>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40"/>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40"/>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40"/>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40"/>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40"/>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40"/>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40"/>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40"/>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40"/>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40"/>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40"/>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40"/>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40"/>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40"/>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40"/>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40"/>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40"/>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40"/>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40"/>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40"/>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40"/>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40"/>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40"/>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40"/>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40"/>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40"/>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40"/>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40"/>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40"/>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40"/>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40"/>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40"/>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40"/>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40"/>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40"/>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40"/>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40"/>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40"/>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40"/>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40"/>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40"/>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F516" s="1460"/>
      <c r="G516" s="1460"/>
      <c r="H516" s="1460"/>
      <c r="I516" s="1460"/>
      <c r="J516" s="2840"/>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B1" zoomScaleNormal="100" zoomScaleSheetLayoutView="100" zoomScalePageLayoutView="80" workbookViewId="0">
      <selection activeCell="A32" sqref="A32:I32"/>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40"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1882</v>
      </c>
      <c r="B1" s="1459"/>
      <c r="C1" s="1459"/>
      <c r="D1" s="1459"/>
      <c r="E1" s="1459"/>
      <c r="F1" s="1459"/>
      <c r="G1" s="1459"/>
      <c r="H1" s="1459"/>
      <c r="I1" s="1459"/>
    </row>
    <row r="2" spans="1:15" ht="21.75" customHeight="1">
      <c r="A2" s="3382" t="s">
        <v>1883</v>
      </c>
      <c r="B2" s="3382"/>
      <c r="C2" s="3382"/>
      <c r="D2" s="3382"/>
      <c r="E2" s="3382"/>
      <c r="F2" s="3382"/>
      <c r="G2" s="3382"/>
      <c r="H2" s="3382"/>
      <c r="I2" s="3382"/>
      <c r="J2" s="2872"/>
    </row>
    <row r="3" spans="1:15" ht="12.75">
      <c r="A3" s="3342" t="s">
        <v>1711</v>
      </c>
      <c r="B3" s="3343"/>
      <c r="C3" s="3343"/>
      <c r="D3" s="3343"/>
      <c r="E3" s="3343"/>
      <c r="F3" s="3343"/>
      <c r="G3" s="3343"/>
      <c r="H3" s="3343"/>
      <c r="I3" s="3343"/>
      <c r="J3" s="2842"/>
    </row>
    <row r="4" spans="1:15" ht="14.25">
      <c r="A4" s="2710" t="s">
        <v>1712</v>
      </c>
      <c r="B4" s="2710" t="s">
        <v>1713</v>
      </c>
      <c r="C4" s="2711" t="s">
        <v>2975</v>
      </c>
      <c r="D4" s="2711" t="s">
        <v>2911</v>
      </c>
      <c r="E4" s="3339" t="s">
        <v>1884</v>
      </c>
      <c r="F4" s="3327"/>
      <c r="G4" s="3327"/>
      <c r="H4" s="3327"/>
      <c r="I4" s="3328"/>
      <c r="J4" s="2843"/>
      <c r="L4" s="1459" t="str">
        <f>IF(ISNUMBER(FIND("比较法",'结果表 (1修多)'!C4)),"比较法",IF(ISNUMBER(FIND("成本法",'结果表 (1修多)'!C4)),"成本法",IF(ISNUMBER(FIND("假设开发法",'结果表 (1修多)'!C4)),"假设开发法",IF(ISNUMBER(FIND("收益法",'结果表 (1修多)'!C4)),"收益法","基准地价系数修正法"))))</f>
        <v>比较法</v>
      </c>
      <c r="M4" s="1459" t="str">
        <f>IF(ISNUMBER(FIND("比较法",'结果表 (1修多)'!D4)),"比较法",IF(ISNUMBER(FIND("成本法",'结果表 (1修多)'!D4)),"成本法",IF(ISNUMBER(FIND("假设开发法",'结果表 (1修多)'!D4)),"假设开发法",IF(ISNUMBER(FIND("收益法",'结果表 (1修多)'!D4)),"收益法","基准地价系数修正法"))))</f>
        <v>收益法</v>
      </c>
      <c r="N4" s="1459"/>
      <c r="O4" s="1459"/>
    </row>
    <row r="5" spans="1:15" ht="12.75">
      <c r="A5" s="3338" t="s">
        <v>1715</v>
      </c>
      <c r="B5" s="3338">
        <v>25</v>
      </c>
      <c r="C5" s="3344"/>
      <c r="D5" s="3341"/>
      <c r="E5" s="12" t="s">
        <v>1716</v>
      </c>
      <c r="F5" s="2087"/>
      <c r="G5" s="2087"/>
      <c r="H5" s="2087"/>
      <c r="I5" s="2082"/>
      <c r="J5" s="2843"/>
    </row>
    <row r="6" spans="1:15" ht="12.75">
      <c r="A6" s="3338"/>
      <c r="B6" s="3338"/>
      <c r="C6" s="3345"/>
      <c r="D6" s="3341"/>
      <c r="E6" s="12" t="s">
        <v>1717</v>
      </c>
      <c r="F6" s="2087"/>
      <c r="G6" s="2087"/>
      <c r="H6" s="2087"/>
      <c r="I6" s="2082"/>
      <c r="J6" s="2843"/>
    </row>
    <row r="7" spans="1:15" ht="12.75">
      <c r="A7" s="3338"/>
      <c r="B7" s="3338"/>
      <c r="C7" s="3346"/>
      <c r="D7" s="3341"/>
      <c r="E7" s="12" t="s">
        <v>1718</v>
      </c>
      <c r="F7" s="2087"/>
      <c r="G7" s="2087"/>
      <c r="H7" s="2087"/>
      <c r="I7" s="2082"/>
      <c r="J7" s="2843"/>
    </row>
    <row r="8" spans="1:15" ht="12.75">
      <c r="A8" s="3338" t="s">
        <v>1719</v>
      </c>
      <c r="B8" s="3338">
        <v>15</v>
      </c>
      <c r="C8" s="3344"/>
      <c r="D8" s="3341"/>
      <c r="E8" s="12" t="s">
        <v>1720</v>
      </c>
      <c r="F8" s="2087"/>
      <c r="G8" s="2087"/>
      <c r="H8" s="2087"/>
      <c r="I8" s="2082"/>
      <c r="J8" s="2843"/>
    </row>
    <row r="9" spans="1:15" ht="12.75">
      <c r="A9" s="3338"/>
      <c r="B9" s="3338"/>
      <c r="C9" s="3346"/>
      <c r="D9" s="3341"/>
      <c r="E9" s="12" t="s">
        <v>1721</v>
      </c>
      <c r="F9" s="2087"/>
      <c r="G9" s="2087"/>
      <c r="H9" s="2087"/>
      <c r="I9" s="2082"/>
      <c r="J9" s="2843"/>
    </row>
    <row r="10" spans="1:15" ht="12.75">
      <c r="A10" s="3338" t="s">
        <v>1722</v>
      </c>
      <c r="B10" s="3338">
        <v>15</v>
      </c>
      <c r="C10" s="3344"/>
      <c r="D10" s="3341"/>
      <c r="E10" s="12" t="s">
        <v>1723</v>
      </c>
      <c r="F10" s="2087"/>
      <c r="G10" s="2087"/>
      <c r="H10" s="2087"/>
      <c r="I10" s="2082"/>
      <c r="J10" s="2843"/>
    </row>
    <row r="11" spans="1:15" ht="12.75">
      <c r="A11" s="3338"/>
      <c r="B11" s="3338"/>
      <c r="C11" s="3346"/>
      <c r="D11" s="3341"/>
      <c r="E11" s="12" t="s">
        <v>1724</v>
      </c>
      <c r="F11" s="2087"/>
      <c r="G11" s="2087"/>
      <c r="H11" s="2087"/>
      <c r="I11" s="2082"/>
      <c r="J11" s="2843"/>
    </row>
    <row r="12" spans="1:15" ht="12.75">
      <c r="A12" s="3338" t="s">
        <v>1725</v>
      </c>
      <c r="B12" s="3338">
        <v>15</v>
      </c>
      <c r="C12" s="3344"/>
      <c r="D12" s="3341"/>
      <c r="E12" s="12" t="s">
        <v>1726</v>
      </c>
      <c r="F12" s="2087"/>
      <c r="G12" s="2087"/>
      <c r="H12" s="2087"/>
      <c r="I12" s="2082"/>
      <c r="J12" s="2843"/>
    </row>
    <row r="13" spans="1:15" ht="12.75">
      <c r="A13" s="3338"/>
      <c r="B13" s="3338"/>
      <c r="C13" s="3346"/>
      <c r="D13" s="3341"/>
      <c r="E13" s="12" t="s">
        <v>1727</v>
      </c>
      <c r="F13" s="2087"/>
      <c r="G13" s="2087"/>
      <c r="H13" s="2087"/>
      <c r="I13" s="2082"/>
      <c r="J13" s="2843"/>
    </row>
    <row r="14" spans="1:15" ht="12.75">
      <c r="A14" s="3338" t="s">
        <v>1728</v>
      </c>
      <c r="B14" s="3338">
        <v>30</v>
      </c>
      <c r="C14" s="3344">
        <v>6</v>
      </c>
      <c r="D14" s="3341">
        <f>10-C14</f>
        <v>4</v>
      </c>
      <c r="E14" s="12" t="s">
        <v>1729</v>
      </c>
      <c r="F14" s="2087"/>
      <c r="G14" s="2087"/>
      <c r="H14" s="2087"/>
      <c r="I14" s="2082"/>
      <c r="J14" s="2843"/>
    </row>
    <row r="15" spans="1:15" ht="12.75">
      <c r="A15" s="3338"/>
      <c r="B15" s="3338"/>
      <c r="C15" s="3345"/>
      <c r="D15" s="3341"/>
      <c r="E15" s="12" t="s">
        <v>1730</v>
      </c>
      <c r="F15" s="2087"/>
      <c r="G15" s="2087"/>
      <c r="H15" s="2087"/>
      <c r="I15" s="2082"/>
      <c r="J15" s="2843"/>
    </row>
    <row r="16" spans="1:15" ht="12.75">
      <c r="A16" s="3338"/>
      <c r="B16" s="3338"/>
      <c r="C16" s="3346"/>
      <c r="D16" s="3341"/>
      <c r="E16" s="12" t="s">
        <v>1731</v>
      </c>
      <c r="F16" s="2087"/>
      <c r="G16" s="2087"/>
      <c r="H16" s="2087"/>
      <c r="I16" s="2082"/>
      <c r="J16" s="2843"/>
    </row>
    <row r="17" spans="1:36" ht="15">
      <c r="A17" s="2712" t="s">
        <v>1732</v>
      </c>
      <c r="B17" s="2092"/>
      <c r="C17" s="2713">
        <f>SUM(C5:C16)</f>
        <v>6</v>
      </c>
      <c r="D17" s="2713">
        <f>SUM(D5:D16)</f>
        <v>4</v>
      </c>
      <c r="E17" s="2561"/>
      <c r="F17" s="2561"/>
      <c r="G17" s="2561"/>
      <c r="H17" s="2561"/>
      <c r="I17" s="2561"/>
      <c r="J17" s="2844"/>
    </row>
    <row r="18" spans="1:36" ht="32.450000000000003" customHeight="1" thickBot="1">
      <c r="A18" s="2714" t="s">
        <v>1733</v>
      </c>
      <c r="B18" s="2715"/>
      <c r="C18" s="2716">
        <f>ROUND(C17/SUM(C17:D17),2)</f>
        <v>0.6</v>
      </c>
      <c r="D18" s="2716">
        <f>1-C18</f>
        <v>0.4</v>
      </c>
      <c r="E18" s="3358" t="s">
        <v>2816</v>
      </c>
      <c r="F18" s="3359"/>
      <c r="G18" s="3359"/>
      <c r="H18" s="3359"/>
      <c r="I18" s="3359"/>
      <c r="J18" s="2844"/>
      <c r="K18" s="657">
        <v>26000</v>
      </c>
      <c r="M18" s="657">
        <f>1800/857</f>
        <v>2.1003500583430572</v>
      </c>
    </row>
    <row r="19" spans="1:36" ht="15">
      <c r="A19" s="2717" t="s">
        <v>1734</v>
      </c>
      <c r="B19" s="2718" t="s">
        <v>1735</v>
      </c>
      <c r="C19" s="2719">
        <f ca="1">SUMIF(INDIRECT("'"&amp;C4&amp;"'"&amp;"!A:A"),'结果表 (1修多)'!B19,INDIRECT("'"&amp;C4&amp;"'"&amp;"!B:B"))</f>
        <v>4470</v>
      </c>
      <c r="D19" s="2720">
        <f ca="1">SUMIF(INDIRECT("'"&amp;D4&amp;"'"&amp;"!A:A"),'结果表 (1修多)'!B19,INDIRECT("'"&amp;D4&amp;"'"&amp;"!B:B"))</f>
        <v>2760</v>
      </c>
      <c r="E19" s="2717" t="s">
        <v>1736</v>
      </c>
      <c r="F19" s="2718" t="s">
        <v>1735</v>
      </c>
      <c r="G19" s="2721">
        <f ca="1">ROUND(C19*$C$18+D19*$D$18,0)</f>
        <v>3786</v>
      </c>
      <c r="H19" s="2722" t="str">
        <f>'数据-取费表'!B3</f>
        <v>万元</v>
      </c>
      <c r="I19" s="2561"/>
      <c r="J19" s="2844"/>
      <c r="K19" s="657">
        <f>K18*0.7</f>
        <v>18200</v>
      </c>
    </row>
    <row r="20" spans="1:36" ht="15">
      <c r="A20" s="2723"/>
      <c r="B20" s="1692" t="s">
        <v>1737</v>
      </c>
      <c r="C20" s="1917">
        <f ca="1">SUMIF(INDIRECT("'"&amp;C4&amp;"'"&amp;"!A:A"),'结果表 (1修多)'!B20,INDIRECT("'"&amp;C4&amp;"'"&amp;"!B:B"))</f>
        <v>26062</v>
      </c>
      <c r="D20" s="1920">
        <f ca="1">SUMIF(INDIRECT("'"&amp;D4&amp;"'"&amp;"!A:A"),'结果表 (1修多)'!B20,INDIRECT("'"&amp;D4&amp;"'"&amp;"!B:B"))</f>
        <v>16089</v>
      </c>
      <c r="E20" s="2723"/>
      <c r="F20" s="1692" t="s">
        <v>1737</v>
      </c>
      <c r="G20" s="2091">
        <f ca="1">ROUND(C20*$C$18+D20*$D$18,0)</f>
        <v>22073</v>
      </c>
      <c r="H20" s="2724" t="s">
        <v>1738</v>
      </c>
      <c r="I20" s="2561"/>
      <c r="J20" s="2844"/>
      <c r="K20" s="657">
        <f>(K18+K19)/2</f>
        <v>22100</v>
      </c>
    </row>
    <row r="21" spans="1:36" ht="15" customHeight="1" thickBot="1">
      <c r="A21" s="2725"/>
      <c r="B21" s="2726"/>
      <c r="C21" s="2726"/>
      <c r="D21" s="2727"/>
      <c r="E21" s="2725"/>
      <c r="F21" s="2726"/>
      <c r="G21" s="2728"/>
      <c r="H21" s="2729"/>
      <c r="I21" s="2561"/>
      <c r="J21" s="2844"/>
    </row>
    <row r="22" spans="1:36" ht="15" thickBot="1">
      <c r="A22" s="2730" t="s">
        <v>1739</v>
      </c>
      <c r="B22" s="2731"/>
      <c r="C22" s="2645"/>
      <c r="D22" s="2732">
        <f ca="1">IF(C19&lt;D19,D19/C19-1,C19/D19-1)</f>
        <v>0.61956521739130443</v>
      </c>
      <c r="E22" s="945"/>
      <c r="F22" s="945"/>
      <c r="G22" s="945"/>
      <c r="H22" s="945"/>
      <c r="I22" s="945"/>
      <c r="J22" s="2844"/>
    </row>
    <row r="23" spans="1:36" ht="13.5" thickBot="1">
      <c r="A23" s="2561"/>
      <c r="B23" s="2561"/>
      <c r="C23" s="2561"/>
      <c r="D23" s="2561"/>
      <c r="E23" s="945"/>
      <c r="F23" s="945"/>
      <c r="G23" s="945"/>
      <c r="H23" s="945"/>
      <c r="I23" s="945"/>
      <c r="J23" s="2844"/>
    </row>
    <row r="24" spans="1:36" ht="21.75" customHeight="1">
      <c r="A24" s="3347" t="s">
        <v>1740</v>
      </c>
      <c r="B24" s="2718" t="s">
        <v>1735</v>
      </c>
      <c r="C24" s="2721">
        <f>D30</f>
        <v>0</v>
      </c>
      <c r="D24" s="2673"/>
      <c r="E24" s="945"/>
      <c r="F24" s="945"/>
      <c r="G24" s="945"/>
      <c r="H24" s="945"/>
      <c r="I24" s="945"/>
      <c r="J24" s="2844"/>
    </row>
    <row r="25" spans="1:36" ht="21.75" customHeight="1">
      <c r="A25" s="3348"/>
      <c r="B25" s="1692" t="s">
        <v>1737</v>
      </c>
      <c r="C25" s="2733">
        <f>IF(B30=0,0,C30)</f>
        <v>0</v>
      </c>
      <c r="D25" s="2734"/>
      <c r="E25" s="945"/>
      <c r="F25" s="945"/>
      <c r="G25" s="945"/>
      <c r="H25" s="945"/>
      <c r="I25" s="945"/>
      <c r="J25" s="2844"/>
    </row>
    <row r="26" spans="1:36" ht="13.5" customHeight="1">
      <c r="A26" s="2735" t="s">
        <v>1741</v>
      </c>
      <c r="B26" s="2736" t="s">
        <v>1742</v>
      </c>
      <c r="C26" s="2736" t="s">
        <v>1743</v>
      </c>
      <c r="D26" s="2737" t="s">
        <v>1744</v>
      </c>
      <c r="E26" s="945"/>
      <c r="F26" s="945"/>
      <c r="G26" s="945"/>
      <c r="H26" s="945"/>
      <c r="I26" s="945"/>
      <c r="J26" s="2844"/>
    </row>
    <row r="27" spans="1:36" ht="14.25">
      <c r="A27" s="2738" t="s">
        <v>1885</v>
      </c>
      <c r="B27" s="2736">
        <v>0</v>
      </c>
      <c r="C27" s="2736">
        <v>0</v>
      </c>
      <c r="D27" s="2737">
        <f>ROUND(C27*B27/10000,0)</f>
        <v>0</v>
      </c>
      <c r="E27" s="945"/>
      <c r="F27" s="945"/>
      <c r="G27" s="945"/>
      <c r="H27" s="945"/>
      <c r="I27" s="945"/>
      <c r="J27" s="2844"/>
    </row>
    <row r="28" spans="1:36" ht="14.25">
      <c r="A28" s="2735"/>
      <c r="B28" s="2736"/>
      <c r="C28" s="2736"/>
      <c r="D28" s="2737">
        <f>ROUND(C28*B28/10000,0)</f>
        <v>0</v>
      </c>
      <c r="E28" s="945"/>
      <c r="F28" s="945"/>
      <c r="G28" s="945"/>
      <c r="H28" s="945"/>
      <c r="I28" s="945"/>
      <c r="J28" s="2844"/>
    </row>
    <row r="29" spans="1:36" ht="14.25">
      <c r="A29" s="2735"/>
      <c r="B29" s="2736"/>
      <c r="C29" s="2736"/>
      <c r="D29" s="2737">
        <f t="shared" ref="D29" si="0">ROUND(C29*B29/10000,0)</f>
        <v>0</v>
      </c>
      <c r="E29" s="945"/>
      <c r="F29" s="945"/>
      <c r="G29" s="945"/>
      <c r="H29" s="945"/>
      <c r="I29" s="945"/>
      <c r="J29" s="2844"/>
    </row>
    <row r="30" spans="1:36" ht="15" thickBot="1">
      <c r="A30" s="2771" t="s">
        <v>1886</v>
      </c>
      <c r="B30" s="2772"/>
      <c r="C30" s="2772"/>
      <c r="D30" s="2772"/>
      <c r="E30" s="2739" t="s">
        <v>2820</v>
      </c>
      <c r="F30" s="2561"/>
      <c r="G30" s="2561"/>
      <c r="H30" s="2561"/>
      <c r="I30" s="2561"/>
      <c r="J30" s="2844"/>
    </row>
    <row r="31" spans="1:36" s="2837" customFormat="1" ht="27.6" customHeight="1" thickTop="1" thickBot="1">
      <c r="A31" s="2832"/>
      <c r="B31" s="2833"/>
      <c r="C31" s="2833"/>
      <c r="D31" s="2833"/>
      <c r="E31" s="2833"/>
      <c r="F31" s="2833"/>
      <c r="G31" s="2833"/>
      <c r="H31" s="2833"/>
      <c r="I31" s="2834" t="s">
        <v>2821</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3" customFormat="1" ht="16.5" thickTop="1" thickBot="1">
      <c r="A32" s="3404" t="s">
        <v>1887</v>
      </c>
      <c r="B32" s="3404"/>
      <c r="C32" s="3404"/>
      <c r="D32" s="3404"/>
      <c r="E32" s="3404"/>
      <c r="F32" s="3404"/>
      <c r="G32" s="3404"/>
      <c r="H32" s="3404"/>
      <c r="I32" s="3404"/>
      <c r="J32" s="2873"/>
      <c r="K32" s="657"/>
      <c r="L32" s="657"/>
      <c r="M32" s="657"/>
      <c r="N32" s="657"/>
      <c r="O32" s="657"/>
      <c r="P32" s="657"/>
      <c r="Q32" s="657"/>
      <c r="R32" s="657"/>
      <c r="S32" s="657"/>
      <c r="T32" s="657"/>
      <c r="U32" s="657"/>
      <c r="V32" s="657"/>
      <c r="W32" s="657"/>
      <c r="X32" s="657"/>
      <c r="Y32" s="657"/>
      <c r="Z32" s="657"/>
      <c r="AA32" s="657"/>
      <c r="AB32" s="1306"/>
      <c r="AC32" s="1306"/>
      <c r="AD32" s="1306"/>
      <c r="AE32" s="1306"/>
      <c r="AF32" s="1306"/>
      <c r="AG32" s="1306"/>
      <c r="AH32" s="1306"/>
      <c r="AI32" s="1306"/>
      <c r="AJ32" s="1306"/>
    </row>
    <row r="33" spans="1:16" ht="15">
      <c r="A33" s="1509"/>
      <c r="B33" s="2773" t="s">
        <v>1888</v>
      </c>
      <c r="C33" s="2774">
        <f>典型户型修正!R27</f>
        <v>26062</v>
      </c>
      <c r="D33" s="2561" t="s">
        <v>1889</v>
      </c>
      <c r="E33" s="945"/>
      <c r="F33" s="945"/>
      <c r="G33" s="945"/>
      <c r="H33" s="945"/>
      <c r="I33" s="945"/>
      <c r="J33" s="2844"/>
    </row>
    <row r="34" spans="1:16" ht="15">
      <c r="A34" s="1510" t="s">
        <v>1890</v>
      </c>
      <c r="B34" s="2775" t="s">
        <v>1891</v>
      </c>
      <c r="C34" s="2776">
        <f>典型户型修正!B2</f>
        <v>1921</v>
      </c>
      <c r="D34" s="2777" t="str">
        <f>IF('数据-取费表'!B3="万元","万元","元")</f>
        <v>万元</v>
      </c>
      <c r="E34" s="945"/>
      <c r="F34" s="945"/>
      <c r="G34" s="945"/>
      <c r="H34" s="945"/>
      <c r="I34" s="945"/>
      <c r="J34" s="2844"/>
    </row>
    <row r="35" spans="1:16" ht="15.75" thickBot="1">
      <c r="A35" s="1511"/>
      <c r="B35" s="2778" t="s">
        <v>1892</v>
      </c>
      <c r="C35" s="2727">
        <f>典型户型修正!B3</f>
        <v>22157</v>
      </c>
      <c r="D35" s="2561" t="s">
        <v>1893</v>
      </c>
      <c r="E35" s="945"/>
      <c r="F35" s="945"/>
      <c r="G35" s="945"/>
      <c r="H35" s="945"/>
      <c r="I35" s="945"/>
      <c r="J35" s="2844"/>
    </row>
    <row r="36" spans="1:16" ht="15">
      <c r="A36" s="1512"/>
      <c r="B36" s="1466" t="s">
        <v>1894</v>
      </c>
      <c r="C36" s="2779">
        <f>IF('数据-取费表'!B3="万元",典型户型修正!V25,典型户型修正!U25)</f>
        <v>0</v>
      </c>
      <c r="D36" s="2561" t="str">
        <f>D34</f>
        <v>万元</v>
      </c>
      <c r="E36" s="945"/>
      <c r="F36" s="945"/>
      <c r="G36" s="945"/>
      <c r="H36" s="945"/>
      <c r="I36" s="945"/>
      <c r="J36" s="2844"/>
    </row>
    <row r="37" spans="1:16" ht="15.75" thickBot="1">
      <c r="A37" s="1465"/>
      <c r="B37" s="1467" t="s">
        <v>1895</v>
      </c>
      <c r="C37" s="2780">
        <f>IF('数据-取费表'!B3="万元",典型户型修正!Y25,典型户型修正!X25)</f>
        <v>0</v>
      </c>
      <c r="D37" s="2561" t="str">
        <f>D34</f>
        <v>万元</v>
      </c>
      <c r="E37" s="945"/>
      <c r="F37" s="945"/>
      <c r="G37" s="945"/>
      <c r="H37" s="945"/>
      <c r="I37" s="945"/>
      <c r="J37" s="2844"/>
    </row>
    <row r="38" spans="1:16" ht="15.75" thickBot="1">
      <c r="A38" s="3347" t="s">
        <v>1896</v>
      </c>
      <c r="B38" s="1466" t="s">
        <v>1897</v>
      </c>
      <c r="C38" s="2754"/>
      <c r="D38" s="2755" t="s">
        <v>2910</v>
      </c>
      <c r="E38" s="1678"/>
      <c r="F38" s="1678"/>
      <c r="G38" s="945"/>
      <c r="H38" s="945"/>
      <c r="I38" s="945"/>
      <c r="J38" s="2844"/>
    </row>
    <row r="39" spans="1:16" ht="15.75" thickBot="1">
      <c r="A39" s="3352"/>
      <c r="B39" s="2092" t="s">
        <v>1898</v>
      </c>
      <c r="C39" s="2756"/>
      <c r="D39" s="1309"/>
      <c r="E39" s="1309"/>
      <c r="F39" s="1678"/>
      <c r="G39" s="1309"/>
      <c r="H39" s="1309"/>
      <c r="I39" s="1309"/>
      <c r="J39" s="2848"/>
    </row>
    <row r="40" spans="1:16" ht="15.75" thickBot="1">
      <c r="A40" s="3353"/>
      <c r="B40" s="1467" t="s">
        <v>1899</v>
      </c>
      <c r="C40" s="2757"/>
      <c r="D40" s="2758" t="s">
        <v>1900</v>
      </c>
      <c r="E40" s="1309"/>
      <c r="F40" s="1678"/>
      <c r="G40" s="1309"/>
      <c r="H40" s="1309"/>
      <c r="I40" s="1309"/>
      <c r="J40" s="2848"/>
    </row>
    <row r="41" spans="1:16" ht="15">
      <c r="A41" s="2723" t="s">
        <v>1901</v>
      </c>
      <c r="B41" s="2759" t="s">
        <v>1902</v>
      </c>
      <c r="C41" s="2760" t="s">
        <v>1903</v>
      </c>
      <c r="D41" s="2760" t="s">
        <v>1904</v>
      </c>
      <c r="E41" s="2761" t="s">
        <v>1905</v>
      </c>
      <c r="F41" s="1678"/>
      <c r="G41" s="1309"/>
      <c r="H41" s="1309"/>
      <c r="I41" s="1309"/>
      <c r="J41" s="2848"/>
    </row>
    <row r="42" spans="1:16" ht="14.25">
      <c r="A42" s="2762" t="s">
        <v>1906</v>
      </c>
      <c r="B42" s="2763"/>
      <c r="C42" s="2764"/>
      <c r="D42" s="2764"/>
      <c r="E42" s="2765"/>
      <c r="F42" s="1678"/>
      <c r="G42" s="1309"/>
      <c r="H42" s="1309"/>
      <c r="I42" s="1309"/>
      <c r="J42" s="2848"/>
    </row>
    <row r="43" spans="1:16" ht="14.25">
      <c r="A43" s="2762" t="s">
        <v>1907</v>
      </c>
      <c r="B43" s="2763"/>
      <c r="C43" s="2764"/>
      <c r="D43" s="2764"/>
      <c r="E43" s="2765"/>
      <c r="F43" s="1678"/>
      <c r="G43" s="1309"/>
      <c r="H43" s="1309"/>
      <c r="I43" s="1309"/>
      <c r="J43" s="2848"/>
    </row>
    <row r="44" spans="1:16" ht="15" thickBot="1">
      <c r="A44" s="2766"/>
      <c r="B44" s="2767"/>
      <c r="C44" s="2768"/>
      <c r="D44" s="2768"/>
      <c r="E44" s="2753"/>
      <c r="F44" s="1678"/>
      <c r="G44" s="1309"/>
      <c r="H44" s="1309"/>
      <c r="I44" s="1309"/>
      <c r="J44" s="2848"/>
    </row>
    <row r="45" spans="1:16" ht="12.75">
      <c r="A45" s="1479"/>
      <c r="B45" s="1479"/>
      <c r="C45" s="1479"/>
      <c r="D45" s="1479"/>
      <c r="E45" s="1479"/>
      <c r="F45" s="1435"/>
      <c r="G45" s="1435"/>
      <c r="H45" s="1435"/>
      <c r="I45" s="2769"/>
      <c r="J45" s="2849"/>
    </row>
    <row r="46" spans="1:16" ht="18.75">
      <c r="A46" s="1469" t="s">
        <v>1908</v>
      </c>
      <c r="B46" s="1470"/>
      <c r="C46" s="1470"/>
      <c r="D46" s="2781"/>
      <c r="E46" s="2781"/>
      <c r="F46" s="2781"/>
      <c r="G46" s="2781"/>
      <c r="H46" s="2781"/>
      <c r="I46" s="2838" t="s">
        <v>2815</v>
      </c>
      <c r="J46" s="2874"/>
      <c r="K46" s="1473" t="s">
        <v>1763</v>
      </c>
      <c r="L46" s="1474"/>
      <c r="M46" s="1474"/>
      <c r="N46" s="1474"/>
      <c r="O46" s="1474"/>
      <c r="P46" s="1474"/>
    </row>
    <row r="47" spans="1:16" ht="14.25" customHeight="1" thickBot="1">
      <c r="A47" s="3272" t="s">
        <v>1909</v>
      </c>
      <c r="B47" s="3273"/>
      <c r="C47" s="3283"/>
      <c r="D47" s="246">
        <f>ROUND(I104*F47,0)</f>
        <v>1921</v>
      </c>
      <c r="E47" s="1540" t="s">
        <v>1910</v>
      </c>
      <c r="F47" s="2559">
        <v>1</v>
      </c>
      <c r="G47" s="2560" t="s">
        <v>1911</v>
      </c>
      <c r="H47" s="945"/>
      <c r="I47" s="945"/>
      <c r="J47" s="2844"/>
      <c r="K47" s="3377" t="s">
        <v>1767</v>
      </c>
      <c r="L47" s="3377"/>
      <c r="M47" s="3377"/>
      <c r="N47" s="3377"/>
      <c r="O47" s="3377"/>
      <c r="P47" s="3377"/>
    </row>
    <row r="48" spans="1:16" ht="14.25" customHeight="1">
      <c r="A48" s="3349" t="s">
        <v>1768</v>
      </c>
      <c r="B48" s="3350"/>
      <c r="C48" s="3350"/>
      <c r="D48" s="3350"/>
      <c r="E48" s="3350"/>
      <c r="F48" s="3350"/>
      <c r="G48" s="3351"/>
      <c r="H48" s="2976"/>
      <c r="I48" s="945"/>
      <c r="J48" s="2844"/>
      <c r="K48" s="2511">
        <v>1</v>
      </c>
      <c r="L48" s="3378" t="s">
        <v>1769</v>
      </c>
      <c r="M48" s="3378"/>
      <c r="N48" s="3379"/>
      <c r="O48" s="3379"/>
      <c r="P48" s="3379"/>
    </row>
    <row r="49" spans="1:17" ht="12" customHeight="1">
      <c r="A49" s="38" t="s">
        <v>1770</v>
      </c>
      <c r="B49" s="39"/>
      <c r="C49" s="40"/>
      <c r="D49" s="1097" t="s">
        <v>1771</v>
      </c>
      <c r="E49" s="235" t="s">
        <v>1772</v>
      </c>
      <c r="F49" s="41" t="s">
        <v>1773</v>
      </c>
      <c r="G49" s="2562" t="s">
        <v>1774</v>
      </c>
      <c r="H49" s="2976"/>
      <c r="I49" s="945"/>
      <c r="J49" s="2844"/>
      <c r="K49" s="2511">
        <v>2</v>
      </c>
      <c r="L49" s="3378" t="s">
        <v>1775</v>
      </c>
      <c r="M49" s="3378"/>
      <c r="N49" s="3381">
        <f>'数据-取费表'!B2</f>
        <v>44270</v>
      </c>
      <c r="O49" s="3381"/>
      <c r="P49" s="3381"/>
    </row>
    <row r="50" spans="1:17" ht="25.5">
      <c r="A50" s="3354" t="s">
        <v>1776</v>
      </c>
      <c r="B50" s="3288"/>
      <c r="C50" s="3288"/>
      <c r="D50" s="12">
        <f>IF(H50="情况1",0,IF(H50="情况2",D54,IF(H50="情况3",D55,IF(H50="情况4",D56))))</f>
        <v>101</v>
      </c>
      <c r="E50" s="2090" t="str">
        <f>IF(H50="情况4","(销售额-原购置价)×税（费）率","销售额×税（费）率")</f>
        <v>销售额×税（费）率</v>
      </c>
      <c r="F50" s="2563">
        <f>IF(H50="情况1","免征",'数据-取费表'!E29)</f>
        <v>5.5000000000000007E-2</v>
      </c>
      <c r="G50" s="2564" t="s">
        <v>1777</v>
      </c>
      <c r="H50" s="2565" t="s">
        <v>1778</v>
      </c>
      <c r="I50" s="2976"/>
      <c r="J50" s="2851"/>
      <c r="K50" s="2511">
        <v>3</v>
      </c>
      <c r="L50" s="3378" t="s">
        <v>1779</v>
      </c>
      <c r="M50" s="3378"/>
      <c r="N50" s="3383">
        <f>I104</f>
        <v>1921</v>
      </c>
      <c r="O50" s="3383"/>
      <c r="P50" s="3383"/>
    </row>
    <row r="51" spans="1:17" ht="25.5" customHeight="1">
      <c r="A51" s="2089" t="s">
        <v>1780</v>
      </c>
      <c r="B51" s="3327" t="s">
        <v>1781</v>
      </c>
      <c r="C51" s="3327"/>
      <c r="D51" s="2566">
        <v>0</v>
      </c>
      <c r="E51" s="261" t="s">
        <v>1782</v>
      </c>
      <c r="F51" s="2567" t="s">
        <v>48</v>
      </c>
      <c r="G51" s="3269"/>
      <c r="H51" s="2568" t="s">
        <v>2740</v>
      </c>
      <c r="I51" s="2569"/>
      <c r="J51" s="2852"/>
      <c r="K51" s="2511">
        <v>4</v>
      </c>
      <c r="L51" s="3378" t="str">
        <f>IF(项目基本情况!F5="房地产抵押价值","房地产抵押价值","抵押担保权已注销时的房地产抵押价值")</f>
        <v>抵押担保权已注销时的房地产抵押价值</v>
      </c>
      <c r="M51" s="3378"/>
      <c r="N51" s="3383" t="str">
        <f>IF(项目基本情况!F5="房地产抵押价值",I112,I114)</f>
        <v>——</v>
      </c>
      <c r="O51" s="3383"/>
      <c r="P51" s="3383"/>
    </row>
    <row r="52" spans="1:17" ht="25.5" customHeight="1">
      <c r="A52" s="2079"/>
      <c r="B52" s="3327" t="s">
        <v>1783</v>
      </c>
      <c r="C52" s="3327"/>
      <c r="D52" s="2570"/>
      <c r="E52" s="269"/>
      <c r="F52" s="2567"/>
      <c r="G52" s="3270"/>
      <c r="H52" s="2571" t="s">
        <v>2741</v>
      </c>
      <c r="I52" s="2569"/>
      <c r="J52" s="2852"/>
      <c r="K52" s="3378" t="s">
        <v>1784</v>
      </c>
      <c r="L52" s="3378"/>
      <c r="M52" s="3378"/>
      <c r="N52" s="3378"/>
      <c r="O52" s="3378"/>
      <c r="P52" s="3378"/>
    </row>
    <row r="53" spans="1:17" ht="20.45" customHeight="1">
      <c r="A53" s="2572"/>
      <c r="B53" s="3327" t="s">
        <v>1785</v>
      </c>
      <c r="C53" s="3327"/>
      <c r="D53" s="1097"/>
      <c r="E53" s="264"/>
      <c r="F53" s="2567"/>
      <c r="G53" s="3271"/>
      <c r="H53" s="2571" t="s">
        <v>2742</v>
      </c>
      <c r="I53" s="2569"/>
      <c r="J53" s="2852"/>
      <c r="K53" s="2512" t="s">
        <v>1786</v>
      </c>
      <c r="L53" s="3378" t="s">
        <v>1787</v>
      </c>
      <c r="M53" s="3378"/>
      <c r="N53" s="2512" t="s">
        <v>1788</v>
      </c>
      <c r="O53" s="2512" t="s">
        <v>1789</v>
      </c>
      <c r="P53" s="2512" t="s">
        <v>1790</v>
      </c>
    </row>
    <row r="54" spans="1:17" ht="24" customHeight="1">
      <c r="A54" s="2080" t="s">
        <v>1791</v>
      </c>
      <c r="B54" s="3327" t="s">
        <v>1792</v>
      </c>
      <c r="C54" s="3327"/>
      <c r="D54" s="1097">
        <f>ROUND(D47*'数据-取费表'!E29/(1+'数据-取费表'!F30),0)</f>
        <v>101</v>
      </c>
      <c r="E54" s="2090" t="s">
        <v>1793</v>
      </c>
      <c r="F54" s="2573">
        <f>'数据-取费表'!E29</f>
        <v>5.5000000000000007E-2</v>
      </c>
      <c r="G54" s="2574"/>
      <c r="H54" s="945"/>
      <c r="I54" s="2977"/>
      <c r="J54" s="2852"/>
      <c r="K54" s="2511">
        <v>1</v>
      </c>
      <c r="L54" s="3380" t="s">
        <v>1794</v>
      </c>
      <c r="M54" s="3380"/>
      <c r="N54" s="2513">
        <f>D50</f>
        <v>101</v>
      </c>
      <c r="O54" s="2511" t="str">
        <f>E50</f>
        <v>销售额×税（费）率</v>
      </c>
      <c r="P54" s="2514">
        <f>F50</f>
        <v>5.5000000000000007E-2</v>
      </c>
    </row>
    <row r="55" spans="1:17" ht="12" customHeight="1">
      <c r="A55" s="2080" t="s">
        <v>1795</v>
      </c>
      <c r="B55" s="3339" t="s">
        <v>2834</v>
      </c>
      <c r="C55" s="3328"/>
      <c r="D55" s="1097">
        <f>ROUND(D47*'数据-取费表'!E29/(1+'数据-取费表'!F30),0)</f>
        <v>101</v>
      </c>
      <c r="E55" s="2090" t="s">
        <v>1793</v>
      </c>
      <c r="F55" s="2573">
        <f>'数据-取费表'!E29</f>
        <v>5.5000000000000007E-2</v>
      </c>
      <c r="G55" s="2574"/>
      <c r="H55" s="945"/>
      <c r="I55" s="2977"/>
      <c r="J55" s="2852"/>
      <c r="K55" s="2511">
        <v>2</v>
      </c>
      <c r="L55" s="3380" t="s">
        <v>1796</v>
      </c>
      <c r="M55" s="3380"/>
      <c r="N55" s="2513">
        <f t="shared" ref="N55:P56" si="1">D57</f>
        <v>1</v>
      </c>
      <c r="O55" s="2511" t="str">
        <f t="shared" si="1"/>
        <v>销售额×税（费）率</v>
      </c>
      <c r="P55" s="2514">
        <f t="shared" si="1"/>
        <v>5.0000000000000001E-4</v>
      </c>
    </row>
    <row r="56" spans="1:17" ht="12" customHeight="1">
      <c r="A56" s="2080" t="s">
        <v>1797</v>
      </c>
      <c r="B56" s="3339" t="s">
        <v>2835</v>
      </c>
      <c r="C56" s="3328"/>
      <c r="D56" s="1097">
        <f>C70</f>
        <v>101</v>
      </c>
      <c r="E56" s="264" t="s">
        <v>1798</v>
      </c>
      <c r="F56" s="2573">
        <f>'数据-取费表'!E29</f>
        <v>5.5000000000000007E-2</v>
      </c>
      <c r="G56" s="2574"/>
      <c r="H56" s="2978"/>
      <c r="I56" s="2977"/>
      <c r="J56" s="2852"/>
      <c r="K56" s="2511">
        <v>3</v>
      </c>
      <c r="L56" s="3380" t="s">
        <v>1799</v>
      </c>
      <c r="M56" s="3380"/>
      <c r="N56" s="2513">
        <f t="shared" si="1"/>
        <v>1089</v>
      </c>
      <c r="O56" s="2511" t="str">
        <f t="shared" si="1"/>
        <v>增值额×税（费）率</v>
      </c>
      <c r="P56" s="2515" t="str">
        <f t="shared" si="1"/>
        <v>——</v>
      </c>
    </row>
    <row r="57" spans="1:17" ht="24" customHeight="1">
      <c r="A57" s="3292" t="s">
        <v>1800</v>
      </c>
      <c r="B57" s="3288"/>
      <c r="C57" s="3288"/>
      <c r="D57" s="12">
        <f>IF(H57="个人住宅",0,ROUND(D47*I57,0))</f>
        <v>1</v>
      </c>
      <c r="E57" s="2090" t="s">
        <v>1801</v>
      </c>
      <c r="F57" s="2573">
        <f>IF(H57="正常",I57,"免征")</f>
        <v>5.0000000000000001E-4</v>
      </c>
      <c r="G57" s="2574"/>
      <c r="H57" s="2565" t="s">
        <v>1802</v>
      </c>
      <c r="I57" s="74">
        <f>'数据-取费表'!E37</f>
        <v>5.0000000000000001E-4</v>
      </c>
      <c r="J57" s="2852"/>
      <c r="K57" s="2511">
        <f>IF(H61="非个人房产","",4)</f>
        <v>4</v>
      </c>
      <c r="L57" s="3380" t="str">
        <f>IF(H61="非个人房产","——","个人所得税")</f>
        <v>个人所得税</v>
      </c>
      <c r="M57" s="3380"/>
      <c r="N57" s="2516">
        <f>D61</f>
        <v>19</v>
      </c>
      <c r="O57" s="2517" t="str">
        <f>E61</f>
        <v>销售额×税（费）率</v>
      </c>
      <c r="P57" s="2518">
        <f>F61</f>
        <v>0.01</v>
      </c>
    </row>
    <row r="58" spans="1:17" ht="24.75">
      <c r="A58" s="3292" t="s">
        <v>1803</v>
      </c>
      <c r="B58" s="3288"/>
      <c r="C58" s="3288"/>
      <c r="D58" s="12">
        <f>IF(H58="个人住宅",D59,D60)</f>
        <v>1089</v>
      </c>
      <c r="E58" s="2090" t="s">
        <v>1804</v>
      </c>
      <c r="F58" s="2573" t="str">
        <f>IF(H58="正常",F60,"免征")</f>
        <v>——</v>
      </c>
      <c r="G58" s="2575" t="s">
        <v>1805</v>
      </c>
      <c r="H58" s="2576" t="s">
        <v>1802</v>
      </c>
      <c r="I58" s="2979"/>
      <c r="J58" s="2852"/>
      <c r="K58" s="2511" t="str">
        <f>IF(项目基本情况!I6="上海银行",IF(K57="",4,K57+1),"")</f>
        <v/>
      </c>
      <c r="L58" s="3384" t="str">
        <f>IF(项目基本情况!I6="上海银行","其他处置费用","")</f>
        <v/>
      </c>
      <c r="M58" s="3389"/>
      <c r="N58" s="2513" t="str">
        <f>IF(项目基本情况!I6="上海银行",N71,"")</f>
        <v/>
      </c>
      <c r="O58" s="3384" t="str">
        <f>IF(项目基本情况!I6="上海银行","包含处置中涉及的律师、诉讼、拍卖、评估等费用","")</f>
        <v/>
      </c>
      <c r="P58" s="3385"/>
    </row>
    <row r="59" spans="1:17" ht="12.75">
      <c r="A59" s="2080" t="s">
        <v>1780</v>
      </c>
      <c r="B59" s="3339" t="s">
        <v>1806</v>
      </c>
      <c r="C59" s="3328"/>
      <c r="D59" s="2566">
        <v>0</v>
      </c>
      <c r="E59" s="261" t="s">
        <v>1782</v>
      </c>
      <c r="F59" s="235"/>
      <c r="G59" s="2574"/>
      <c r="H59" s="2979"/>
      <c r="I59" s="2979"/>
      <c r="J59" s="2852"/>
      <c r="K59" s="3380">
        <f>IF(AND(K57="",K58=""),4,IF(项目基本情况!I6="上海银行",K58+1,K57+1))</f>
        <v>5</v>
      </c>
      <c r="L59" s="3380" t="s">
        <v>1807</v>
      </c>
      <c r="M59" s="2519" t="s">
        <v>1808</v>
      </c>
      <c r="N59" s="2520"/>
      <c r="O59" s="2521">
        <f>SUMIF(N54:N58,"&lt;9e307")</f>
        <v>1210</v>
      </c>
      <c r="P59" s="2522"/>
      <c r="Q59" s="1304" t="e">
        <f>O59/N51</f>
        <v>#VALUE!</v>
      </c>
    </row>
    <row r="60" spans="1:17" ht="24.75">
      <c r="A60" s="2080" t="s">
        <v>1791</v>
      </c>
      <c r="B60" s="3339" t="s">
        <v>1809</v>
      </c>
      <c r="C60" s="3327"/>
      <c r="D60" s="12">
        <f>IF(H60="转让取得",C83,C99)</f>
        <v>1089</v>
      </c>
      <c r="E60" s="2090" t="s">
        <v>1804</v>
      </c>
      <c r="F60" s="235" t="s">
        <v>48</v>
      </c>
      <c r="G60" s="2574"/>
      <c r="H60" s="2576" t="s">
        <v>1810</v>
      </c>
      <c r="I60" s="2979"/>
      <c r="J60" s="2852"/>
      <c r="K60" s="3380"/>
      <c r="L60" s="3380"/>
      <c r="M60" s="2519" t="s">
        <v>1811</v>
      </c>
      <c r="N60" s="2523"/>
      <c r="O60" s="2524" t="str">
        <f>IF(H19="元",NUMBERSTRING(INT(O59),2)&amp;"元整",NUMBERSTRING(INT(O59*10000),2)&amp;"元整")</f>
        <v>壹仟贰佰壹拾万元整</v>
      </c>
      <c r="P60" s="2525"/>
    </row>
    <row r="61" spans="1:17" ht="26.25" thickBot="1">
      <c r="A61" s="3355" t="s">
        <v>1812</v>
      </c>
      <c r="B61" s="3356"/>
      <c r="C61" s="3356"/>
      <c r="D61" s="69">
        <f>IF(H61="非个人房产","——",IF(H61="个人住宅（满五唯一有凭证）",0,IF(H61="个人其他（无凭证）",ROUND(D47*F61,0),ROUND(C69*F61,0))))</f>
        <v>19</v>
      </c>
      <c r="E61" s="2081"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2813</v>
      </c>
      <c r="H61" s="2094" t="s">
        <v>2739</v>
      </c>
      <c r="I61" s="2880" t="s">
        <v>2825</v>
      </c>
      <c r="J61" s="2852"/>
      <c r="K61" s="3386">
        <f>K59+1</f>
        <v>6</v>
      </c>
      <c r="L61" s="3380" t="s">
        <v>1813</v>
      </c>
      <c r="M61" s="2511" t="s">
        <v>1808</v>
      </c>
      <c r="N61" s="2526"/>
      <c r="O61" s="2527" t="e">
        <f>N51-O59</f>
        <v>#VALUE!</v>
      </c>
      <c r="P61" s="2528"/>
    </row>
    <row r="62" spans="1:17" ht="12" customHeight="1">
      <c r="A62" s="1455"/>
      <c r="B62" s="2561"/>
      <c r="C62" s="2561"/>
      <c r="D62" s="2561"/>
      <c r="E62" s="1455"/>
      <c r="F62" s="2979"/>
      <c r="G62" s="2979"/>
      <c r="H62" s="2974"/>
      <c r="I62" s="945"/>
      <c r="J62" s="2852"/>
      <c r="K62" s="3387"/>
      <c r="L62" s="3380"/>
      <c r="M62" s="2519" t="s">
        <v>1811</v>
      </c>
      <c r="N62" s="2523"/>
      <c r="O62" s="2524" t="e">
        <f>IF(H19="元",NUMBERSTRING(INT(O61),2)&amp;"元整",NUMBERSTRING(INT(O61*10000),2)&amp;"元整")</f>
        <v>#VALUE!</v>
      </c>
      <c r="P62" s="2525"/>
    </row>
    <row r="63" spans="1:17" ht="13.5" thickBot="1">
      <c r="A63" s="3388" t="s">
        <v>1814</v>
      </c>
      <c r="B63" s="3388"/>
      <c r="C63" s="3388"/>
      <c r="D63" s="3388"/>
      <c r="E63" s="3388"/>
      <c r="F63" s="2979"/>
      <c r="G63" s="2979"/>
      <c r="H63" s="2974"/>
      <c r="I63" s="945"/>
      <c r="J63" s="2844"/>
      <c r="K63" s="2511">
        <f>K61+1</f>
        <v>7</v>
      </c>
      <c r="L63" s="3380" t="s">
        <v>1815</v>
      </c>
      <c r="M63" s="3380"/>
      <c r="N63" s="2529"/>
      <c r="O63" s="2530" t="e">
        <f>IF(H19="元",ROUND(O61/项目基本情况!C12,0),ROUND(O61*10000/项目基本情况!C12,0))</f>
        <v>#VALUE!</v>
      </c>
      <c r="P63" s="2531"/>
    </row>
    <row r="64" spans="1:17" ht="12.75">
      <c r="A64" s="3306" t="s">
        <v>1816</v>
      </c>
      <c r="B64" s="3307"/>
      <c r="C64" s="1605"/>
      <c r="D64" s="1605" t="s">
        <v>1817</v>
      </c>
      <c r="E64" s="45" t="s">
        <v>1818</v>
      </c>
      <c r="F64" s="2979"/>
      <c r="G64" s="2979"/>
      <c r="H64" s="2974"/>
      <c r="I64" s="945"/>
      <c r="J64" s="2844"/>
      <c r="K64" s="1306"/>
      <c r="L64" s="1306"/>
      <c r="M64" s="1306"/>
      <c r="N64" s="1306"/>
      <c r="O64" s="1306"/>
    </row>
    <row r="65" spans="1:36" ht="12.75">
      <c r="A65" s="46">
        <v>1</v>
      </c>
      <c r="B65" s="47" t="s">
        <v>1819</v>
      </c>
      <c r="C65" s="2783">
        <f>ROUND((C66+C67)/(1+'数据-取费表'!F30),0)</f>
        <v>1830</v>
      </c>
      <c r="D65" s="47"/>
      <c r="E65" s="48"/>
      <c r="F65" s="2979"/>
      <c r="G65" s="2979"/>
      <c r="H65" s="2974"/>
      <c r="I65" s="945"/>
      <c r="J65" s="2844"/>
      <c r="K65" s="3376" t="s">
        <v>1820</v>
      </c>
      <c r="L65" s="1305" t="s">
        <v>1821</v>
      </c>
      <c r="M65" s="1305" t="e">
        <f>IF(N51&gt;10000,N51*0.5%,IF(AND(N51&gt;1000,N51&lt;=10000),N51*1%,IF(AND(N51&gt;100,N51&lt;=1000),N51*3%,IF(AND(N51&gt;10,N51&lt;=100),N51*5%,N51*8%))))</f>
        <v>#VALUE!</v>
      </c>
      <c r="N65" s="235" t="e">
        <f>ROUND(M65,1)</f>
        <v>#VALUE!</v>
      </c>
      <c r="O65" s="2532"/>
    </row>
    <row r="66" spans="1:36" ht="12.75">
      <c r="A66" s="49" t="s">
        <v>71</v>
      </c>
      <c r="B66" s="50" t="s">
        <v>1822</v>
      </c>
      <c r="C66" s="2784">
        <f>D47</f>
        <v>1921</v>
      </c>
      <c r="D66" s="50" t="s">
        <v>41</v>
      </c>
      <c r="E66" s="52"/>
      <c r="F66" s="2979"/>
      <c r="G66" s="2979"/>
      <c r="H66" s="2974"/>
      <c r="I66" s="945"/>
      <c r="J66" s="2844"/>
      <c r="K66" s="3376"/>
      <c r="L66" s="1305" t="s">
        <v>1823</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1824</v>
      </c>
    </row>
    <row r="67" spans="1:36" ht="12.75">
      <c r="A67" s="49" t="s">
        <v>72</v>
      </c>
      <c r="B67" s="50" t="s">
        <v>1825</v>
      </c>
      <c r="C67" s="2785"/>
      <c r="D67" s="50"/>
      <c r="E67" s="52"/>
      <c r="F67" s="2979"/>
      <c r="G67" s="2979"/>
      <c r="H67" s="2974"/>
      <c r="I67" s="945"/>
      <c r="J67" s="2844"/>
      <c r="K67" s="3376"/>
      <c r="L67" s="1305" t="s">
        <v>1826</v>
      </c>
      <c r="M67" s="1305" t="e">
        <f>IF(N51&gt;1000,N51*0.1%,IF(AND(N51&gt;500,N51&lt;=1000),N51*0.5%,IF(AND(N51&gt;50,N51&lt;=500),N51*1%,IF(AND(N51&gt;1,N51&lt;=50),N51*1.5%))))</f>
        <v>#VALUE!</v>
      </c>
      <c r="N67" s="235" t="e">
        <f t="shared" si="2"/>
        <v>#VALUE!</v>
      </c>
      <c r="O67" s="2532" t="s">
        <v>1824</v>
      </c>
    </row>
    <row r="68" spans="1:36" ht="12.75">
      <c r="A68" s="53" t="s">
        <v>47</v>
      </c>
      <c r="B68" s="54" t="s">
        <v>1827</v>
      </c>
      <c r="C68" s="2786"/>
      <c r="D68" s="54" t="s">
        <v>41</v>
      </c>
      <c r="E68" s="1314" t="s">
        <v>1828</v>
      </c>
      <c r="F68" s="2979"/>
      <c r="G68" s="2979"/>
      <c r="H68" s="2974"/>
      <c r="I68" s="945"/>
      <c r="J68" s="2844"/>
      <c r="K68" s="3376"/>
      <c r="L68" s="1305" t="s">
        <v>1829</v>
      </c>
      <c r="M68" s="1305" t="e">
        <f>N51*0.5%</f>
        <v>#VALUE!</v>
      </c>
      <c r="N68" s="235" t="e">
        <f>IF(M68&gt;0.5,0.5,ROUND(M68,0))</f>
        <v>#VALUE!</v>
      </c>
      <c r="O68" s="2532" t="s">
        <v>1830</v>
      </c>
    </row>
    <row r="69" spans="1:36" ht="12.75">
      <c r="A69" s="53" t="s">
        <v>42</v>
      </c>
      <c r="B69" s="54" t="s">
        <v>1831</v>
      </c>
      <c r="C69" s="2787">
        <f>C65-C68</f>
        <v>1830</v>
      </c>
      <c r="D69" s="50" t="s">
        <v>41</v>
      </c>
      <c r="E69" s="52"/>
      <c r="F69" s="2979"/>
      <c r="G69" s="2979"/>
      <c r="H69" s="2974"/>
      <c r="I69" s="945"/>
      <c r="J69" s="2844"/>
      <c r="K69" s="3376"/>
      <c r="L69" s="1305" t="s">
        <v>1832</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1833</v>
      </c>
      <c r="C70" s="2788">
        <f>IF(C69&lt;=0,0,ROUND(C69*D70,0))</f>
        <v>101</v>
      </c>
      <c r="D70" s="2240">
        <f>'数据-取费表'!E29</f>
        <v>5.5000000000000007E-2</v>
      </c>
      <c r="E70" s="57"/>
      <c r="F70" s="2979"/>
      <c r="G70" s="2979"/>
      <c r="H70" s="2974"/>
      <c r="I70" s="945"/>
      <c r="J70" s="2844"/>
      <c r="K70" s="3376"/>
      <c r="L70" s="1305" t="s">
        <v>1834</v>
      </c>
      <c r="M70" s="1305" t="e">
        <f>IF(N51&gt;10000,N51*0.5%,IF(AND(N51&gt;5000,N51&lt;=10000),N51*1%,IF(AND(N51&gt;1000,N51&lt;=5000),N51*2%,IF(AND(N51&gt;200,N51&lt;=1000),N51*3%,N51*5%))))</f>
        <v>#VALUE!</v>
      </c>
      <c r="N70" s="235" t="e">
        <f>ROUND(M70,1)</f>
        <v>#VALUE!</v>
      </c>
      <c r="O70" s="2532"/>
    </row>
    <row r="71" spans="1:36" s="1463" customFormat="1" ht="7.5" customHeight="1">
      <c r="A71" s="1475"/>
      <c r="B71" s="1476"/>
      <c r="C71" s="2789"/>
      <c r="D71" s="2283"/>
      <c r="E71" s="1479"/>
      <c r="F71" s="1455"/>
      <c r="G71" s="1455"/>
      <c r="H71" s="1479"/>
      <c r="I71" s="2561"/>
      <c r="J71" s="2844"/>
      <c r="K71" s="3376"/>
      <c r="L71" s="1305" t="s">
        <v>1835</v>
      </c>
      <c r="M71" s="1305"/>
      <c r="N71" s="235" t="e">
        <f>ROUND(SUM(N65:N70),0)</f>
        <v>#VALUE!</v>
      </c>
      <c r="O71" s="2533" t="e">
        <f>N71/N51</f>
        <v>#VALUE!</v>
      </c>
      <c r="P71" s="657"/>
      <c r="Q71" s="657"/>
      <c r="R71" s="657"/>
      <c r="S71" s="657"/>
      <c r="T71" s="657"/>
      <c r="U71" s="657"/>
      <c r="V71" s="657"/>
      <c r="W71" s="657"/>
      <c r="X71" s="657"/>
      <c r="Y71" s="657"/>
      <c r="Z71" s="657"/>
      <c r="AA71" s="657"/>
      <c r="AB71" s="1306"/>
      <c r="AC71" s="1306"/>
      <c r="AD71" s="1306"/>
      <c r="AE71" s="1306"/>
      <c r="AF71" s="1306"/>
      <c r="AG71" s="1306"/>
      <c r="AH71" s="1306"/>
      <c r="AI71" s="1306"/>
      <c r="AJ71" s="1306"/>
    </row>
    <row r="72" spans="1:36" s="1481" customFormat="1" ht="15" thickBot="1">
      <c r="A72" s="3393" t="s">
        <v>1836</v>
      </c>
      <c r="B72" s="3394"/>
      <c r="C72" s="3394"/>
      <c r="D72" s="3394"/>
      <c r="E72" s="3394"/>
      <c r="F72" s="3394"/>
      <c r="G72" s="3394"/>
      <c r="H72" s="3394"/>
      <c r="I72" s="1480"/>
      <c r="J72" s="2853"/>
      <c r="K72" s="974"/>
      <c r="L72" s="974"/>
      <c r="M72" s="974"/>
      <c r="N72" s="974"/>
      <c r="O72" s="974"/>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3306" t="s">
        <v>1816</v>
      </c>
      <c r="B73" s="3307"/>
      <c r="C73" s="1605"/>
      <c r="D73" s="1605" t="s">
        <v>1817</v>
      </c>
      <c r="E73" s="58" t="s">
        <v>1818</v>
      </c>
      <c r="F73" s="59"/>
      <c r="G73" s="59"/>
      <c r="H73" s="60"/>
      <c r="I73" s="2790"/>
      <c r="J73" s="2875"/>
      <c r="K73" s="974"/>
      <c r="L73" s="974"/>
      <c r="M73" s="974"/>
      <c r="N73" s="974"/>
      <c r="O73" s="974"/>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14.25">
      <c r="A74" s="61">
        <v>1</v>
      </c>
      <c r="B74" s="54" t="s">
        <v>1837</v>
      </c>
      <c r="C74" s="2787">
        <f>ROUND(D47/(1+'数据-取费表'!F30),0)</f>
        <v>1830</v>
      </c>
      <c r="D74" s="50" t="s">
        <v>41</v>
      </c>
      <c r="E74" s="2086"/>
      <c r="F74" s="2087"/>
      <c r="G74" s="2087"/>
      <c r="H74" s="62"/>
      <c r="I74" s="2790"/>
      <c r="J74" s="2875"/>
      <c r="K74" s="974"/>
      <c r="L74" s="974"/>
      <c r="M74" s="974"/>
      <c r="N74" s="974"/>
      <c r="O74" s="974"/>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63">
        <v>2</v>
      </c>
      <c r="B75" s="41" t="s">
        <v>1839</v>
      </c>
      <c r="C75" s="2787">
        <f>C76+C80</f>
        <v>9</v>
      </c>
      <c r="D75" s="50" t="s">
        <v>41</v>
      </c>
      <c r="E75" s="2086"/>
      <c r="F75" s="2087"/>
      <c r="G75" s="2087"/>
      <c r="H75" s="62"/>
      <c r="I75" s="2790"/>
      <c r="J75" s="2875"/>
      <c r="K75" s="974"/>
      <c r="L75" s="974"/>
      <c r="M75" s="974"/>
      <c r="N75" s="974"/>
      <c r="O75" s="974"/>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14.25">
      <c r="A76" s="49" t="s">
        <v>73</v>
      </c>
      <c r="B76" s="50" t="s">
        <v>1840</v>
      </c>
      <c r="C76" s="50">
        <f>ROUND(IF(G79="2016年5月1日后购买",C77/(1+'数据-取费表'!F30)+C78+C79,C77+C78+C79),0)</f>
        <v>0</v>
      </c>
      <c r="D76" s="50" t="s">
        <v>41</v>
      </c>
      <c r="E76" s="2086"/>
      <c r="F76" s="2087"/>
      <c r="G76" s="2087"/>
      <c r="H76" s="62"/>
      <c r="I76" s="2790"/>
      <c r="J76" s="2875"/>
      <c r="K76" s="974"/>
      <c r="L76" s="974"/>
      <c r="M76" s="974"/>
      <c r="N76" s="974"/>
      <c r="O76" s="974"/>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14.25">
      <c r="A77" s="49" t="s">
        <v>74</v>
      </c>
      <c r="B77" s="50" t="s">
        <v>1841</v>
      </c>
      <c r="C77" s="2266"/>
      <c r="D77" s="50" t="s">
        <v>41</v>
      </c>
      <c r="E77" s="64" t="s">
        <v>1842</v>
      </c>
      <c r="F77" s="2791" t="s">
        <v>1843</v>
      </c>
      <c r="G77" s="64" t="s">
        <v>1844</v>
      </c>
      <c r="H77" s="2792"/>
      <c r="I77" s="606"/>
      <c r="J77" s="2876"/>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75</v>
      </c>
      <c r="B78" s="65" t="s">
        <v>1845</v>
      </c>
      <c r="C78" s="50">
        <f>IF(F77="购房发票",ROUND(C77*H77*D78,0),0)</f>
        <v>0</v>
      </c>
      <c r="D78" s="2793">
        <v>0.05</v>
      </c>
      <c r="E78" s="3339" t="s">
        <v>1846</v>
      </c>
      <c r="F78" s="3327"/>
      <c r="G78" s="3327"/>
      <c r="H78" s="3340"/>
      <c r="I78" s="2790"/>
      <c r="J78" s="2875"/>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24.75" customHeight="1">
      <c r="A79" s="49" t="s">
        <v>76</v>
      </c>
      <c r="B79" s="50" t="s">
        <v>1847</v>
      </c>
      <c r="C79" s="50">
        <f>ROUND(IF(G79="个人住宅",0,IF(G79="2016年5月1日前购买",C77*D79,C77*D79/(1+'数据-取费表'!F30))),0)</f>
        <v>0</v>
      </c>
      <c r="D79" s="2794">
        <f>'数据-取费表'!E36+'数据-取费表'!E37</f>
        <v>3.0499999999999999E-2</v>
      </c>
      <c r="E79" s="12" t="s">
        <v>1848</v>
      </c>
      <c r="F79" s="2093"/>
      <c r="G79" s="1484" t="s">
        <v>1849</v>
      </c>
      <c r="H79" s="2088" t="str">
        <f>IF(G79="个人买卖住房","免征印花税"," ")</f>
        <v xml:space="preserve"> </v>
      </c>
      <c r="I79" s="2790"/>
      <c r="J79" s="2875"/>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75" customHeight="1">
      <c r="A80" s="49" t="s">
        <v>77</v>
      </c>
      <c r="B80" s="50" t="s">
        <v>1850</v>
      </c>
      <c r="C80" s="2795">
        <f>ROUND(D47*D80/(1+'数据-取费表'!F30),0)</f>
        <v>9</v>
      </c>
      <c r="D80" s="2796">
        <f>'数据-取费表'!E31</f>
        <v>5.000000000000001E-3</v>
      </c>
      <c r="E80" s="3275" t="s">
        <v>1851</v>
      </c>
      <c r="F80" s="3276"/>
      <c r="G80" s="3276"/>
      <c r="H80" s="3296"/>
      <c r="I80" s="607"/>
      <c r="J80" s="2877"/>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14.25">
      <c r="A81" s="53" t="s">
        <v>42</v>
      </c>
      <c r="B81" s="54" t="s">
        <v>1852</v>
      </c>
      <c r="C81" s="2787">
        <f>C74-C75</f>
        <v>1821</v>
      </c>
      <c r="D81" s="50" t="s">
        <v>41</v>
      </c>
      <c r="E81" s="2086"/>
      <c r="F81" s="2087"/>
      <c r="G81" s="2087"/>
      <c r="H81" s="62"/>
      <c r="I81" s="2790"/>
      <c r="J81" s="2875"/>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14.25">
      <c r="A82" s="53" t="s">
        <v>43</v>
      </c>
      <c r="B82" s="54" t="s">
        <v>1853</v>
      </c>
      <c r="C82" s="2797">
        <f>IF(C81&lt;=0,0,C81/C75)</f>
        <v>202.33333333333334</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87"/>
      <c r="G82" s="2087"/>
      <c r="H82" s="62"/>
      <c r="I82" s="2790"/>
      <c r="J82" s="2875"/>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55" t="s">
        <v>44</v>
      </c>
      <c r="B83" s="56" t="s">
        <v>1854</v>
      </c>
      <c r="C83" s="2798">
        <f>ROUND(IF(C81&lt;=0,0,IF(C82&gt;=200%,C81*60%-C75*35%,IF(C82&gt;=100%,C81*50%-C75*15%,IF(C82&gt;=50%,C81*40%-C75*5%,IF(C82&lt;50%,C81*30%,0))))),0)</f>
        <v>1089</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0"/>
      <c r="J83" s="2875"/>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7.5" customHeight="1">
      <c r="A84" s="606"/>
      <c r="B84" s="606"/>
      <c r="C84" s="606"/>
      <c r="D84" s="606"/>
      <c r="E84" s="606"/>
      <c r="F84" s="606"/>
      <c r="G84" s="606"/>
      <c r="H84" s="607"/>
      <c r="I84" s="607"/>
      <c r="J84" s="2877"/>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15" thickBot="1">
      <c r="A85" s="3393" t="s">
        <v>1855</v>
      </c>
      <c r="B85" s="3394"/>
      <c r="C85" s="3394"/>
      <c r="D85" s="3394"/>
      <c r="E85" s="3394"/>
      <c r="F85" s="3394"/>
      <c r="G85" s="3394"/>
      <c r="H85" s="3394"/>
      <c r="I85" s="606"/>
      <c r="J85" s="2876"/>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3306" t="s">
        <v>1816</v>
      </c>
      <c r="B86" s="3307"/>
      <c r="C86" s="1605"/>
      <c r="D86" s="1605" t="s">
        <v>1817</v>
      </c>
      <c r="E86" s="58" t="s">
        <v>1818</v>
      </c>
      <c r="F86" s="59"/>
      <c r="G86" s="59"/>
      <c r="H86" s="72"/>
      <c r="I86" s="606"/>
      <c r="J86" s="2876"/>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61">
        <v>1</v>
      </c>
      <c r="B87" s="54" t="s">
        <v>1837</v>
      </c>
      <c r="C87" s="2787">
        <f>ROUND(D47/(1+'数据-取费表'!F30),0)</f>
        <v>1830</v>
      </c>
      <c r="D87" s="50" t="s">
        <v>41</v>
      </c>
      <c r="E87" s="2086"/>
      <c r="F87" s="2087"/>
      <c r="G87" s="2087"/>
      <c r="H87" s="73"/>
      <c r="I87" s="606"/>
      <c r="J87" s="2876"/>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63">
        <v>2</v>
      </c>
      <c r="B88" s="41" t="s">
        <v>1839</v>
      </c>
      <c r="C88" s="2787">
        <f>IF(H90="仅含出让金",C89+C92+C93+C94+C95+C96,C89+C93+C94+C95+C96)</f>
        <v>9</v>
      </c>
      <c r="D88" s="2799"/>
      <c r="E88" s="2086"/>
      <c r="F88" s="2087"/>
      <c r="G88" s="2087"/>
      <c r="H88" s="73"/>
      <c r="I88" s="606"/>
      <c r="J88" s="2876"/>
      <c r="K88" s="974"/>
      <c r="L88" s="974"/>
      <c r="M88" s="974"/>
      <c r="N88" s="974"/>
      <c r="O88" s="974"/>
      <c r="P88" s="974"/>
      <c r="Q88" s="974"/>
      <c r="R88" s="974"/>
      <c r="S88" s="974"/>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73</v>
      </c>
      <c r="B89" s="50" t="s">
        <v>1856</v>
      </c>
      <c r="C89" s="2795">
        <f>C90+C91</f>
        <v>0</v>
      </c>
      <c r="D89" s="2796"/>
      <c r="E89" s="2083"/>
      <c r="F89" s="2084"/>
      <c r="G89" s="2084"/>
      <c r="H89" s="2085"/>
      <c r="I89" s="606"/>
      <c r="J89" s="2876"/>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14.25">
      <c r="A90" s="49" t="s">
        <v>74</v>
      </c>
      <c r="B90" s="50" t="s">
        <v>1857</v>
      </c>
      <c r="C90" s="2800"/>
      <c r="D90" s="2796"/>
      <c r="E90" s="74" t="s">
        <v>1858</v>
      </c>
      <c r="F90" s="2084"/>
      <c r="G90" s="75" t="s">
        <v>1859</v>
      </c>
      <c r="H90" s="1486"/>
      <c r="I90" s="606"/>
      <c r="J90" s="2876"/>
      <c r="K90" s="2971" t="s">
        <v>2817</v>
      </c>
      <c r="L90" s="1482"/>
      <c r="M90" s="1482"/>
      <c r="N90" s="1482"/>
      <c r="O90" s="1482"/>
      <c r="P90" s="1482"/>
      <c r="Q90" s="1482"/>
      <c r="R90" s="1482"/>
      <c r="S90" s="1482"/>
      <c r="T90" s="974"/>
      <c r="U90" s="974"/>
      <c r="V90" s="974"/>
      <c r="W90" s="974"/>
      <c r="X90" s="974"/>
      <c r="Y90" s="974"/>
      <c r="Z90" s="974"/>
      <c r="AA90" s="974"/>
      <c r="AB90" s="1482"/>
      <c r="AC90" s="1482"/>
      <c r="AD90" s="1482"/>
      <c r="AE90" s="1482"/>
      <c r="AF90" s="1482"/>
      <c r="AG90" s="1482"/>
      <c r="AH90" s="1482"/>
      <c r="AI90" s="1482"/>
      <c r="AJ90" s="1482"/>
    </row>
    <row r="91" spans="1:36" s="1481" customFormat="1" ht="14.25">
      <c r="A91" s="49" t="s">
        <v>75</v>
      </c>
      <c r="B91" s="50" t="s">
        <v>1847</v>
      </c>
      <c r="C91" s="2795">
        <f>ROUND(C90*D91,0)</f>
        <v>0</v>
      </c>
      <c r="D91" s="2796">
        <f>'数据-取费表'!E36+'数据-取费表'!E37</f>
        <v>3.0499999999999999E-2</v>
      </c>
      <c r="E91" s="74" t="s">
        <v>1860</v>
      </c>
      <c r="F91" s="2084"/>
      <c r="G91" s="2084"/>
      <c r="H91" s="2085"/>
      <c r="I91" s="606"/>
      <c r="J91" s="2876"/>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14.25">
      <c r="A92" s="49" t="s">
        <v>77</v>
      </c>
      <c r="B92" s="50" t="s">
        <v>1861</v>
      </c>
      <c r="C92" s="2800"/>
      <c r="D92" s="2796"/>
      <c r="E92" s="74" t="str">
        <f>IF(H90="-","土地取得成本中已包含该笔费用"," ")</f>
        <v xml:space="preserve"> </v>
      </c>
      <c r="F92" s="2084"/>
      <c r="G92" s="3315" t="s">
        <v>2734</v>
      </c>
      <c r="H92" s="3395"/>
      <c r="I92" s="606"/>
      <c r="J92" s="2876"/>
      <c r="K92" s="2971" t="s">
        <v>2818</v>
      </c>
      <c r="L92" s="1482"/>
      <c r="M92" s="1482"/>
      <c r="N92" s="1482"/>
      <c r="O92" s="1482"/>
      <c r="P92" s="1482"/>
      <c r="Q92" s="1482"/>
      <c r="R92" s="1482"/>
      <c r="S92" s="1482"/>
      <c r="T92" s="974"/>
      <c r="U92" s="974"/>
      <c r="V92" s="974"/>
      <c r="W92" s="974"/>
      <c r="X92" s="974"/>
      <c r="Y92" s="974"/>
      <c r="Z92" s="974"/>
      <c r="AA92" s="974"/>
      <c r="AB92" s="1482"/>
      <c r="AC92" s="1482"/>
      <c r="AD92" s="1482"/>
      <c r="AE92" s="1482"/>
      <c r="AF92" s="1482"/>
      <c r="AG92" s="1482"/>
      <c r="AH92" s="1482"/>
      <c r="AI92" s="1482"/>
      <c r="AJ92" s="1482"/>
    </row>
    <row r="93" spans="1:36" s="1481" customFormat="1" ht="30.75" customHeight="1">
      <c r="A93" s="49" t="s">
        <v>78</v>
      </c>
      <c r="B93" s="50" t="s">
        <v>1862</v>
      </c>
      <c r="C93" s="2795">
        <f>IF(H93="——",成本法!C33,I93)</f>
        <v>0</v>
      </c>
      <c r="D93" s="2796"/>
      <c r="E93" s="3275" t="s">
        <v>1863</v>
      </c>
      <c r="F93" s="3276"/>
      <c r="G93" s="3276"/>
      <c r="H93" s="1487" t="s">
        <v>1864</v>
      </c>
      <c r="I93" s="2801"/>
      <c r="J93" s="2878"/>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79</v>
      </c>
      <c r="B94" s="50" t="s">
        <v>1865</v>
      </c>
      <c r="C94" s="2795">
        <f>ROUND((C89+C92+C93)*D94,0)</f>
        <v>0</v>
      </c>
      <c r="D94" s="2796">
        <v>0.1</v>
      </c>
      <c r="E94" s="3275" t="s">
        <v>1866</v>
      </c>
      <c r="F94" s="3276"/>
      <c r="G94" s="3276"/>
      <c r="H94" s="3296"/>
      <c r="I94" s="606"/>
      <c r="J94" s="2876"/>
      <c r="K94" s="2972" t="s">
        <v>2819</v>
      </c>
      <c r="L94" s="1482"/>
      <c r="M94" s="1482"/>
      <c r="N94" s="1482"/>
      <c r="O94" s="1482"/>
      <c r="P94" s="1482"/>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25.5" customHeight="1">
      <c r="A95" s="49" t="s">
        <v>80</v>
      </c>
      <c r="B95" s="50" t="s">
        <v>1850</v>
      </c>
      <c r="C95" s="2795">
        <f>ROUND(D47*D95/(1+'数据-取费表'!F30),0)</f>
        <v>9</v>
      </c>
      <c r="D95" s="2796">
        <f>'数据-取费表'!E31</f>
        <v>5.000000000000001E-3</v>
      </c>
      <c r="E95" s="3275" t="s">
        <v>1851</v>
      </c>
      <c r="F95" s="3276"/>
      <c r="G95" s="3276"/>
      <c r="H95" s="3296"/>
      <c r="I95" s="606"/>
      <c r="J95" s="2876"/>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5.5" customHeight="1">
      <c r="A96" s="49" t="s">
        <v>81</v>
      </c>
      <c r="B96" s="50" t="s">
        <v>1867</v>
      </c>
      <c r="C96" s="2795">
        <f>ROUND((C89+C92+C93)*D96,0)</f>
        <v>0</v>
      </c>
      <c r="D96" s="2796">
        <v>0.2</v>
      </c>
      <c r="E96" s="3275" t="s">
        <v>1868</v>
      </c>
      <c r="F96" s="3276"/>
      <c r="G96" s="3276"/>
      <c r="H96" s="3296"/>
      <c r="I96" s="606"/>
      <c r="J96" s="2876"/>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14.25">
      <c r="A97" s="53" t="s">
        <v>42</v>
      </c>
      <c r="B97" s="54" t="s">
        <v>1852</v>
      </c>
      <c r="C97" s="2787">
        <f>ROUND(C87-C88,0)</f>
        <v>1821</v>
      </c>
      <c r="D97" s="50" t="s">
        <v>41</v>
      </c>
      <c r="E97" s="2086"/>
      <c r="F97" s="2087"/>
      <c r="G97" s="2087"/>
      <c r="H97" s="73"/>
      <c r="I97" s="606"/>
      <c r="J97" s="2876"/>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s="1481" customFormat="1" ht="14.25">
      <c r="A98" s="53" t="s">
        <v>43</v>
      </c>
      <c r="B98" s="54" t="s">
        <v>1853</v>
      </c>
      <c r="C98" s="2797">
        <f>IF(C97&lt;=0,0,C97/C88)</f>
        <v>202.33333333333334</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87"/>
      <c r="G98" s="2087"/>
      <c r="H98" s="73"/>
      <c r="I98" s="606"/>
      <c r="J98" s="2876"/>
      <c r="K98" s="974"/>
      <c r="L98" s="974"/>
      <c r="M98" s="974"/>
      <c r="N98" s="974"/>
      <c r="O98" s="974"/>
      <c r="P98" s="974"/>
      <c r="Q98" s="974"/>
      <c r="R98" s="974"/>
      <c r="S98" s="974"/>
      <c r="T98" s="974"/>
      <c r="U98" s="974"/>
      <c r="V98" s="974"/>
      <c r="W98" s="974"/>
      <c r="X98" s="974"/>
      <c r="Y98" s="974"/>
      <c r="Z98" s="974"/>
      <c r="AA98" s="974"/>
      <c r="AB98" s="1482"/>
      <c r="AC98" s="1482"/>
      <c r="AD98" s="1482"/>
      <c r="AE98" s="1482"/>
      <c r="AF98" s="1482"/>
      <c r="AG98" s="1482"/>
      <c r="AH98" s="1482"/>
      <c r="AI98" s="1482"/>
      <c r="AJ98" s="1482"/>
    </row>
    <row r="99" spans="1:36" s="1481" customFormat="1" ht="15" thickBot="1">
      <c r="A99" s="66" t="s">
        <v>44</v>
      </c>
      <c r="B99" s="56" t="s">
        <v>1854</v>
      </c>
      <c r="C99" s="67">
        <f>ROUND(IF(C97&lt;=0,0,IF(C98&gt;=200%,C97*60%-C88*35%,IF(C98&gt;=100%,C97*50%-C88*15%,IF(C98&gt;=50%,C97*40%-C88*5%,IF(C98&lt;50%,C97*30%,0))))),0)</f>
        <v>1089</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5"/>
      <c r="K99" s="974"/>
      <c r="L99" s="974"/>
      <c r="M99" s="974"/>
      <c r="N99" s="974"/>
      <c r="O99" s="974"/>
      <c r="P99" s="974"/>
      <c r="Q99" s="974"/>
      <c r="R99" s="974"/>
      <c r="S99" s="974"/>
      <c r="T99" s="974"/>
      <c r="U99" s="974"/>
      <c r="V99" s="974"/>
      <c r="W99" s="974"/>
      <c r="X99" s="974"/>
      <c r="Y99" s="974"/>
      <c r="Z99" s="974"/>
      <c r="AA99" s="974"/>
      <c r="AB99" s="1482"/>
      <c r="AC99" s="1482"/>
      <c r="AD99" s="1482"/>
      <c r="AE99" s="1482"/>
      <c r="AF99" s="1482"/>
      <c r="AG99" s="1482"/>
      <c r="AH99" s="1482"/>
      <c r="AI99" s="1482"/>
      <c r="AJ99" s="1482"/>
    </row>
    <row r="100" spans="1:36" ht="21.75" customHeight="1" thickBot="1">
      <c r="A100" s="1469" t="s">
        <v>1869</v>
      </c>
      <c r="B100" s="1459"/>
      <c r="C100" s="1459"/>
      <c r="D100" s="1459"/>
      <c r="E100" s="810"/>
      <c r="F100" s="810"/>
      <c r="G100" s="810"/>
      <c r="H100" s="1468"/>
      <c r="I100" s="1459"/>
    </row>
    <row r="101" spans="1:36" ht="15">
      <c r="A101" s="3293" t="s">
        <v>1870</v>
      </c>
      <c r="B101" s="3294"/>
      <c r="C101" s="3294"/>
      <c r="D101" s="3295"/>
      <c r="E101" s="1459"/>
      <c r="F101" s="3390" t="s">
        <v>2776</v>
      </c>
      <c r="G101" s="3391"/>
      <c r="H101" s="3391"/>
      <c r="I101" s="3392"/>
      <c r="J101" s="2879"/>
    </row>
    <row r="102" spans="1:36" ht="15">
      <c r="A102" s="3310" t="s">
        <v>1872</v>
      </c>
      <c r="B102" s="3311"/>
      <c r="C102" s="2802" t="str">
        <f>C4</f>
        <v>比较法-商业</v>
      </c>
      <c r="D102" s="2803" t="str">
        <f>D4</f>
        <v>收益法</v>
      </c>
      <c r="E102" s="1459"/>
      <c r="F102" s="3312" t="s">
        <v>2777</v>
      </c>
      <c r="G102" s="3314"/>
      <c r="H102" s="3325" t="s">
        <v>2778</v>
      </c>
      <c r="I102" s="3313"/>
      <c r="J102" s="2859"/>
    </row>
    <row r="103" spans="1:36" ht="12.75">
      <c r="A103" s="3396" t="s">
        <v>2772</v>
      </c>
      <c r="B103" s="2305" t="str">
        <f>IF(H19="元","总价（元）","总价（万元）")</f>
        <v>总价（万元）</v>
      </c>
      <c r="C103" s="1305">
        <f ca="1">C19</f>
        <v>4470</v>
      </c>
      <c r="D103" s="2806">
        <f ca="1">D19</f>
        <v>2760</v>
      </c>
      <c r="E103" s="1459"/>
      <c r="F103" s="3397"/>
      <c r="G103" s="3398"/>
      <c r="H103" s="3316">
        <f>典型户型修正!B25</f>
        <v>867</v>
      </c>
      <c r="I103" s="3313"/>
      <c r="J103" s="2859"/>
    </row>
    <row r="104" spans="1:36" ht="12.75">
      <c r="A104" s="3396"/>
      <c r="B104" s="2305" t="s">
        <v>2773</v>
      </c>
      <c r="C104" s="2807">
        <f ca="1">C20</f>
        <v>26062</v>
      </c>
      <c r="D104" s="2808">
        <f ca="1">D20</f>
        <v>16089</v>
      </c>
      <c r="E104" s="1459"/>
      <c r="F104" s="3299" t="s">
        <v>2779</v>
      </c>
      <c r="G104" s="3300"/>
      <c r="H104" s="2816" t="str">
        <f>C110</f>
        <v>总价（万元）</v>
      </c>
      <c r="I104" s="2817">
        <f>H125</f>
        <v>1921</v>
      </c>
      <c r="J104" s="2859"/>
    </row>
    <row r="105" spans="1:36" ht="12.75">
      <c r="A105" s="3396" t="s">
        <v>2774</v>
      </c>
      <c r="B105" s="2243" t="str">
        <f>B103</f>
        <v>总价（万元）</v>
      </c>
      <c r="C105" s="12">
        <f ca="1">ROUND(IF('数据-取费表'!B4="总价",G19,IF(H19="元",G20*'数据-取费表'!E5,G20*'数据-取费表'!E5/10000)),0)</f>
        <v>3786</v>
      </c>
      <c r="D105" s="2809"/>
      <c r="E105" s="1459"/>
      <c r="F105" s="3299"/>
      <c r="G105" s="3300"/>
      <c r="H105" s="2816" t="s">
        <v>2780</v>
      </c>
      <c r="I105" s="52">
        <f>I125</f>
        <v>22157</v>
      </c>
      <c r="J105" s="2843"/>
    </row>
    <row r="106" spans="1:36" ht="12.75">
      <c r="A106" s="3396"/>
      <c r="B106" s="2305" t="s">
        <v>2773</v>
      </c>
      <c r="C106" s="1479">
        <f ca="1">ROUND(IF('数据-取费表'!B4="楼面单价",G20,IF(H19="元",G19/'数据-取费表'!E5,G19*10000/'数据-取费表'!E5)),0)</f>
        <v>87336</v>
      </c>
      <c r="D106" s="2809"/>
      <c r="E106" s="1459"/>
      <c r="F106" s="3299"/>
      <c r="G106" s="3300"/>
      <c r="H106" s="3331"/>
      <c r="I106" s="3332"/>
      <c r="J106" s="2860"/>
    </row>
    <row r="107" spans="1:36" ht="12.75">
      <c r="A107" s="3403" t="s">
        <v>2775</v>
      </c>
      <c r="B107" s="2810" t="str">
        <f>B103</f>
        <v>总价（万元）</v>
      </c>
      <c r="C107" s="2811">
        <f>H125</f>
        <v>1921</v>
      </c>
      <c r="D107" s="2812"/>
      <c r="E107" s="1459"/>
      <c r="F107" s="3335" t="s">
        <v>2781</v>
      </c>
      <c r="G107" s="3336"/>
      <c r="H107" s="2818" t="str">
        <f>C112</f>
        <v>总额（万元）</v>
      </c>
      <c r="I107" s="2817">
        <f>SUMIF(I108:I110,"&lt;9E307")</f>
        <v>0</v>
      </c>
      <c r="J107" s="2859"/>
    </row>
    <row r="108" spans="1:36" ht="15" thickBot="1">
      <c r="A108" s="3330"/>
      <c r="B108" s="2813" t="s">
        <v>2773</v>
      </c>
      <c r="C108" s="2814">
        <f>I125</f>
        <v>22157</v>
      </c>
      <c r="D108" s="2815"/>
      <c r="E108" s="1459"/>
      <c r="F108" s="3301" t="s">
        <v>2782</v>
      </c>
      <c r="G108" s="3302"/>
      <c r="H108" s="2818" t="str">
        <f>C113</f>
        <v>总额（万元）</v>
      </c>
      <c r="I108" s="2819">
        <f>IF(D38="同一抵押权人同一抵押物续贷",C38&amp;"（续贷，未扣减，详见特别提示）",C38)</f>
        <v>0</v>
      </c>
      <c r="J108" s="2843"/>
      <c r="L108" s="1462" t="str">
        <f>IF(D125=0,"本次评估不存在"&amp;A125&amp;"。","本次评估"&amp;A125&amp;"为"&amp;D125&amp;"元人民币。")</f>
        <v>本次评估不存在北京市房地产。</v>
      </c>
      <c r="M108" s="1459"/>
      <c r="N108" s="1459"/>
      <c r="O108" s="1459"/>
      <c r="P108" s="1459"/>
      <c r="Q108" s="1459"/>
    </row>
    <row r="109" spans="1:36" ht="15">
      <c r="A109" s="3399" t="s">
        <v>1873</v>
      </c>
      <c r="B109" s="3400"/>
      <c r="C109" s="3400"/>
      <c r="D109" s="3401"/>
      <c r="E109" s="1459"/>
      <c r="F109" s="3301" t="s">
        <v>2783</v>
      </c>
      <c r="G109" s="3302"/>
      <c r="H109" s="2818" t="str">
        <f>C114</f>
        <v>总额（万元）</v>
      </c>
      <c r="I109" s="52">
        <f>C39</f>
        <v>0</v>
      </c>
      <c r="J109" s="2843"/>
    </row>
    <row r="110" spans="1:36" ht="12.75">
      <c r="A110" s="3299" t="s">
        <v>2786</v>
      </c>
      <c r="B110" s="3300"/>
      <c r="C110" s="2816" t="str">
        <f>B103</f>
        <v>总价（万元）</v>
      </c>
      <c r="D110" s="2817">
        <f>H125</f>
        <v>1921</v>
      </c>
      <c r="E110" s="1459"/>
      <c r="F110" s="3301" t="s">
        <v>2784</v>
      </c>
      <c r="G110" s="3302"/>
      <c r="H110" s="2818" t="str">
        <f>C115</f>
        <v>总额（万元）</v>
      </c>
      <c r="I110" s="52">
        <f>C40</f>
        <v>0</v>
      </c>
      <c r="J110" s="2843"/>
    </row>
    <row r="111" spans="1:36" ht="12.75">
      <c r="A111" s="3299"/>
      <c r="B111" s="3300"/>
      <c r="C111" s="2816" t="s">
        <v>2787</v>
      </c>
      <c r="D111" s="52">
        <f>I125</f>
        <v>22157</v>
      </c>
      <c r="E111" s="1459"/>
      <c r="F111" s="3299"/>
      <c r="G111" s="3300"/>
      <c r="H111" s="3333"/>
      <c r="I111" s="3334"/>
      <c r="J111" s="2861"/>
    </row>
    <row r="112" spans="1:36" ht="28.5" customHeight="1">
      <c r="A112" s="3370" t="s">
        <v>2781</v>
      </c>
      <c r="B112" s="3371"/>
      <c r="C112" s="2818" t="str">
        <f>IF(H19="元","总额（元）","总额（万元）")</f>
        <v>总额（万元）</v>
      </c>
      <c r="D112" s="2817">
        <f>IF(D38="正常操作",I108+I109+I110,I109+I110)</f>
        <v>0</v>
      </c>
      <c r="E112" s="1459"/>
      <c r="F112" s="3282" t="str">
        <f>IF(项目基本情况!F5="已注销","——","3.房地产抵押价值")</f>
        <v>3.房地产抵押价值</v>
      </c>
      <c r="G112" s="3283"/>
      <c r="H112" s="1479" t="str">
        <f>C116</f>
        <v>总价（万元）</v>
      </c>
      <c r="I112" s="2817">
        <f>IF(F112="——","——",I104-I107)</f>
        <v>1921</v>
      </c>
      <c r="J112" s="2859"/>
    </row>
    <row r="113" spans="1:27" ht="12.75">
      <c r="A113" s="3301" t="s">
        <v>2788</v>
      </c>
      <c r="B113" s="3302"/>
      <c r="C113" s="2818" t="str">
        <f>C112</f>
        <v>总额（万元）</v>
      </c>
      <c r="D113" s="52">
        <f>IF(D38="同一抵押权人同一抵押物续贷",C38&amp;"（未扣减，详见特别提示）",C38)</f>
        <v>0</v>
      </c>
      <c r="E113" s="1459"/>
      <c r="F113" s="3284"/>
      <c r="G113" s="3285"/>
      <c r="H113" s="2816" t="s">
        <v>2780</v>
      </c>
      <c r="I113" s="2820">
        <f>D117</f>
        <v>22157</v>
      </c>
      <c r="J113" s="2862"/>
    </row>
    <row r="114" spans="1:27" ht="12.75">
      <c r="A114" s="3301" t="s">
        <v>2789</v>
      </c>
      <c r="B114" s="3302"/>
      <c r="C114" s="2818" t="str">
        <f>C112</f>
        <v>总额（万元）</v>
      </c>
      <c r="D114" s="52">
        <f>C39</f>
        <v>0</v>
      </c>
      <c r="E114" s="1459"/>
      <c r="F114" s="3282" t="str">
        <f>IF(项目基本情况!F5="已注销及未注销","4.抵押担保权已注销时的房地产抵押价值",IF(项目基本情况!F5="已注销","3.抵押担保权已注销时的房地产抵押价值","——"))</f>
        <v>——</v>
      </c>
      <c r="G114" s="3283"/>
      <c r="H114" s="1479" t="str">
        <f>C118</f>
        <v>总价（万元）</v>
      </c>
      <c r="I114" s="2817" t="str">
        <f>IF(F114="——","——",I104-I109-I110)</f>
        <v>——</v>
      </c>
      <c r="J114" s="2859"/>
    </row>
    <row r="115" spans="1:27" ht="12.75">
      <c r="A115" s="3301" t="s">
        <v>2790</v>
      </c>
      <c r="B115" s="3302"/>
      <c r="C115" s="2818" t="str">
        <f>C112</f>
        <v>总额（万元）</v>
      </c>
      <c r="D115" s="52">
        <f>C40</f>
        <v>0</v>
      </c>
      <c r="E115" s="1459"/>
      <c r="F115" s="3284"/>
      <c r="G115" s="3285"/>
      <c r="H115" s="2816" t="s">
        <v>2780</v>
      </c>
      <c r="I115" s="52" t="str">
        <f>D119</f>
        <v>——</v>
      </c>
      <c r="J115" s="2843"/>
    </row>
    <row r="116" spans="1:27" ht="12.75">
      <c r="A116" s="3299" t="str">
        <f>IF(项目基本情况!F5="已注销","——","3.房地产抵押价值")</f>
        <v>3.房地产抵押价值</v>
      </c>
      <c r="B116" s="3300"/>
      <c r="C116" s="2816" t="str">
        <f>B103</f>
        <v>总价（万元）</v>
      </c>
      <c r="D116" s="2817">
        <f>IF(A116="——","——",D110-D112)</f>
        <v>1921</v>
      </c>
      <c r="E116" s="1459"/>
      <c r="F116" s="3282" t="str">
        <f>IF(项目基本情况!G5="抵押净值",IF(OR(项目基本情况!F5="已注销",项目基本情况!F5="房地产抵押价值"),"4.抵押净值","5.抵押净值"),"——")</f>
        <v>——</v>
      </c>
      <c r="G116" s="3283"/>
      <c r="H116" s="2816" t="str">
        <f>C120</f>
        <v>总价（万元）</v>
      </c>
      <c r="I116" s="2817" t="str">
        <f>IF(F116="——","——",O61)</f>
        <v>——</v>
      </c>
      <c r="J116" s="2859"/>
    </row>
    <row r="117" spans="1:27" ht="13.5" thickBot="1">
      <c r="A117" s="3299"/>
      <c r="B117" s="3300"/>
      <c r="C117" s="2816" t="s">
        <v>2787</v>
      </c>
      <c r="D117" s="52">
        <f>ROUND(IF(D116=D110,D111,IF(H19="元",D116/B125,D116*10000/B125)),0)</f>
        <v>22157</v>
      </c>
      <c r="E117" s="1459"/>
      <c r="F117" s="3362"/>
      <c r="G117" s="3363"/>
      <c r="H117" s="2821" t="s">
        <v>2780</v>
      </c>
      <c r="I117" s="2805" t="str">
        <f>D121</f>
        <v>——</v>
      </c>
      <c r="J117" s="2843"/>
    </row>
    <row r="118" spans="1:27" ht="15.75">
      <c r="A118" s="3299" t="str">
        <f>IF(项目基本情况!F5="已注销及未注销","4.抵押担保权已注销时的房地产抵押价值",IF(项目基本情况!F5="已注销","3.抵押担保权已注销时的房地产抵押价值","——"))</f>
        <v>——</v>
      </c>
      <c r="B118" s="3300"/>
      <c r="C118" s="2816" t="str">
        <f>B103</f>
        <v>总价（万元）</v>
      </c>
      <c r="D118" s="2817" t="str">
        <f>IF(A118="——","——",D110-D114-D115)</f>
        <v>——</v>
      </c>
      <c r="E118" s="1459"/>
      <c r="F118" s="3277"/>
      <c r="G118" s="3277"/>
      <c r="H118" s="3318"/>
      <c r="I118" s="3318"/>
      <c r="J118" s="2863"/>
      <c r="O118" s="32"/>
      <c r="P118" s="32"/>
    </row>
    <row r="119" spans="1:27" s="1306" customFormat="1" ht="12.75">
      <c r="A119" s="3299"/>
      <c r="B119" s="3300"/>
      <c r="C119" s="2816" t="s">
        <v>2787</v>
      </c>
      <c r="D119" s="52" t="str">
        <f>IF(A118="——","——",IF(H19="元",ROUND(D118/B125,0),ROUND(D118*10000/B125,0)))</f>
        <v>——</v>
      </c>
      <c r="E119" s="1459"/>
      <c r="F119" s="3402" t="str">
        <f>IF(B33="总价","（以上估价结果中楼面单价为总价除以建筑面积得出）","（以上估价结果中总价为楼面单价乘以建筑面积得出）")</f>
        <v>（以上估价结果中总价为楼面单价乘以建筑面积得出）</v>
      </c>
      <c r="G119" s="3402"/>
      <c r="H119" s="3402"/>
      <c r="I119" s="3402"/>
      <c r="J119" s="2864"/>
      <c r="K119" s="657"/>
      <c r="L119" s="657"/>
      <c r="M119" s="657"/>
      <c r="N119" s="657"/>
      <c r="O119" s="32"/>
      <c r="P119" s="32"/>
      <c r="Q119" s="657"/>
      <c r="R119" s="657"/>
      <c r="S119" s="657"/>
      <c r="T119" s="657"/>
      <c r="U119" s="657"/>
      <c r="V119" s="657"/>
      <c r="W119" s="657"/>
      <c r="X119" s="657"/>
      <c r="Y119" s="657"/>
      <c r="Z119" s="657"/>
      <c r="AA119" s="657"/>
    </row>
    <row r="120" spans="1:27" s="1306" customFormat="1" ht="12.75">
      <c r="A120" s="3299" t="str">
        <f>IF(项目基本情况!G5="抵押净值",IF(OR(项目基本情况!F5="已注销",项目基本情况!F5="房地产抵押价值"),"4.抵押净值","5.抵押净值"),"——")</f>
        <v>——</v>
      </c>
      <c r="B120" s="3300"/>
      <c r="C120" s="2816" t="str">
        <f>B103</f>
        <v>总价（万元）</v>
      </c>
      <c r="D120" s="2817" t="str">
        <f>IF(A120="——","——",O61)</f>
        <v>——</v>
      </c>
      <c r="E120" s="1459"/>
      <c r="F120" s="1513"/>
      <c r="G120" s="1513"/>
      <c r="H120" s="1513"/>
      <c r="I120" s="1513"/>
      <c r="J120" s="2864"/>
      <c r="K120" s="657"/>
      <c r="L120" s="657"/>
      <c r="M120" s="657"/>
      <c r="N120" s="657"/>
      <c r="O120" s="32"/>
      <c r="P120" s="32"/>
      <c r="Q120" s="657"/>
      <c r="R120" s="657"/>
      <c r="S120" s="657"/>
      <c r="T120" s="657"/>
      <c r="U120" s="657"/>
      <c r="V120" s="657"/>
      <c r="W120" s="657"/>
      <c r="X120" s="657"/>
      <c r="Y120" s="657"/>
      <c r="Z120" s="657"/>
      <c r="AA120" s="657"/>
    </row>
    <row r="121" spans="1:27" s="1306" customFormat="1" ht="13.5" thickBot="1">
      <c r="A121" s="3368"/>
      <c r="B121" s="3369"/>
      <c r="C121" s="2821" t="s">
        <v>2787</v>
      </c>
      <c r="D121" s="2805" t="str">
        <f>IF(D120=D110,D111,IF(A120="——","——",O63))</f>
        <v>——</v>
      </c>
      <c r="E121" s="1459"/>
      <c r="F121" s="1513"/>
      <c r="G121" s="1513"/>
      <c r="H121" s="1513"/>
      <c r="I121" s="1513"/>
      <c r="J121" s="2864"/>
      <c r="K121" s="657"/>
      <c r="L121" s="657"/>
      <c r="M121" s="657"/>
      <c r="N121" s="657"/>
      <c r="O121" s="32"/>
      <c r="P121" s="32"/>
      <c r="Q121" s="657"/>
      <c r="R121" s="657"/>
      <c r="S121" s="657"/>
      <c r="T121" s="657"/>
      <c r="U121" s="657"/>
      <c r="V121" s="657"/>
      <c r="W121" s="657"/>
      <c r="X121" s="657"/>
      <c r="Y121" s="657"/>
      <c r="Z121" s="657"/>
      <c r="AA121" s="657"/>
    </row>
    <row r="122" spans="1:27" s="1306" customFormat="1" ht="15">
      <c r="A122" s="3319" t="s">
        <v>1912</v>
      </c>
      <c r="B122" s="3320"/>
      <c r="C122" s="3320"/>
      <c r="D122" s="3320"/>
      <c r="E122" s="3320"/>
      <c r="F122" s="3320"/>
      <c r="G122" s="3320"/>
      <c r="H122" s="3320"/>
      <c r="I122" s="3320"/>
      <c r="J122" s="2865"/>
      <c r="K122" s="657"/>
      <c r="L122" s="657"/>
      <c r="M122" s="657"/>
      <c r="N122" s="657"/>
      <c r="O122" s="657"/>
      <c r="P122" s="657"/>
      <c r="Q122" s="657"/>
      <c r="R122" s="657"/>
      <c r="S122" s="657"/>
      <c r="T122" s="657"/>
      <c r="U122" s="657"/>
      <c r="V122" s="657"/>
      <c r="W122" s="657"/>
      <c r="X122" s="657"/>
      <c r="Y122" s="657"/>
      <c r="Z122" s="657"/>
      <c r="AA122" s="657"/>
    </row>
    <row r="123" spans="1:27" s="1306" customFormat="1" ht="12.75">
      <c r="A123" s="3292" t="s">
        <v>2791</v>
      </c>
      <c r="B123" s="3290" t="s">
        <v>2792</v>
      </c>
      <c r="C123" s="3290" t="s">
        <v>2798</v>
      </c>
      <c r="D123" s="3297" t="s">
        <v>2793</v>
      </c>
      <c r="E123" s="3298"/>
      <c r="F123" s="3288" t="s">
        <v>2799</v>
      </c>
      <c r="G123" s="3288"/>
      <c r="H123" s="3288" t="s">
        <v>2794</v>
      </c>
      <c r="I123" s="3289"/>
      <c r="J123" s="2843"/>
      <c r="K123" s="657"/>
      <c r="L123" s="657"/>
      <c r="M123" s="657"/>
      <c r="N123" s="657"/>
      <c r="O123" s="657"/>
      <c r="P123" s="657"/>
      <c r="Q123" s="657"/>
      <c r="R123" s="657"/>
      <c r="S123" s="657"/>
      <c r="T123" s="657"/>
      <c r="U123" s="657"/>
      <c r="V123" s="657"/>
      <c r="W123" s="657"/>
      <c r="X123" s="657"/>
      <c r="Y123" s="657"/>
      <c r="Z123" s="657"/>
      <c r="AA123" s="657"/>
    </row>
    <row r="124" spans="1:27" s="1306" customFormat="1" ht="12.75">
      <c r="A124" s="3292"/>
      <c r="B124" s="3291"/>
      <c r="C124" s="3291"/>
      <c r="D124" s="2090" t="s">
        <v>2795</v>
      </c>
      <c r="E124" s="2090" t="s">
        <v>2800</v>
      </c>
      <c r="F124" s="2090" t="s">
        <v>2795</v>
      </c>
      <c r="G124" s="2090" t="s">
        <v>2796</v>
      </c>
      <c r="H124" s="2090" t="s">
        <v>2795</v>
      </c>
      <c r="I124" s="52" t="s">
        <v>2796</v>
      </c>
      <c r="J124" s="2843"/>
      <c r="K124" s="657"/>
      <c r="L124" s="657"/>
      <c r="M124" s="657"/>
      <c r="N124" s="657"/>
      <c r="O124" s="657"/>
      <c r="P124" s="657"/>
      <c r="Q124" s="657"/>
      <c r="R124" s="657"/>
      <c r="S124" s="657"/>
      <c r="T124" s="657"/>
      <c r="U124" s="657"/>
      <c r="V124" s="657"/>
      <c r="W124" s="657"/>
      <c r="X124" s="657"/>
      <c r="Y124" s="657"/>
      <c r="Z124" s="657"/>
      <c r="AA124" s="657"/>
    </row>
    <row r="125" spans="1:27" s="1306" customFormat="1" ht="12.75">
      <c r="A125" s="2080" t="str">
        <f>项目基本情况!I1</f>
        <v>北京市房地产</v>
      </c>
      <c r="B125" s="2090">
        <f>典型户型修正!B25</f>
        <v>867</v>
      </c>
      <c r="C125" s="1454"/>
      <c r="D125" s="2090">
        <f>C36</f>
        <v>0</v>
      </c>
      <c r="E125" s="2090">
        <f>ROUND(IF(H19="元",D125/B125,D125*10000/B125),0)</f>
        <v>0</v>
      </c>
      <c r="F125" s="2090">
        <f>C37</f>
        <v>0</v>
      </c>
      <c r="G125" s="2090">
        <f>ROUND(IF(H19="元",F125/B125,F125*10000/B125),0)</f>
        <v>0</v>
      </c>
      <c r="H125" s="2090">
        <f>C34</f>
        <v>1921</v>
      </c>
      <c r="I125" s="52">
        <f>C35</f>
        <v>22157</v>
      </c>
      <c r="J125" s="2843"/>
      <c r="K125" s="657"/>
      <c r="L125" s="657"/>
      <c r="M125" s="657"/>
      <c r="N125" s="657"/>
      <c r="O125" s="657"/>
      <c r="P125" s="657"/>
      <c r="Q125" s="657"/>
      <c r="R125" s="657"/>
      <c r="S125" s="657"/>
      <c r="T125" s="657"/>
      <c r="U125" s="657"/>
      <c r="V125" s="657"/>
      <c r="W125" s="657"/>
      <c r="X125" s="657"/>
      <c r="Y125" s="657"/>
      <c r="Z125" s="657"/>
      <c r="AA125" s="657"/>
    </row>
    <row r="126" spans="1:27" s="1306" customFormat="1" ht="12.75">
      <c r="A126" s="3292" t="s">
        <v>2797</v>
      </c>
      <c r="B126" s="3288"/>
      <c r="C126" s="3288"/>
      <c r="D126" s="3323" t="str">
        <f>IF(H19="元",NUMBERSTRING(INT(D125),2)&amp;"元整",NUMBERSTRING(INT(D125*10000),2)&amp;"元整")</f>
        <v>零元整</v>
      </c>
      <c r="E126" s="3324"/>
      <c r="F126" s="3323" t="str">
        <f>IF(H19="元",NUMBERSTRING(INT(F125),2)&amp;"元整",NUMBERSTRING(INT(F125*10000),2)&amp;"元整")</f>
        <v>零元整</v>
      </c>
      <c r="G126" s="3324"/>
      <c r="H126" s="3323" t="str">
        <f>IF(H19="元",NUMBERSTRING(INT(H125),2)&amp;"元整",NUMBERSTRING(INT(H125*10000),2)&amp;"元整")</f>
        <v>壹仟玖佰贰拾壹万元整</v>
      </c>
      <c r="I126" s="3372"/>
      <c r="J126" s="2866"/>
      <c r="K126" s="657"/>
      <c r="L126" s="657"/>
      <c r="M126" s="657"/>
      <c r="N126" s="657"/>
      <c r="O126" s="657"/>
      <c r="P126" s="657"/>
      <c r="Q126" s="657"/>
      <c r="R126" s="657"/>
      <c r="S126" s="657"/>
      <c r="T126" s="657"/>
      <c r="U126" s="657"/>
      <c r="V126" s="657"/>
      <c r="W126" s="657"/>
      <c r="X126" s="657"/>
      <c r="Y126" s="657"/>
      <c r="Z126" s="657"/>
      <c r="AA126" s="657"/>
    </row>
    <row r="127" spans="1:27" s="1306" customFormat="1" ht="12.75">
      <c r="A127" s="3312" t="str">
        <f>IF(项目基本情况!D5="房地产市场价值","——",MID(A112,3,LEN(A112)-2))</f>
        <v>估价师所知悉的法定优先受偿款</v>
      </c>
      <c r="B127" s="3325"/>
      <c r="C127" s="3314"/>
      <c r="D127" s="3316">
        <f>I107</f>
        <v>0</v>
      </c>
      <c r="E127" s="3325"/>
      <c r="F127" s="3325"/>
      <c r="G127" s="3325"/>
      <c r="H127" s="3325"/>
      <c r="I127" s="3313"/>
      <c r="J127" s="2859"/>
      <c r="K127" s="657"/>
      <c r="L127" s="657"/>
      <c r="M127" s="657"/>
      <c r="N127" s="657"/>
      <c r="O127" s="657"/>
      <c r="P127" s="657"/>
      <c r="Q127" s="657"/>
      <c r="R127" s="657"/>
      <c r="S127" s="657"/>
      <c r="T127" s="657"/>
      <c r="U127" s="657"/>
      <c r="V127" s="657"/>
      <c r="W127" s="657"/>
      <c r="X127" s="657"/>
      <c r="Y127" s="657"/>
      <c r="Z127" s="657"/>
      <c r="AA127" s="657"/>
    </row>
    <row r="128" spans="1:27" s="1306" customFormat="1" ht="12.75">
      <c r="A128" s="3326" t="s">
        <v>2797</v>
      </c>
      <c r="B128" s="3327"/>
      <c r="C128" s="3328"/>
      <c r="D128" s="3364">
        <f>H111</f>
        <v>0</v>
      </c>
      <c r="E128" s="3365"/>
      <c r="F128" s="3365"/>
      <c r="G128" s="3365"/>
      <c r="H128" s="3365"/>
      <c r="I128" s="3366"/>
      <c r="J128" s="2867"/>
      <c r="K128" s="657"/>
      <c r="L128" s="657"/>
      <c r="M128" s="657"/>
      <c r="N128" s="657"/>
      <c r="O128" s="657"/>
      <c r="P128" s="657"/>
      <c r="Q128" s="657"/>
      <c r="R128" s="657"/>
      <c r="S128" s="657"/>
      <c r="T128" s="657"/>
      <c r="U128" s="657"/>
      <c r="V128" s="657"/>
      <c r="W128" s="657"/>
      <c r="X128" s="657"/>
      <c r="Y128" s="657"/>
      <c r="Z128" s="657"/>
      <c r="AA128" s="657"/>
    </row>
    <row r="129" spans="1:27" s="1306" customFormat="1" ht="12.75">
      <c r="A129" s="3299" t="str">
        <f>IF(项目基本情况!D5="房地产市场价值","——",MID(A116,3,LEN(A116)-2))</f>
        <v>房地产抵押价值</v>
      </c>
      <c r="B129" s="3300"/>
      <c r="C129" s="3300"/>
      <c r="D129" s="3316">
        <f>I112</f>
        <v>1921</v>
      </c>
      <c r="E129" s="3325"/>
      <c r="F129" s="3325"/>
      <c r="G129" s="3325"/>
      <c r="H129" s="3325"/>
      <c r="I129" s="3313"/>
      <c r="J129" s="2859"/>
      <c r="K129" s="657"/>
      <c r="L129" s="657"/>
      <c r="M129" s="657"/>
      <c r="N129" s="657"/>
      <c r="O129" s="657"/>
      <c r="P129" s="657"/>
      <c r="Q129" s="657"/>
      <c r="R129" s="657"/>
      <c r="S129" s="657"/>
      <c r="T129" s="657"/>
      <c r="U129" s="657"/>
      <c r="V129" s="657"/>
      <c r="W129" s="657"/>
      <c r="X129" s="657"/>
      <c r="Y129" s="657"/>
      <c r="Z129" s="657"/>
      <c r="AA129" s="657"/>
    </row>
    <row r="130" spans="1:27" s="1306" customFormat="1" ht="12.75">
      <c r="A130" s="3292" t="s">
        <v>2797</v>
      </c>
      <c r="B130" s="3288"/>
      <c r="C130" s="3288"/>
      <c r="D130" s="3364">
        <f>I113</f>
        <v>22157</v>
      </c>
      <c r="E130" s="3365"/>
      <c r="F130" s="3365"/>
      <c r="G130" s="3365"/>
      <c r="H130" s="3365"/>
      <c r="I130" s="3366"/>
      <c r="J130" s="2867"/>
      <c r="K130" s="657"/>
      <c r="L130" s="657"/>
      <c r="M130" s="657"/>
      <c r="N130" s="657"/>
      <c r="O130" s="657"/>
      <c r="P130" s="657"/>
      <c r="Q130" s="657"/>
      <c r="R130" s="657"/>
      <c r="S130" s="657"/>
      <c r="T130" s="657"/>
      <c r="U130" s="657"/>
      <c r="V130" s="657"/>
      <c r="W130" s="657"/>
      <c r="X130" s="657"/>
      <c r="Y130" s="657"/>
      <c r="Z130" s="657"/>
      <c r="AA130" s="657"/>
    </row>
    <row r="131" spans="1:27" s="1306" customFormat="1" ht="13.5" thickBot="1">
      <c r="A131" s="3299" t="str">
        <f>IF(项目基本情况!D5="房地产市场价值","——",MID(A118,3,LEN(A118)-2))</f>
        <v/>
      </c>
      <c r="B131" s="3300"/>
      <c r="C131" s="3300"/>
      <c r="D131" s="3272" t="str">
        <f>I114</f>
        <v>——</v>
      </c>
      <c r="E131" s="3273"/>
      <c r="F131" s="3273"/>
      <c r="G131" s="3273"/>
      <c r="H131" s="3273"/>
      <c r="I131" s="3274"/>
      <c r="J131" s="2859"/>
      <c r="K131" s="657"/>
      <c r="L131" s="657"/>
      <c r="M131" s="657"/>
      <c r="N131" s="657"/>
      <c r="O131" s="657"/>
      <c r="P131" s="657"/>
      <c r="Q131" s="657"/>
      <c r="R131" s="657"/>
      <c r="S131" s="657"/>
      <c r="T131" s="657"/>
      <c r="U131" s="657"/>
      <c r="V131" s="657"/>
      <c r="W131" s="657"/>
      <c r="X131" s="657"/>
      <c r="Y131" s="657"/>
      <c r="Z131" s="657"/>
      <c r="AA131" s="657"/>
    </row>
    <row r="132" spans="1:27" s="1306" customFormat="1" ht="14.25" thickTop="1" thickBot="1">
      <c r="A132" s="3292" t="s">
        <v>2797</v>
      </c>
      <c r="B132" s="3288"/>
      <c r="C132" s="3339"/>
      <c r="D132" s="3317" t="str">
        <f>I115</f>
        <v>——</v>
      </c>
      <c r="E132" s="3317"/>
      <c r="F132" s="3317"/>
      <c r="G132" s="3317"/>
      <c r="H132" s="3317"/>
      <c r="I132" s="3317"/>
      <c r="J132" s="2867"/>
      <c r="K132" s="657"/>
      <c r="L132" s="657"/>
      <c r="M132" s="657"/>
      <c r="N132" s="657"/>
      <c r="O132" s="657"/>
      <c r="P132" s="657"/>
      <c r="Q132" s="657"/>
      <c r="R132" s="657"/>
      <c r="S132" s="657"/>
      <c r="T132" s="657"/>
      <c r="U132" s="657"/>
      <c r="V132" s="657"/>
      <c r="W132" s="657"/>
      <c r="X132" s="657"/>
      <c r="Y132" s="657"/>
      <c r="Z132" s="657"/>
      <c r="AA132" s="657"/>
    </row>
    <row r="133" spans="1:27" s="1306" customFormat="1" ht="14.25" thickTop="1" thickBot="1">
      <c r="A133" s="3299" t="str">
        <f>IF(项目基本情况!D5="房地产市场价值","——",MID(F116,3,LEN(F116)-2))</f>
        <v/>
      </c>
      <c r="B133" s="3300"/>
      <c r="C133" s="3316"/>
      <c r="D133" s="3367" t="str">
        <f>I116</f>
        <v>——</v>
      </c>
      <c r="E133" s="3367"/>
      <c r="F133" s="3367"/>
      <c r="G133" s="3367"/>
      <c r="H133" s="3367"/>
      <c r="I133" s="3367"/>
      <c r="J133" s="2859"/>
      <c r="K133" s="657"/>
      <c r="L133" s="657"/>
      <c r="M133" s="657"/>
      <c r="N133" s="657"/>
      <c r="O133" s="657"/>
      <c r="P133" s="657"/>
      <c r="Q133" s="657"/>
      <c r="R133" s="657"/>
      <c r="S133" s="657"/>
      <c r="T133" s="657"/>
      <c r="U133" s="657"/>
      <c r="V133" s="657"/>
      <c r="W133" s="657"/>
      <c r="X133" s="657"/>
      <c r="Y133" s="657"/>
      <c r="Z133" s="657"/>
      <c r="AA133" s="657"/>
    </row>
    <row r="134" spans="1:27" s="1306" customFormat="1" ht="14.25" thickTop="1" thickBot="1">
      <c r="A134" s="3355" t="s">
        <v>2797</v>
      </c>
      <c r="B134" s="3356"/>
      <c r="C134" s="3356"/>
      <c r="D134" s="3373">
        <f>H118</f>
        <v>0</v>
      </c>
      <c r="E134" s="3374"/>
      <c r="F134" s="3374"/>
      <c r="G134" s="3374"/>
      <c r="H134" s="3374"/>
      <c r="I134" s="3375"/>
      <c r="J134" s="2867"/>
      <c r="K134" s="657"/>
      <c r="L134" s="657"/>
      <c r="M134" s="657"/>
      <c r="N134" s="657"/>
      <c r="O134" s="657"/>
      <c r="P134" s="657"/>
      <c r="Q134" s="657"/>
      <c r="R134" s="657"/>
      <c r="S134" s="657"/>
      <c r="T134" s="657"/>
      <c r="U134" s="657"/>
      <c r="V134" s="657"/>
      <c r="W134" s="657"/>
      <c r="X134" s="657"/>
      <c r="Y134" s="657"/>
      <c r="Z134" s="657"/>
      <c r="AA134" s="657"/>
    </row>
    <row r="135" spans="1:27" s="1306"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8"/>
      <c r="K135" s="657"/>
      <c r="L135" s="657"/>
      <c r="M135" s="657"/>
      <c r="N135" s="657"/>
      <c r="O135" s="657"/>
      <c r="P135" s="657"/>
      <c r="Q135" s="657"/>
      <c r="R135" s="657"/>
      <c r="S135" s="657"/>
      <c r="T135" s="657"/>
      <c r="U135" s="657"/>
      <c r="V135" s="657"/>
      <c r="W135" s="657"/>
      <c r="X135" s="657"/>
      <c r="Y135" s="657"/>
      <c r="Z135" s="657"/>
      <c r="AA135" s="657"/>
    </row>
    <row r="136" spans="1:27" s="1306" customFormat="1" ht="13.5" thickBot="1">
      <c r="A136" s="3360" t="str">
        <f>IF(B33="总价","（以上估价结果中楼面单价为总价除以建筑面积得出）","（以上估价结果中总价为楼面单价乘以建筑面积得出）")</f>
        <v>（以上估价结果中总价为楼面单价乘以建筑面积得出）</v>
      </c>
      <c r="B136" s="3360"/>
      <c r="C136" s="3360"/>
      <c r="D136" s="3360"/>
      <c r="E136" s="3360"/>
      <c r="F136" s="3360"/>
      <c r="G136" s="3360"/>
      <c r="H136" s="3360"/>
      <c r="I136" s="3360"/>
      <c r="J136" s="2861"/>
      <c r="K136" s="657"/>
      <c r="L136" s="657"/>
      <c r="M136" s="657"/>
      <c r="N136" s="657"/>
      <c r="O136" s="657"/>
      <c r="P136" s="657"/>
      <c r="Q136" s="657"/>
      <c r="R136" s="657"/>
      <c r="S136" s="657"/>
      <c r="T136" s="657"/>
      <c r="U136" s="657"/>
      <c r="V136" s="657"/>
      <c r="W136" s="657"/>
      <c r="X136" s="657"/>
      <c r="Y136" s="657"/>
      <c r="Z136" s="657"/>
      <c r="AA136" s="657"/>
    </row>
    <row r="137" spans="1:27" s="1306" customFormat="1" ht="21.75" customHeight="1">
      <c r="A137" s="1489" t="s">
        <v>1875</v>
      </c>
      <c r="B137" s="1490"/>
      <c r="C137" s="1491" t="s">
        <v>1876</v>
      </c>
      <c r="D137" s="1492"/>
      <c r="E137" s="1492"/>
      <c r="F137" s="1492"/>
      <c r="G137" s="1492"/>
      <c r="H137" s="1493"/>
      <c r="I137" s="1494"/>
      <c r="J137" s="2869"/>
      <c r="K137" s="657"/>
      <c r="L137" s="657"/>
      <c r="M137" s="657"/>
      <c r="N137" s="657"/>
      <c r="O137" s="657"/>
      <c r="P137" s="657"/>
      <c r="Q137" s="657"/>
      <c r="R137" s="657"/>
      <c r="S137" s="657"/>
      <c r="T137" s="657"/>
      <c r="U137" s="657"/>
      <c r="V137" s="657"/>
      <c r="W137" s="657"/>
      <c r="X137" s="657"/>
      <c r="Y137" s="657"/>
      <c r="Z137" s="657"/>
      <c r="AA137" s="657"/>
    </row>
    <row r="138" spans="1:27" s="1306" customFormat="1" ht="21.75" customHeight="1">
      <c r="A138" s="1495">
        <v>1</v>
      </c>
      <c r="B138" s="1496"/>
      <c r="C138" s="1496"/>
      <c r="D138" s="1492"/>
      <c r="E138" s="1492"/>
      <c r="F138" s="1492"/>
      <c r="G138" s="1492"/>
      <c r="H138" s="1493"/>
      <c r="I138" s="1494"/>
      <c r="J138" s="2869"/>
      <c r="K138" s="657"/>
      <c r="L138" s="657"/>
      <c r="M138" s="657"/>
      <c r="N138" s="657"/>
      <c r="O138" s="657"/>
      <c r="P138" s="657"/>
      <c r="Q138" s="657"/>
      <c r="R138" s="657"/>
      <c r="S138" s="657"/>
      <c r="T138" s="657"/>
      <c r="U138" s="657"/>
      <c r="V138" s="657"/>
      <c r="W138" s="657"/>
      <c r="X138" s="657"/>
      <c r="Y138" s="657"/>
      <c r="Z138" s="657"/>
      <c r="AA138" s="657"/>
    </row>
    <row r="139" spans="1:27" s="1306" customFormat="1" ht="21.75" customHeight="1">
      <c r="A139" s="1495">
        <v>2</v>
      </c>
      <c r="B139" s="1496"/>
      <c r="C139" s="1496"/>
      <c r="D139" s="1492"/>
      <c r="E139" s="1492"/>
      <c r="F139" s="1492"/>
      <c r="G139" s="1492"/>
      <c r="H139" s="1493"/>
      <c r="I139" s="1494"/>
      <c r="J139" s="2869"/>
      <c r="K139" s="657"/>
      <c r="L139" s="657"/>
      <c r="M139" s="657"/>
      <c r="N139" s="657"/>
      <c r="O139" s="657"/>
      <c r="P139" s="657"/>
      <c r="Q139" s="657"/>
      <c r="R139" s="657"/>
      <c r="S139" s="657"/>
      <c r="T139" s="657"/>
      <c r="U139" s="657"/>
      <c r="V139" s="657"/>
      <c r="W139" s="657"/>
      <c r="X139" s="657"/>
      <c r="Y139" s="657"/>
      <c r="Z139" s="657"/>
      <c r="AA139" s="657"/>
    </row>
    <row r="140" spans="1:27" s="1306" customFormat="1" ht="21.75" customHeight="1">
      <c r="A140" s="1495">
        <v>3</v>
      </c>
      <c r="B140" s="1496"/>
      <c r="C140" s="1496"/>
      <c r="D140" s="1492"/>
      <c r="E140" s="1492"/>
      <c r="F140" s="32"/>
      <c r="G140" s="32"/>
      <c r="H140" s="32"/>
      <c r="I140" s="32"/>
      <c r="J140" s="2870"/>
      <c r="K140" s="657"/>
      <c r="L140" s="657"/>
      <c r="M140" s="657"/>
      <c r="N140" s="657"/>
      <c r="O140" s="657"/>
      <c r="P140" s="657"/>
      <c r="Q140" s="657"/>
      <c r="R140" s="657"/>
      <c r="S140" s="657"/>
      <c r="T140" s="657"/>
      <c r="U140" s="657"/>
      <c r="V140" s="657"/>
      <c r="W140" s="657"/>
      <c r="X140" s="657"/>
      <c r="Y140" s="657"/>
      <c r="Z140" s="657"/>
      <c r="AA140" s="657"/>
    </row>
    <row r="141" spans="1:27" s="1306" customFormat="1" ht="21.75" customHeight="1">
      <c r="A141" s="1497"/>
      <c r="B141" s="1498"/>
      <c r="C141" s="1498"/>
      <c r="D141" s="1499"/>
      <c r="E141" s="1499"/>
      <c r="F141" s="1499"/>
      <c r="G141" s="1499"/>
      <c r="H141" s="1500"/>
      <c r="I141" s="1501"/>
      <c r="J141" s="2869"/>
      <c r="K141" s="657"/>
      <c r="L141" s="657"/>
      <c r="M141" s="657"/>
      <c r="N141" s="657"/>
      <c r="O141" s="657"/>
      <c r="P141" s="657"/>
      <c r="Q141" s="657"/>
      <c r="R141" s="657"/>
      <c r="S141" s="657"/>
      <c r="T141" s="657"/>
      <c r="U141" s="657"/>
      <c r="V141" s="657"/>
      <c r="W141" s="657"/>
      <c r="X141" s="657"/>
      <c r="Y141" s="657"/>
      <c r="Z141" s="657"/>
      <c r="AA141" s="657"/>
    </row>
    <row r="142" spans="1:27" s="1306" customFormat="1" ht="21.75" customHeight="1">
      <c r="A142" s="1496"/>
      <c r="B142" s="1496"/>
      <c r="C142" s="1496"/>
      <c r="D142" s="1492"/>
      <c r="E142" s="1492"/>
      <c r="F142" s="1492"/>
      <c r="G142" s="1492"/>
      <c r="H142" s="1493"/>
      <c r="I142" s="657"/>
      <c r="J142" s="2870"/>
      <c r="K142" s="657"/>
      <c r="L142" s="657"/>
      <c r="M142" s="657"/>
      <c r="N142" s="657"/>
      <c r="O142" s="657"/>
      <c r="P142" s="657"/>
      <c r="Q142" s="657"/>
      <c r="R142" s="657"/>
      <c r="S142" s="657"/>
      <c r="T142" s="657"/>
      <c r="U142" s="657"/>
      <c r="V142" s="657"/>
      <c r="W142" s="657"/>
      <c r="X142" s="657"/>
      <c r="Y142" s="657"/>
      <c r="Z142" s="657"/>
      <c r="AA142" s="657"/>
    </row>
    <row r="143" spans="1:27" s="1306" customFormat="1" ht="21.75" customHeight="1">
      <c r="A143" s="657"/>
      <c r="B143" s="657"/>
      <c r="C143" s="657"/>
      <c r="D143" s="657"/>
      <c r="E143" s="657"/>
      <c r="F143" s="1502" t="s">
        <v>1877</v>
      </c>
      <c r="G143" s="1503"/>
      <c r="H143" s="1503"/>
      <c r="I143" s="1504" t="s">
        <v>1878</v>
      </c>
      <c r="J143" s="2871"/>
      <c r="K143" s="657"/>
      <c r="L143" s="657"/>
      <c r="M143" s="657"/>
      <c r="N143" s="657"/>
      <c r="O143" s="657"/>
      <c r="P143" s="657"/>
      <c r="Q143" s="657"/>
      <c r="R143" s="657"/>
      <c r="S143" s="657"/>
      <c r="T143" s="657"/>
      <c r="U143" s="657"/>
      <c r="V143" s="657"/>
      <c r="W143" s="657"/>
      <c r="X143" s="657"/>
      <c r="Y143" s="657"/>
      <c r="Z143" s="657"/>
      <c r="AA143" s="657"/>
    </row>
    <row r="144" spans="1:27" s="1306" customFormat="1" ht="21.75" customHeight="1">
      <c r="A144" s="657"/>
      <c r="B144" s="1505" t="s">
        <v>1879</v>
      </c>
      <c r="C144" s="657"/>
      <c r="D144" s="657"/>
      <c r="E144" s="657"/>
      <c r="F144" s="657"/>
      <c r="G144" s="657"/>
      <c r="H144" s="657"/>
      <c r="I144" s="657"/>
      <c r="J144" s="2870"/>
      <c r="K144" s="657"/>
      <c r="L144" s="657"/>
      <c r="M144" s="657"/>
      <c r="N144" s="657"/>
      <c r="O144" s="657"/>
      <c r="P144" s="657"/>
      <c r="Q144" s="657"/>
      <c r="R144" s="657"/>
      <c r="S144" s="657"/>
      <c r="T144" s="657"/>
      <c r="U144" s="657"/>
      <c r="V144" s="657"/>
      <c r="W144" s="657"/>
      <c r="X144" s="657"/>
      <c r="Y144" s="657"/>
      <c r="Z144" s="657"/>
      <c r="AA144" s="657"/>
    </row>
    <row r="145" spans="1:27" s="1306" customFormat="1" ht="21.75" customHeight="1">
      <c r="A145" s="657"/>
      <c r="B145" s="657"/>
      <c r="C145" s="657"/>
      <c r="D145" s="657"/>
      <c r="E145" s="657"/>
      <c r="F145" s="657"/>
      <c r="G145" s="657"/>
      <c r="H145" s="657"/>
      <c r="I145" s="657"/>
      <c r="J145" s="2870"/>
      <c r="K145" s="657"/>
      <c r="L145" s="657"/>
      <c r="M145" s="657"/>
      <c r="N145" s="657"/>
      <c r="O145" s="657"/>
      <c r="P145" s="657"/>
      <c r="Q145" s="657"/>
      <c r="R145" s="657"/>
      <c r="S145" s="657"/>
      <c r="T145" s="657"/>
      <c r="U145" s="657"/>
      <c r="V145" s="657"/>
      <c r="W145" s="657"/>
      <c r="X145" s="657"/>
      <c r="Y145" s="657"/>
      <c r="Z145" s="657"/>
      <c r="AA145" s="657"/>
    </row>
    <row r="146" spans="1:27" s="1306" customFormat="1" ht="21.75" customHeight="1">
      <c r="A146" s="657"/>
      <c r="B146" s="1503"/>
      <c r="C146" s="1503"/>
      <c r="D146" s="1503"/>
      <c r="E146" s="1503"/>
      <c r="F146" s="1503"/>
      <c r="G146" s="1503"/>
      <c r="H146" s="1503"/>
      <c r="I146" s="1504" t="s">
        <v>1880</v>
      </c>
      <c r="J146" s="2871"/>
      <c r="K146" s="657"/>
      <c r="L146" s="657"/>
      <c r="M146" s="657"/>
      <c r="N146" s="657"/>
      <c r="O146" s="657"/>
      <c r="P146" s="657"/>
      <c r="Q146" s="657"/>
      <c r="R146" s="657"/>
      <c r="S146" s="657"/>
      <c r="T146" s="657"/>
      <c r="U146" s="657"/>
      <c r="V146" s="657"/>
      <c r="W146" s="657"/>
      <c r="X146" s="657"/>
      <c r="Y146" s="657"/>
      <c r="Z146" s="657"/>
      <c r="AA146" s="657"/>
    </row>
    <row r="147" spans="1:27" s="1306" customFormat="1" ht="21.75" customHeight="1">
      <c r="A147" s="657"/>
      <c r="B147" s="1505" t="s">
        <v>1881</v>
      </c>
      <c r="C147" s="657"/>
      <c r="D147" s="657"/>
      <c r="E147" s="657"/>
      <c r="F147" s="657"/>
      <c r="G147" s="657"/>
      <c r="H147" s="657"/>
      <c r="I147" s="657"/>
      <c r="J147" s="2870"/>
      <c r="K147" s="657"/>
      <c r="L147" s="657"/>
      <c r="M147" s="657"/>
      <c r="N147" s="657"/>
      <c r="O147" s="657"/>
      <c r="P147" s="657"/>
      <c r="Q147" s="657"/>
      <c r="R147" s="657"/>
      <c r="S147" s="657"/>
      <c r="T147" s="657"/>
      <c r="U147" s="657"/>
      <c r="V147" s="657"/>
      <c r="W147" s="657"/>
      <c r="X147" s="657"/>
      <c r="Y147" s="657"/>
      <c r="Z147" s="657"/>
      <c r="AA147" s="657"/>
    </row>
    <row r="148" spans="1:27" s="1306" customFormat="1" ht="21.75" customHeight="1">
      <c r="A148" s="657"/>
      <c r="B148" s="1505"/>
      <c r="C148" s="657"/>
      <c r="D148" s="657"/>
      <c r="E148" s="657"/>
      <c r="F148" s="657"/>
      <c r="G148" s="657"/>
      <c r="H148" s="657"/>
      <c r="I148" s="657"/>
      <c r="J148" s="2870"/>
      <c r="K148" s="657"/>
      <c r="L148" s="657"/>
      <c r="M148" s="657"/>
      <c r="N148" s="657"/>
      <c r="O148" s="657"/>
      <c r="P148" s="657"/>
      <c r="Q148" s="657"/>
      <c r="R148" s="657"/>
      <c r="S148" s="657"/>
      <c r="T148" s="657"/>
      <c r="U148" s="657"/>
      <c r="V148" s="657"/>
      <c r="W148" s="657"/>
      <c r="X148" s="657"/>
      <c r="Y148" s="657"/>
      <c r="Z148" s="657"/>
      <c r="AA148" s="657"/>
    </row>
    <row r="149" spans="1:27" s="1306" customFormat="1" ht="21.75" customHeight="1">
      <c r="A149" s="657"/>
      <c r="B149" s="1503"/>
      <c r="C149" s="1503"/>
      <c r="D149" s="1503"/>
      <c r="E149" s="1503"/>
      <c r="F149" s="1503"/>
      <c r="G149" s="1503"/>
      <c r="H149" s="1503"/>
      <c r="I149" s="1504" t="s">
        <v>1880</v>
      </c>
      <c r="J149" s="2871"/>
      <c r="K149" s="657"/>
      <c r="L149" s="657"/>
      <c r="M149" s="657"/>
      <c r="N149" s="657"/>
      <c r="O149" s="657"/>
      <c r="P149" s="657"/>
      <c r="Q149" s="657"/>
      <c r="R149" s="657"/>
      <c r="S149" s="657"/>
      <c r="T149" s="657"/>
      <c r="U149" s="657"/>
      <c r="V149" s="657"/>
      <c r="W149" s="657"/>
      <c r="X149" s="657"/>
      <c r="Y149" s="657"/>
      <c r="Z149" s="657"/>
      <c r="AA149" s="657"/>
    </row>
    <row r="150" spans="1:27" s="1306" customFormat="1" ht="21.75" customHeight="1">
      <c r="A150" s="657"/>
      <c r="B150" s="1505"/>
      <c r="C150" s="1506"/>
      <c r="D150" s="1507"/>
      <c r="E150" s="1507"/>
      <c r="F150" s="1508"/>
      <c r="G150" s="657"/>
      <c r="H150" s="657"/>
      <c r="I150" s="657"/>
      <c r="J150" s="2870"/>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505"/>
      <c r="C151" s="1506"/>
      <c r="D151" s="1507"/>
      <c r="E151" s="1507"/>
      <c r="J151" s="2870"/>
    </row>
    <row r="152" spans="1:27" s="657" customFormat="1" ht="21.75" customHeight="1">
      <c r="J152" s="2870"/>
    </row>
    <row r="153" spans="1:27" s="657" customFormat="1" ht="21.75" customHeight="1">
      <c r="J153" s="2870"/>
    </row>
    <row r="154" spans="1:27" s="657" customFormat="1" ht="21.75" customHeight="1">
      <c r="J154" s="2870"/>
    </row>
    <row r="155" spans="1:27" s="657" customFormat="1" ht="21.75" customHeight="1">
      <c r="J155" s="2870"/>
    </row>
    <row r="156" spans="1:27" s="657" customFormat="1" ht="21.75" customHeight="1">
      <c r="J156" s="2870"/>
    </row>
    <row r="157" spans="1:27" s="657" customFormat="1" ht="21.75" customHeight="1">
      <c r="J157" s="2870"/>
    </row>
    <row r="158" spans="1:27" s="657" customFormat="1" ht="21.75" customHeight="1">
      <c r="J158" s="2870"/>
    </row>
    <row r="159" spans="1:27" s="657" customFormat="1" ht="21.75" customHeight="1">
      <c r="J159" s="2870"/>
    </row>
    <row r="160" spans="1:27" s="657" customFormat="1" ht="21.75" customHeight="1">
      <c r="J160" s="2870"/>
    </row>
    <row r="161" spans="10:10" s="657" customFormat="1" ht="21.75" customHeight="1">
      <c r="J161" s="2870"/>
    </row>
    <row r="162" spans="10:10" s="657" customFormat="1" ht="21.75" customHeight="1">
      <c r="J162" s="2870"/>
    </row>
    <row r="163" spans="10:10" s="657" customFormat="1" ht="21.75" customHeight="1">
      <c r="J163" s="2870"/>
    </row>
    <row r="164" spans="10:10" s="657" customFormat="1" ht="21.75" customHeight="1">
      <c r="J164" s="2870"/>
    </row>
    <row r="165" spans="10:10" s="657" customFormat="1" ht="21.75" customHeight="1">
      <c r="J165" s="2870"/>
    </row>
    <row r="166" spans="10:10" s="657" customFormat="1" ht="21.75" customHeight="1">
      <c r="J166" s="2870"/>
    </row>
    <row r="167" spans="10:10" s="657" customFormat="1" ht="21.75" customHeight="1">
      <c r="J167" s="2870"/>
    </row>
    <row r="168" spans="10:10" s="657" customFormat="1" ht="21.75" customHeight="1">
      <c r="J168" s="2870"/>
    </row>
    <row r="169" spans="10:10" s="657" customFormat="1" ht="21.75" customHeight="1">
      <c r="J169" s="2870"/>
    </row>
    <row r="170" spans="10:10" s="657" customFormat="1" ht="21.75" customHeight="1">
      <c r="J170" s="2870"/>
    </row>
    <row r="171" spans="10:10" s="657" customFormat="1" ht="21.75" customHeight="1">
      <c r="J171" s="2870"/>
    </row>
    <row r="172" spans="10:10" s="657" customFormat="1" ht="21.75" customHeight="1">
      <c r="J172" s="2870"/>
    </row>
    <row r="173" spans="10:10" s="657" customFormat="1" ht="21.75" customHeight="1">
      <c r="J173" s="2870"/>
    </row>
    <row r="174" spans="10:10" s="657" customFormat="1" ht="21.75" customHeight="1">
      <c r="J174" s="2870"/>
    </row>
    <row r="175" spans="10:10" s="657" customFormat="1" ht="21.75" customHeight="1">
      <c r="J175" s="2870"/>
    </row>
    <row r="176" spans="10:10" s="657" customFormat="1" ht="21.75" customHeight="1">
      <c r="J176" s="2870"/>
    </row>
    <row r="177" spans="10:10" s="657" customFormat="1" ht="21.75" customHeight="1">
      <c r="J177" s="2870"/>
    </row>
    <row r="178" spans="10:10" s="657" customFormat="1" ht="21.75" customHeight="1">
      <c r="J178" s="2870"/>
    </row>
    <row r="179" spans="10:10" s="657" customFormat="1" ht="21.75" customHeight="1">
      <c r="J179" s="2870"/>
    </row>
    <row r="180" spans="10:10" s="657" customFormat="1" ht="21.75" customHeight="1">
      <c r="J180" s="2870"/>
    </row>
    <row r="181" spans="10:10" s="657" customFormat="1" ht="21.75" customHeight="1">
      <c r="J181" s="2870"/>
    </row>
    <row r="182" spans="10:10" s="657" customFormat="1" ht="21.75" customHeight="1">
      <c r="J182" s="2870"/>
    </row>
    <row r="183" spans="10:10" s="657" customFormat="1" ht="21.75" customHeight="1">
      <c r="J183" s="2870"/>
    </row>
    <row r="184" spans="10:10" s="657" customFormat="1" ht="21.75" customHeight="1">
      <c r="J184" s="2870"/>
    </row>
    <row r="185" spans="10:10" s="657" customFormat="1" ht="21.75" customHeight="1">
      <c r="J185" s="2870"/>
    </row>
    <row r="186" spans="10:10" s="657" customFormat="1" ht="21.75" customHeight="1">
      <c r="J186" s="2870"/>
    </row>
    <row r="187" spans="10:10" s="657" customFormat="1" ht="21.75" customHeight="1">
      <c r="J187" s="2870"/>
    </row>
    <row r="188" spans="10:10" s="657" customFormat="1" ht="21.75" customHeight="1">
      <c r="J188" s="2870"/>
    </row>
    <row r="189" spans="10:10" s="657" customFormat="1" ht="21.75" customHeight="1">
      <c r="J189" s="2870"/>
    </row>
    <row r="190" spans="10:10" s="657" customFormat="1" ht="21.75" customHeight="1">
      <c r="J190" s="2870"/>
    </row>
    <row r="191" spans="10:10" s="657" customFormat="1" ht="21.75" customHeight="1">
      <c r="J191" s="2870"/>
    </row>
    <row r="192" spans="10:10" s="657" customFormat="1" ht="21.75" customHeight="1">
      <c r="J192" s="2870"/>
    </row>
    <row r="193" spans="10:10" s="657" customFormat="1" ht="21.75" customHeight="1">
      <c r="J193" s="2870"/>
    </row>
    <row r="194" spans="10:10" s="657" customFormat="1" ht="21.75" customHeight="1">
      <c r="J194" s="2870"/>
    </row>
    <row r="195" spans="10:10" s="657" customFormat="1" ht="21.75" customHeight="1">
      <c r="J195" s="2870"/>
    </row>
    <row r="196" spans="10:10" s="657" customFormat="1" ht="21.75" customHeight="1">
      <c r="J196" s="2870"/>
    </row>
    <row r="197" spans="10:10" s="657" customFormat="1" ht="21.75" customHeight="1">
      <c r="J197" s="2870"/>
    </row>
    <row r="198" spans="10:10" s="657" customFormat="1" ht="21.75" customHeight="1">
      <c r="J198" s="2870"/>
    </row>
    <row r="199" spans="10:10" s="657" customFormat="1" ht="21.75" customHeight="1">
      <c r="J199" s="2870"/>
    </row>
    <row r="200" spans="10:10" s="657" customFormat="1" ht="21.75" customHeight="1">
      <c r="J200" s="2870"/>
    </row>
    <row r="201" spans="10:10" s="657" customFormat="1" ht="21.75" customHeight="1">
      <c r="J201" s="2870"/>
    </row>
    <row r="202" spans="10:10" s="657" customFormat="1" ht="21.75" customHeight="1">
      <c r="J202" s="2870"/>
    </row>
    <row r="203" spans="10:10" s="657" customFormat="1" ht="21.75" customHeight="1">
      <c r="J203" s="2870"/>
    </row>
    <row r="204" spans="10:10" s="657" customFormat="1" ht="21.75" customHeight="1">
      <c r="J204" s="2870"/>
    </row>
    <row r="205" spans="10:10" s="657" customFormat="1" ht="21.75" customHeight="1">
      <c r="J205" s="2870"/>
    </row>
    <row r="206" spans="10:10" s="657" customFormat="1" ht="21.75" customHeight="1">
      <c r="J206" s="2870"/>
    </row>
    <row r="207" spans="10:10" s="657" customFormat="1" ht="21.75" customHeight="1">
      <c r="J207" s="2870"/>
    </row>
    <row r="208" spans="10:10" s="657" customFormat="1" ht="21.75" customHeight="1">
      <c r="J208" s="2870"/>
    </row>
    <row r="209" spans="10:10" s="657" customFormat="1" ht="21.75" customHeight="1">
      <c r="J209" s="2870"/>
    </row>
    <row r="210" spans="10:10" s="657" customFormat="1" ht="21.75" customHeight="1">
      <c r="J210" s="2870"/>
    </row>
    <row r="211" spans="10:10" s="657" customFormat="1" ht="21.75" customHeight="1">
      <c r="J211" s="2870"/>
    </row>
    <row r="212" spans="10:10" s="657" customFormat="1" ht="21.75" customHeight="1">
      <c r="J212" s="2870"/>
    </row>
    <row r="213" spans="10:10" s="657" customFormat="1" ht="21.75" customHeight="1">
      <c r="J213" s="2870"/>
    </row>
    <row r="214" spans="10:10" s="657" customFormat="1" ht="21.75" customHeight="1">
      <c r="J214" s="2870"/>
    </row>
    <row r="215" spans="10:10" s="657" customFormat="1" ht="21.75" customHeight="1">
      <c r="J215" s="2870"/>
    </row>
    <row r="216" spans="10:10" s="657" customFormat="1" ht="21.75" customHeight="1">
      <c r="J216" s="2870"/>
    </row>
    <row r="217" spans="10:10" s="657" customFormat="1" ht="21.75" customHeight="1">
      <c r="J217" s="2870"/>
    </row>
    <row r="218" spans="10:10" s="657" customFormat="1" ht="21.75" customHeight="1">
      <c r="J218" s="2870"/>
    </row>
    <row r="219" spans="10:10" s="657" customFormat="1" ht="21.75" customHeight="1">
      <c r="J219" s="2870"/>
    </row>
    <row r="220" spans="10:10" s="657" customFormat="1" ht="21.75" customHeight="1">
      <c r="J220" s="2870"/>
    </row>
    <row r="221" spans="10:10" s="657" customFormat="1" ht="21.75" customHeight="1">
      <c r="J221" s="2870"/>
    </row>
    <row r="222" spans="10:10" s="657" customFormat="1" ht="21.75" customHeight="1">
      <c r="J222" s="2870"/>
    </row>
    <row r="223" spans="10:10" s="657" customFormat="1" ht="21.75" customHeight="1">
      <c r="J223" s="2870"/>
    </row>
    <row r="224" spans="10:10" s="657" customFormat="1" ht="21.75" customHeight="1">
      <c r="J224" s="2870"/>
    </row>
    <row r="225" spans="10:10" s="657" customFormat="1" ht="21.75" customHeight="1">
      <c r="J225" s="2870"/>
    </row>
    <row r="226" spans="10:10" s="657" customFormat="1" ht="21.75" customHeight="1">
      <c r="J226" s="2870"/>
    </row>
    <row r="227" spans="10:10" s="657" customFormat="1" ht="21.75" customHeight="1">
      <c r="J227" s="2870"/>
    </row>
    <row r="228" spans="10:10" s="657" customFormat="1" ht="21.75" customHeight="1">
      <c r="J228" s="2870"/>
    </row>
    <row r="229" spans="10:10" s="657" customFormat="1" ht="21.75" customHeight="1">
      <c r="J229" s="2870"/>
    </row>
    <row r="230" spans="10:10" s="657" customFormat="1" ht="21.75" customHeight="1">
      <c r="J230" s="2870"/>
    </row>
    <row r="231" spans="10:10" s="657" customFormat="1" ht="21.75" customHeight="1">
      <c r="J231" s="2870"/>
    </row>
    <row r="232" spans="10:10" s="657" customFormat="1" ht="21.75" customHeight="1">
      <c r="J232" s="2870"/>
    </row>
    <row r="233" spans="10:10" s="657" customFormat="1" ht="21.75" customHeight="1">
      <c r="J233" s="2870"/>
    </row>
    <row r="234" spans="10:10" s="657" customFormat="1" ht="21.75" customHeight="1">
      <c r="J234" s="2870"/>
    </row>
    <row r="235" spans="10:10" s="657" customFormat="1" ht="21.75" customHeight="1">
      <c r="J235" s="2870"/>
    </row>
    <row r="236" spans="10:10" s="657" customFormat="1" ht="21.75" customHeight="1">
      <c r="J236" s="2870"/>
    </row>
    <row r="237" spans="10:10" s="657" customFormat="1" ht="21.75" customHeight="1">
      <c r="J237" s="2870"/>
    </row>
    <row r="238" spans="10:10" s="657" customFormat="1" ht="21.75" customHeight="1">
      <c r="J238" s="2870"/>
    </row>
    <row r="239" spans="10:10" s="657" customFormat="1" ht="21.75" customHeight="1">
      <c r="J239" s="2870"/>
    </row>
    <row r="240" spans="10:10" s="657" customFormat="1" ht="21.75" customHeight="1">
      <c r="J240" s="2870"/>
    </row>
    <row r="241" spans="10:10" s="657" customFormat="1" ht="21.75" customHeight="1">
      <c r="J241" s="2870"/>
    </row>
    <row r="242" spans="10:10" s="657" customFormat="1" ht="21.75" customHeight="1">
      <c r="J242" s="2870"/>
    </row>
    <row r="243" spans="10:10" s="657" customFormat="1" ht="21.75" customHeight="1">
      <c r="J243" s="2870"/>
    </row>
    <row r="244" spans="10:10" s="657" customFormat="1" ht="21.75" customHeight="1">
      <c r="J244" s="2870"/>
    </row>
    <row r="245" spans="10:10" s="657" customFormat="1" ht="21.75" customHeight="1">
      <c r="J245" s="2870"/>
    </row>
    <row r="246" spans="10:10" s="657" customFormat="1" ht="21.75" customHeight="1">
      <c r="J246" s="2870"/>
    </row>
    <row r="247" spans="10:10" s="657" customFormat="1" ht="21.75" customHeight="1">
      <c r="J247" s="2870"/>
    </row>
    <row r="248" spans="10:10" s="657" customFormat="1" ht="21.75" customHeight="1">
      <c r="J248" s="2870"/>
    </row>
    <row r="249" spans="10:10" s="657" customFormat="1" ht="21.75" customHeight="1">
      <c r="J249" s="2870"/>
    </row>
    <row r="250" spans="10:10" s="657" customFormat="1" ht="21.75" customHeight="1">
      <c r="J250" s="2870"/>
    </row>
    <row r="251" spans="10:10" s="657" customFormat="1" ht="21.75" customHeight="1">
      <c r="J251" s="2870"/>
    </row>
    <row r="252" spans="10:10" s="657" customFormat="1" ht="21.75" customHeight="1">
      <c r="J252" s="2870"/>
    </row>
    <row r="253" spans="10:10" s="657" customFormat="1" ht="21.75" customHeight="1">
      <c r="J253" s="2870"/>
    </row>
    <row r="254" spans="10:10" s="657" customFormat="1" ht="21.75" customHeight="1">
      <c r="J254" s="2870"/>
    </row>
    <row r="255" spans="10:10" s="657" customFormat="1" ht="21.75" customHeight="1">
      <c r="J255" s="2870"/>
    </row>
    <row r="256" spans="10:10" s="657" customFormat="1" ht="21.75" customHeight="1">
      <c r="J256" s="2870"/>
    </row>
    <row r="257" spans="10:10" s="657" customFormat="1" ht="21.75" customHeight="1">
      <c r="J257" s="2870"/>
    </row>
    <row r="258" spans="10:10" s="657" customFormat="1" ht="21.75" customHeight="1">
      <c r="J258" s="2870"/>
    </row>
    <row r="259" spans="10:10" s="657" customFormat="1" ht="21.75" customHeight="1">
      <c r="J259" s="2870"/>
    </row>
    <row r="260" spans="10:10" s="657" customFormat="1" ht="21.75" customHeight="1">
      <c r="J260" s="2870"/>
    </row>
    <row r="261" spans="10:10" s="657" customFormat="1" ht="21.75" customHeight="1">
      <c r="J261" s="2870"/>
    </row>
    <row r="262" spans="10:10" s="657" customFormat="1" ht="21.75" customHeight="1">
      <c r="J262" s="2870"/>
    </row>
    <row r="263" spans="10:10" s="657" customFormat="1" ht="21.75" customHeight="1">
      <c r="J263" s="2870"/>
    </row>
    <row r="264" spans="10:10" s="657" customFormat="1" ht="21.75" customHeight="1">
      <c r="J264" s="2870"/>
    </row>
    <row r="265" spans="10:10" s="657" customFormat="1" ht="21.75" customHeight="1">
      <c r="J265" s="2870"/>
    </row>
    <row r="266" spans="10:10" s="657" customFormat="1" ht="21.75" customHeight="1">
      <c r="J266" s="2870"/>
    </row>
    <row r="267" spans="10:10" s="657" customFormat="1" ht="21.75" customHeight="1">
      <c r="J267" s="2870"/>
    </row>
    <row r="268" spans="10:10" s="657" customFormat="1" ht="21.75" customHeight="1">
      <c r="J268" s="2870"/>
    </row>
    <row r="269" spans="10:10" s="657" customFormat="1" ht="21.75" customHeight="1">
      <c r="J269" s="2870"/>
    </row>
    <row r="270" spans="10:10" s="657" customFormat="1" ht="21.75" customHeight="1">
      <c r="J270" s="2870"/>
    </row>
    <row r="271" spans="10:10" s="657" customFormat="1" ht="21.75" customHeight="1">
      <c r="J271" s="2870"/>
    </row>
    <row r="272" spans="10:10" s="657" customFormat="1" ht="21.75" customHeight="1">
      <c r="J272" s="2870"/>
    </row>
    <row r="273" spans="10:10" s="657" customFormat="1" ht="21.75" customHeight="1">
      <c r="J273" s="2870"/>
    </row>
    <row r="274" spans="10:10" s="657" customFormat="1" ht="21.75" customHeight="1">
      <c r="J274" s="2870"/>
    </row>
    <row r="275" spans="10:10" s="657" customFormat="1" ht="21.75" customHeight="1">
      <c r="J275" s="2870"/>
    </row>
    <row r="276" spans="10:10" s="657" customFormat="1" ht="21.75" customHeight="1">
      <c r="J276" s="2870"/>
    </row>
    <row r="277" spans="10:10" s="657" customFormat="1" ht="21.75" customHeight="1">
      <c r="J277" s="2870"/>
    </row>
    <row r="278" spans="10:10" s="657" customFormat="1" ht="21.75" customHeight="1">
      <c r="J278" s="2870"/>
    </row>
    <row r="279" spans="10:10" s="657" customFormat="1" ht="21.75" customHeight="1">
      <c r="J279" s="2870"/>
    </row>
    <row r="280" spans="10:10" s="657" customFormat="1" ht="21.75" customHeight="1">
      <c r="J280" s="2870"/>
    </row>
    <row r="281" spans="10:10" s="657" customFormat="1" ht="21.75" customHeight="1">
      <c r="J281" s="2870"/>
    </row>
    <row r="282" spans="10:10" s="657" customFormat="1" ht="21.75" customHeight="1">
      <c r="J282" s="2870"/>
    </row>
    <row r="283" spans="10:10" s="657" customFormat="1" ht="21.75" customHeight="1">
      <c r="J283" s="2870"/>
    </row>
    <row r="284" spans="10:10" s="657" customFormat="1" ht="21.75" customHeight="1">
      <c r="J284" s="2870"/>
    </row>
    <row r="285" spans="10:10" s="657" customFormat="1" ht="21.75" customHeight="1">
      <c r="J285" s="2870"/>
    </row>
    <row r="286" spans="10:10" s="657" customFormat="1" ht="21.75" customHeight="1">
      <c r="J286" s="2870"/>
    </row>
    <row r="287" spans="10:10" s="657" customFormat="1" ht="21.75" customHeight="1">
      <c r="J287" s="2870"/>
    </row>
    <row r="288" spans="10:10" s="657" customFormat="1" ht="21.75" customHeight="1">
      <c r="J288" s="2870"/>
    </row>
    <row r="289" spans="10:10" s="657" customFormat="1" ht="21.75" customHeight="1">
      <c r="J289" s="2870"/>
    </row>
    <row r="290" spans="10:10" s="657" customFormat="1" ht="21.75" customHeight="1">
      <c r="J290" s="2870"/>
    </row>
    <row r="291" spans="10:10" s="657" customFormat="1" ht="21.75" customHeight="1">
      <c r="J291" s="2870"/>
    </row>
    <row r="292" spans="10:10" s="657" customFormat="1" ht="21.75" customHeight="1">
      <c r="J292" s="2870"/>
    </row>
    <row r="293" spans="10:10" s="657" customFormat="1" ht="21.75" customHeight="1">
      <c r="J293" s="2870"/>
    </row>
    <row r="294" spans="10:10" s="657" customFormat="1" ht="21.75" customHeight="1">
      <c r="J294" s="2870"/>
    </row>
    <row r="295" spans="10:10" s="657" customFormat="1" ht="21.75" customHeight="1">
      <c r="J295" s="2870"/>
    </row>
    <row r="296" spans="10:10" s="657" customFormat="1" ht="21.75" customHeight="1">
      <c r="J296" s="2870"/>
    </row>
    <row r="297" spans="10:10" s="657" customFormat="1" ht="21.75" customHeight="1">
      <c r="J297" s="2870"/>
    </row>
    <row r="298" spans="10:10" s="657" customFormat="1" ht="21.75" customHeight="1">
      <c r="J298" s="2870"/>
    </row>
    <row r="299" spans="10:10" s="657" customFormat="1" ht="21.75" customHeight="1">
      <c r="J299" s="2870"/>
    </row>
    <row r="300" spans="10:10" s="657" customFormat="1" ht="21.75" customHeight="1">
      <c r="J300" s="2870"/>
    </row>
    <row r="301" spans="10:10" s="657" customFormat="1" ht="21.75" customHeight="1">
      <c r="J301" s="2870"/>
    </row>
    <row r="302" spans="10:10" s="657" customFormat="1" ht="21.75" customHeight="1">
      <c r="J302" s="2870"/>
    </row>
    <row r="303" spans="10:10" s="657" customFormat="1" ht="21.75" customHeight="1">
      <c r="J303" s="2870"/>
    </row>
    <row r="304" spans="10:10" s="657" customFormat="1" ht="21.75" customHeight="1">
      <c r="J304" s="2870"/>
    </row>
    <row r="305" spans="10:10" s="657" customFormat="1" ht="21.75" customHeight="1">
      <c r="J305" s="2870"/>
    </row>
    <row r="306" spans="10:10" s="657" customFormat="1" ht="21.75" customHeight="1">
      <c r="J306" s="2870"/>
    </row>
    <row r="307" spans="10:10" s="657" customFormat="1" ht="21.75" customHeight="1">
      <c r="J307" s="2870"/>
    </row>
    <row r="308" spans="10:10" s="657" customFormat="1" ht="21.75" customHeight="1">
      <c r="J308" s="2870"/>
    </row>
    <row r="309" spans="10:10" s="657" customFormat="1" ht="21.75" customHeight="1">
      <c r="J309" s="2870"/>
    </row>
    <row r="310" spans="10:10" s="657" customFormat="1" ht="21.75" customHeight="1">
      <c r="J310" s="2870"/>
    </row>
    <row r="311" spans="10:10" s="657" customFormat="1" ht="21.75" customHeight="1">
      <c r="J311" s="2870"/>
    </row>
    <row r="312" spans="10:10" s="657" customFormat="1" ht="21.75" customHeight="1">
      <c r="J312" s="2870"/>
    </row>
    <row r="313" spans="10:10" s="657" customFormat="1" ht="21.75" customHeight="1">
      <c r="J313" s="2870"/>
    </row>
    <row r="314" spans="10:10" s="657" customFormat="1" ht="21.75" customHeight="1">
      <c r="J314" s="2870"/>
    </row>
    <row r="315" spans="10:10" s="657" customFormat="1" ht="21.75" customHeight="1">
      <c r="J315" s="2870"/>
    </row>
    <row r="316" spans="10:10" s="657" customFormat="1" ht="21.75" customHeight="1">
      <c r="J316" s="2870"/>
    </row>
    <row r="317" spans="10:10" s="657" customFormat="1" ht="21.75" customHeight="1">
      <c r="J317" s="2870"/>
    </row>
    <row r="318" spans="10:10" s="657" customFormat="1" ht="21.75" customHeight="1">
      <c r="J318" s="2870"/>
    </row>
    <row r="319" spans="10:10" s="657" customFormat="1" ht="21.75" customHeight="1">
      <c r="J319" s="2870"/>
    </row>
    <row r="320" spans="10:10" s="657" customFormat="1" ht="21.75" customHeight="1">
      <c r="J320" s="2870"/>
    </row>
    <row r="321" spans="10:10" s="657" customFormat="1" ht="21.75" customHeight="1">
      <c r="J321" s="2870"/>
    </row>
    <row r="322" spans="10:10" s="657" customFormat="1" ht="21.75" customHeight="1">
      <c r="J322" s="2870"/>
    </row>
    <row r="323" spans="10:10" s="657" customFormat="1" ht="21.75" customHeight="1">
      <c r="J323" s="2870"/>
    </row>
    <row r="324" spans="10:10" s="657" customFormat="1" ht="21.75" customHeight="1">
      <c r="J324" s="2870"/>
    </row>
    <row r="325" spans="10:10" s="657" customFormat="1" ht="21.75" customHeight="1">
      <c r="J325" s="2870"/>
    </row>
    <row r="326" spans="10:10" s="657" customFormat="1" ht="21.75" customHeight="1">
      <c r="J326" s="2870"/>
    </row>
    <row r="327" spans="10:10" s="657" customFormat="1" ht="21.75" customHeight="1">
      <c r="J327" s="2870"/>
    </row>
    <row r="328" spans="10:10" s="657" customFormat="1" ht="21.75" customHeight="1">
      <c r="J328" s="2870"/>
    </row>
    <row r="329" spans="10:10" s="657" customFormat="1" ht="21.75" customHeight="1">
      <c r="J329" s="2870"/>
    </row>
    <row r="330" spans="10:10" s="657" customFormat="1" ht="21.75" customHeight="1">
      <c r="J330" s="2870"/>
    </row>
    <row r="331" spans="10:10" s="657" customFormat="1" ht="21.75" customHeight="1">
      <c r="J331" s="2870"/>
    </row>
    <row r="332" spans="10:10" s="657" customFormat="1" ht="21.75" customHeight="1">
      <c r="J332" s="2870"/>
    </row>
    <row r="333" spans="10:10" s="657" customFormat="1" ht="21.75" customHeight="1">
      <c r="J333" s="2870"/>
    </row>
    <row r="334" spans="10:10" s="657" customFormat="1" ht="21.75" customHeight="1">
      <c r="J334" s="2870"/>
    </row>
    <row r="335" spans="10:10" s="657" customFormat="1" ht="21.75" customHeight="1">
      <c r="J335" s="2870"/>
    </row>
    <row r="336" spans="10:10" s="657" customFormat="1" ht="21.75" customHeight="1">
      <c r="J336" s="2870"/>
    </row>
    <row r="337" spans="10:10" s="657" customFormat="1" ht="21.75" customHeight="1">
      <c r="J337" s="2870"/>
    </row>
    <row r="338" spans="10:10" s="657" customFormat="1" ht="21.75" customHeight="1">
      <c r="J338" s="2870"/>
    </row>
    <row r="339" spans="10:10" s="657" customFormat="1" ht="21.75" customHeight="1">
      <c r="J339" s="2870"/>
    </row>
    <row r="340" spans="10:10" s="657" customFormat="1" ht="21.75" customHeight="1">
      <c r="J340" s="2870"/>
    </row>
    <row r="341" spans="10:10" s="657" customFormat="1" ht="21.75" customHeight="1">
      <c r="J341" s="2870"/>
    </row>
    <row r="342" spans="10:10" s="657" customFormat="1" ht="21.75" customHeight="1">
      <c r="J342" s="2870"/>
    </row>
    <row r="343" spans="10:10" s="657" customFormat="1" ht="21.75" customHeight="1">
      <c r="J343" s="2870"/>
    </row>
    <row r="344" spans="10:10" s="657" customFormat="1" ht="21.75" customHeight="1">
      <c r="J344" s="2870"/>
    </row>
    <row r="345" spans="10:10" s="657" customFormat="1" ht="21.75" customHeight="1">
      <c r="J345" s="2870"/>
    </row>
    <row r="346" spans="10:10" s="657" customFormat="1" ht="21.75" customHeight="1">
      <c r="J346" s="2870"/>
    </row>
    <row r="347" spans="10:10" s="657" customFormat="1" ht="21.75" customHeight="1">
      <c r="J347" s="2870"/>
    </row>
    <row r="348" spans="10:10" s="657" customFormat="1" ht="21.75" customHeight="1">
      <c r="J348" s="2870"/>
    </row>
    <row r="349" spans="10:10" s="657" customFormat="1" ht="21.75" customHeight="1">
      <c r="J349" s="2870"/>
    </row>
    <row r="350" spans="10:10" s="657" customFormat="1" ht="21.75" customHeight="1">
      <c r="J350" s="2870"/>
    </row>
    <row r="351" spans="10:10" s="657" customFormat="1" ht="21.75" customHeight="1">
      <c r="J351" s="2870"/>
    </row>
    <row r="352" spans="10:10" s="657" customFormat="1" ht="21.75" customHeight="1">
      <c r="J352" s="2870"/>
    </row>
    <row r="353" spans="10:10" s="657" customFormat="1" ht="21.75" customHeight="1">
      <c r="J353" s="2870"/>
    </row>
    <row r="354" spans="10:10" s="657" customFormat="1" ht="21.75" customHeight="1">
      <c r="J354" s="2870"/>
    </row>
    <row r="355" spans="10:10" s="657" customFormat="1" ht="21.75" customHeight="1">
      <c r="J355" s="2870"/>
    </row>
    <row r="356" spans="10:10" s="657" customFormat="1" ht="21.75" customHeight="1">
      <c r="J356" s="2870"/>
    </row>
    <row r="357" spans="10:10" s="657" customFormat="1" ht="21.75" customHeight="1">
      <c r="J357" s="2870"/>
    </row>
    <row r="358" spans="10:10" s="657" customFormat="1" ht="21.75" customHeight="1">
      <c r="J358" s="2870"/>
    </row>
    <row r="359" spans="10:10" s="657" customFormat="1" ht="21.75" customHeight="1">
      <c r="J359" s="2870"/>
    </row>
    <row r="360" spans="10:10" s="657" customFormat="1" ht="21.75" customHeight="1">
      <c r="J360" s="2870"/>
    </row>
    <row r="361" spans="10:10" s="657" customFormat="1" ht="21.75" customHeight="1">
      <c r="J361" s="2870"/>
    </row>
    <row r="362" spans="10:10" s="657" customFormat="1" ht="21.75" customHeight="1">
      <c r="J362" s="2870"/>
    </row>
    <row r="363" spans="10:10" s="657" customFormat="1" ht="21.75" customHeight="1">
      <c r="J363" s="2870"/>
    </row>
    <row r="364" spans="10:10" s="657" customFormat="1" ht="21.75" customHeight="1">
      <c r="J364" s="2870"/>
    </row>
    <row r="365" spans="10:10" s="657" customFormat="1" ht="21.75" customHeight="1">
      <c r="J365" s="2870"/>
    </row>
    <row r="366" spans="10:10" s="657" customFormat="1" ht="21.75" customHeight="1">
      <c r="J366" s="2870"/>
    </row>
    <row r="367" spans="10:10" s="657" customFormat="1" ht="21.75" customHeight="1">
      <c r="J367" s="2870"/>
    </row>
    <row r="368" spans="10:10" s="657" customFormat="1" ht="21.75" customHeight="1">
      <c r="J368" s="2870"/>
    </row>
    <row r="369" spans="10:27" s="657" customFormat="1" ht="21.75" customHeight="1">
      <c r="J369" s="2870"/>
    </row>
    <row r="370" spans="10:27" s="657" customFormat="1" ht="21.75" customHeight="1">
      <c r="J370" s="2870"/>
    </row>
    <row r="371" spans="10:27" s="657" customFormat="1" ht="21.75" customHeight="1">
      <c r="J371" s="2870"/>
    </row>
    <row r="372" spans="10:27" s="657" customFormat="1" ht="21.75" customHeight="1">
      <c r="J372" s="2870"/>
    </row>
    <row r="373" spans="10:27" s="657" customFormat="1" ht="21.75" customHeight="1">
      <c r="J373" s="2870"/>
    </row>
    <row r="374" spans="10:27" s="657" customFormat="1" ht="21.75" customHeight="1">
      <c r="J374" s="2870"/>
    </row>
    <row r="375" spans="10:27" s="657" customFormat="1" ht="21.75" customHeight="1">
      <c r="J375" s="2870"/>
    </row>
    <row r="376" spans="10:27" s="657" customFormat="1" ht="21.75" customHeight="1">
      <c r="J376" s="2870"/>
    </row>
    <row r="377" spans="10:27" s="657" customFormat="1" ht="21.75" customHeight="1">
      <c r="J377" s="2870"/>
    </row>
    <row r="378" spans="10:27" s="657" customFormat="1" ht="21.75" customHeight="1">
      <c r="J378" s="2870"/>
    </row>
    <row r="379" spans="10:27" s="657" customFormat="1" ht="21.75" customHeight="1">
      <c r="J379" s="2870"/>
    </row>
    <row r="380" spans="10:27" s="657" customFormat="1" ht="21.75" customHeight="1">
      <c r="J380" s="2870"/>
    </row>
    <row r="381" spans="10:27" s="657" customFormat="1" ht="21.75" customHeight="1">
      <c r="J381" s="2870"/>
    </row>
    <row r="382" spans="10:27" s="657" customFormat="1" ht="21.75" customHeight="1">
      <c r="J382" s="2870"/>
    </row>
    <row r="383" spans="10:27" s="1306" customFormat="1" ht="21.75" customHeight="1">
      <c r="J383" s="2840"/>
      <c r="K383" s="657"/>
      <c r="L383" s="657"/>
      <c r="M383" s="657"/>
      <c r="N383" s="657"/>
      <c r="O383" s="657"/>
      <c r="P383" s="657"/>
      <c r="Q383" s="657"/>
      <c r="R383" s="657"/>
      <c r="S383" s="657"/>
      <c r="T383" s="657"/>
      <c r="U383" s="657"/>
      <c r="V383" s="657"/>
      <c r="W383" s="657"/>
      <c r="X383" s="657"/>
      <c r="Y383" s="657"/>
      <c r="Z383" s="657"/>
      <c r="AA383" s="657"/>
    </row>
    <row r="384" spans="10:27" s="1306" customFormat="1" ht="21.75" customHeight="1">
      <c r="J384" s="2840"/>
      <c r="K384" s="657"/>
      <c r="L384" s="657"/>
      <c r="M384" s="657"/>
      <c r="N384" s="657"/>
      <c r="O384" s="657"/>
      <c r="P384" s="657"/>
      <c r="Q384" s="657"/>
      <c r="R384" s="657"/>
      <c r="S384" s="657"/>
      <c r="T384" s="657"/>
      <c r="U384" s="657"/>
      <c r="V384" s="657"/>
      <c r="W384" s="657"/>
      <c r="X384" s="657"/>
      <c r="Y384" s="657"/>
      <c r="Z384" s="657"/>
      <c r="AA384" s="657"/>
    </row>
    <row r="385" spans="10:27" s="1306" customFormat="1" ht="21.75" customHeight="1">
      <c r="J385" s="2840"/>
      <c r="K385" s="657"/>
      <c r="L385" s="657"/>
      <c r="M385" s="657"/>
      <c r="N385" s="657"/>
      <c r="O385" s="657"/>
      <c r="P385" s="657"/>
      <c r="Q385" s="657"/>
      <c r="R385" s="657"/>
      <c r="S385" s="657"/>
      <c r="T385" s="657"/>
      <c r="U385" s="657"/>
      <c r="V385" s="657"/>
      <c r="W385" s="657"/>
      <c r="X385" s="657"/>
      <c r="Y385" s="657"/>
      <c r="Z385" s="657"/>
      <c r="AA385" s="657"/>
    </row>
    <row r="386" spans="10:27" s="1306" customFormat="1" ht="21.75" customHeight="1">
      <c r="J386" s="2840"/>
      <c r="K386" s="657"/>
      <c r="L386" s="657"/>
      <c r="M386" s="657"/>
      <c r="N386" s="657"/>
      <c r="O386" s="657"/>
      <c r="P386" s="657"/>
      <c r="Q386" s="657"/>
      <c r="R386" s="657"/>
      <c r="S386" s="657"/>
      <c r="T386" s="657"/>
      <c r="U386" s="657"/>
      <c r="V386" s="657"/>
      <c r="W386" s="657"/>
      <c r="X386" s="657"/>
      <c r="Y386" s="657"/>
      <c r="Z386" s="657"/>
      <c r="AA386" s="657"/>
    </row>
    <row r="387" spans="10:27" s="1306" customFormat="1" ht="21.75" customHeight="1">
      <c r="J387" s="2840"/>
      <c r="K387" s="657"/>
      <c r="L387" s="657"/>
      <c r="M387" s="657"/>
      <c r="N387" s="657"/>
      <c r="O387" s="657"/>
      <c r="P387" s="657"/>
      <c r="Q387" s="657"/>
      <c r="R387" s="657"/>
      <c r="S387" s="657"/>
      <c r="T387" s="657"/>
      <c r="U387" s="657"/>
      <c r="V387" s="657"/>
      <c r="W387" s="657"/>
      <c r="X387" s="657"/>
      <c r="Y387" s="657"/>
      <c r="Z387" s="657"/>
      <c r="AA387" s="657"/>
    </row>
    <row r="388" spans="10:27" s="1306" customFormat="1" ht="21.75" customHeight="1">
      <c r="J388" s="2840"/>
      <c r="K388" s="657"/>
      <c r="L388" s="657"/>
      <c r="M388" s="657"/>
      <c r="N388" s="657"/>
      <c r="O388" s="657"/>
      <c r="P388" s="657"/>
      <c r="Q388" s="657"/>
      <c r="R388" s="657"/>
      <c r="S388" s="657"/>
      <c r="T388" s="657"/>
      <c r="U388" s="657"/>
      <c r="V388" s="657"/>
      <c r="W388" s="657"/>
      <c r="X388" s="657"/>
      <c r="Y388" s="657"/>
      <c r="Z388" s="657"/>
      <c r="AA388" s="657"/>
    </row>
    <row r="389" spans="10:27" s="1306" customFormat="1" ht="21.75" customHeight="1">
      <c r="J389" s="2840"/>
      <c r="K389" s="657"/>
      <c r="L389" s="657"/>
      <c r="M389" s="657"/>
      <c r="N389" s="657"/>
      <c r="O389" s="657"/>
      <c r="P389" s="657"/>
      <c r="Q389" s="657"/>
      <c r="R389" s="657"/>
      <c r="S389" s="657"/>
      <c r="T389" s="657"/>
      <c r="U389" s="657"/>
      <c r="V389" s="657"/>
      <c r="W389" s="657"/>
      <c r="X389" s="657"/>
      <c r="Y389" s="657"/>
      <c r="Z389" s="657"/>
      <c r="AA389" s="657"/>
    </row>
    <row r="390" spans="10:27" s="1306" customFormat="1" ht="21.75" customHeight="1">
      <c r="J390" s="2840"/>
      <c r="K390" s="657"/>
      <c r="L390" s="657"/>
      <c r="M390" s="657"/>
      <c r="N390" s="657"/>
      <c r="O390" s="657"/>
      <c r="P390" s="657"/>
      <c r="Q390" s="657"/>
      <c r="R390" s="657"/>
      <c r="S390" s="657"/>
      <c r="T390" s="657"/>
      <c r="U390" s="657"/>
      <c r="V390" s="657"/>
      <c r="W390" s="657"/>
      <c r="X390" s="657"/>
      <c r="Y390" s="657"/>
      <c r="Z390" s="657"/>
      <c r="AA390" s="657"/>
    </row>
    <row r="391" spans="10:27" s="1306" customFormat="1" ht="21.75" customHeight="1">
      <c r="J391" s="2840"/>
      <c r="K391" s="657"/>
      <c r="L391" s="657"/>
      <c r="M391" s="657"/>
      <c r="N391" s="657"/>
      <c r="O391" s="657"/>
      <c r="P391" s="657"/>
      <c r="Q391" s="657"/>
      <c r="R391" s="657"/>
      <c r="S391" s="657"/>
      <c r="T391" s="657"/>
      <c r="U391" s="657"/>
      <c r="V391" s="657"/>
      <c r="W391" s="657"/>
      <c r="X391" s="657"/>
      <c r="Y391" s="657"/>
      <c r="Z391" s="657"/>
      <c r="AA391" s="657"/>
    </row>
    <row r="392" spans="10:27" s="1306" customFormat="1" ht="21.75" customHeight="1">
      <c r="J392" s="2840"/>
      <c r="K392" s="657"/>
      <c r="L392" s="657"/>
      <c r="M392" s="657"/>
      <c r="N392" s="657"/>
      <c r="O392" s="657"/>
      <c r="P392" s="657"/>
      <c r="Q392" s="657"/>
      <c r="R392" s="657"/>
      <c r="S392" s="657"/>
      <c r="T392" s="657"/>
      <c r="U392" s="657"/>
      <c r="V392" s="657"/>
      <c r="W392" s="657"/>
      <c r="X392" s="657"/>
      <c r="Y392" s="657"/>
      <c r="Z392" s="657"/>
      <c r="AA392" s="657"/>
    </row>
    <row r="393" spans="10:27" s="1306" customFormat="1" ht="21.75" customHeight="1">
      <c r="J393" s="2840"/>
      <c r="K393" s="657"/>
      <c r="L393" s="657"/>
      <c r="M393" s="657"/>
      <c r="N393" s="657"/>
      <c r="O393" s="657"/>
      <c r="P393" s="657"/>
      <c r="Q393" s="657"/>
      <c r="R393" s="657"/>
      <c r="S393" s="657"/>
      <c r="T393" s="657"/>
      <c r="U393" s="657"/>
      <c r="V393" s="657"/>
      <c r="W393" s="657"/>
      <c r="X393" s="657"/>
      <c r="Y393" s="657"/>
      <c r="Z393" s="657"/>
      <c r="AA393" s="657"/>
    </row>
    <row r="394" spans="10:27" s="1306" customFormat="1" ht="21.75" customHeight="1">
      <c r="J394" s="2840"/>
      <c r="K394" s="657"/>
      <c r="L394" s="657"/>
      <c r="M394" s="657"/>
      <c r="N394" s="657"/>
      <c r="O394" s="657"/>
      <c r="P394" s="657"/>
      <c r="Q394" s="657"/>
      <c r="R394" s="657"/>
      <c r="S394" s="657"/>
      <c r="T394" s="657"/>
      <c r="U394" s="657"/>
      <c r="V394" s="657"/>
      <c r="W394" s="657"/>
      <c r="X394" s="657"/>
      <c r="Y394" s="657"/>
      <c r="Z394" s="657"/>
      <c r="AA394" s="657"/>
    </row>
    <row r="395" spans="10:27" s="1306" customFormat="1" ht="21.75" customHeight="1">
      <c r="J395" s="2840"/>
      <c r="K395" s="657"/>
      <c r="L395" s="657"/>
      <c r="M395" s="657"/>
      <c r="N395" s="657"/>
      <c r="O395" s="657"/>
      <c r="P395" s="657"/>
      <c r="Q395" s="657"/>
      <c r="R395" s="657"/>
      <c r="S395" s="657"/>
      <c r="T395" s="657"/>
      <c r="U395" s="657"/>
      <c r="V395" s="657"/>
      <c r="W395" s="657"/>
      <c r="X395" s="657"/>
      <c r="Y395" s="657"/>
      <c r="Z395" s="657"/>
      <c r="AA395" s="657"/>
    </row>
    <row r="396" spans="10:27" s="1306" customFormat="1" ht="21.75" customHeight="1">
      <c r="J396" s="2840"/>
      <c r="K396" s="657"/>
      <c r="L396" s="657"/>
      <c r="M396" s="657"/>
      <c r="N396" s="657"/>
      <c r="O396" s="657"/>
      <c r="P396" s="657"/>
      <c r="Q396" s="657"/>
      <c r="R396" s="657"/>
      <c r="S396" s="657"/>
      <c r="T396" s="657"/>
      <c r="U396" s="657"/>
      <c r="V396" s="657"/>
      <c r="W396" s="657"/>
      <c r="X396" s="657"/>
      <c r="Y396" s="657"/>
      <c r="Z396" s="657"/>
      <c r="AA396" s="657"/>
    </row>
    <row r="397" spans="10:27" s="1306" customFormat="1" ht="21.75" customHeight="1">
      <c r="J397" s="2840"/>
      <c r="K397" s="657"/>
      <c r="L397" s="657"/>
      <c r="M397" s="657"/>
      <c r="N397" s="657"/>
      <c r="O397" s="657"/>
      <c r="P397" s="657"/>
      <c r="Q397" s="657"/>
      <c r="R397" s="657"/>
      <c r="S397" s="657"/>
      <c r="T397" s="657"/>
      <c r="U397" s="657"/>
      <c r="V397" s="657"/>
      <c r="W397" s="657"/>
      <c r="X397" s="657"/>
      <c r="Y397" s="657"/>
      <c r="Z397" s="657"/>
      <c r="AA397" s="657"/>
    </row>
    <row r="398" spans="10:27" s="1306" customFormat="1" ht="21.75" customHeight="1">
      <c r="J398" s="2840"/>
      <c r="K398" s="657"/>
      <c r="L398" s="657"/>
      <c r="M398" s="657"/>
      <c r="N398" s="657"/>
      <c r="O398" s="657"/>
      <c r="P398" s="657"/>
      <c r="Q398" s="657"/>
      <c r="R398" s="657"/>
      <c r="S398" s="657"/>
      <c r="T398" s="657"/>
      <c r="U398" s="657"/>
      <c r="V398" s="657"/>
      <c r="W398" s="657"/>
      <c r="X398" s="657"/>
      <c r="Y398" s="657"/>
      <c r="Z398" s="657"/>
      <c r="AA398" s="657"/>
    </row>
    <row r="399" spans="10:27" s="1306" customFormat="1" ht="21.75" customHeight="1">
      <c r="J399" s="2840"/>
      <c r="K399" s="657"/>
      <c r="L399" s="657"/>
      <c r="M399" s="657"/>
      <c r="N399" s="657"/>
      <c r="O399" s="657"/>
      <c r="P399" s="657"/>
      <c r="Q399" s="657"/>
      <c r="R399" s="657"/>
      <c r="S399" s="657"/>
      <c r="T399" s="657"/>
      <c r="U399" s="657"/>
      <c r="V399" s="657"/>
      <c r="W399" s="657"/>
      <c r="X399" s="657"/>
      <c r="Y399" s="657"/>
      <c r="Z399" s="657"/>
      <c r="AA399" s="657"/>
    </row>
    <row r="400" spans="10:27" s="1306" customFormat="1" ht="21.75" customHeight="1">
      <c r="J400" s="2840"/>
      <c r="K400" s="657"/>
      <c r="L400" s="657"/>
      <c r="M400" s="657"/>
      <c r="N400" s="657"/>
      <c r="O400" s="657"/>
      <c r="P400" s="657"/>
      <c r="Q400" s="657"/>
      <c r="R400" s="657"/>
      <c r="S400" s="657"/>
      <c r="T400" s="657"/>
      <c r="U400" s="657"/>
      <c r="V400" s="657"/>
      <c r="W400" s="657"/>
      <c r="X400" s="657"/>
      <c r="Y400" s="657"/>
      <c r="Z400" s="657"/>
      <c r="AA400" s="657"/>
    </row>
    <row r="401" spans="10:27" s="1306" customFormat="1" ht="21.75" customHeight="1">
      <c r="J401" s="2840"/>
      <c r="K401" s="657"/>
      <c r="L401" s="657"/>
      <c r="M401" s="657"/>
      <c r="N401" s="657"/>
      <c r="O401" s="657"/>
      <c r="P401" s="657"/>
      <c r="Q401" s="657"/>
      <c r="R401" s="657"/>
      <c r="S401" s="657"/>
      <c r="T401" s="657"/>
      <c r="U401" s="657"/>
      <c r="V401" s="657"/>
      <c r="W401" s="657"/>
      <c r="X401" s="657"/>
      <c r="Y401" s="657"/>
      <c r="Z401" s="657"/>
      <c r="AA401" s="657"/>
    </row>
    <row r="402" spans="10:27" s="1306" customFormat="1" ht="21.75" customHeight="1">
      <c r="J402" s="2840"/>
      <c r="K402" s="657"/>
      <c r="L402" s="657"/>
      <c r="M402" s="657"/>
      <c r="N402" s="657"/>
      <c r="O402" s="657"/>
      <c r="P402" s="657"/>
      <c r="Q402" s="657"/>
      <c r="R402" s="657"/>
      <c r="S402" s="657"/>
      <c r="T402" s="657"/>
      <c r="U402" s="657"/>
      <c r="V402" s="657"/>
      <c r="W402" s="657"/>
      <c r="X402" s="657"/>
      <c r="Y402" s="657"/>
      <c r="Z402" s="657"/>
      <c r="AA402" s="657"/>
    </row>
    <row r="403" spans="10:27" s="1306" customFormat="1" ht="21.75" customHeight="1">
      <c r="J403" s="2840"/>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40"/>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40"/>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40"/>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40"/>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40"/>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40"/>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40"/>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40"/>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40"/>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40"/>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40"/>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40"/>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40"/>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40"/>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40"/>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40"/>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40"/>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40"/>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40"/>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40"/>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40"/>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40"/>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40"/>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40"/>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40"/>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40"/>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40"/>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40"/>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40"/>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40"/>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40"/>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40"/>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40"/>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40"/>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40"/>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40"/>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40"/>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40"/>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40"/>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40"/>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40"/>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40"/>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40"/>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40"/>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40"/>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40"/>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40"/>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40"/>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40"/>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40"/>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40"/>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40"/>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40"/>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40"/>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40"/>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40"/>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40"/>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40"/>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40"/>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40"/>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40"/>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40"/>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40"/>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40"/>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40"/>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40"/>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40"/>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40"/>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40"/>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40"/>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40"/>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40"/>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40"/>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40"/>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40"/>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40"/>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40"/>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40"/>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40"/>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40"/>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40"/>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40"/>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40"/>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40"/>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40"/>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40"/>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40"/>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40"/>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40"/>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40"/>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40"/>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40"/>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40"/>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40"/>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40"/>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40"/>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40"/>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40"/>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40"/>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40"/>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40"/>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40"/>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40"/>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40"/>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40"/>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40"/>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40"/>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40"/>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40"/>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40"/>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40"/>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40"/>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J516" s="2840"/>
      <c r="K516" s="657"/>
      <c r="L516" s="657"/>
      <c r="M516" s="657"/>
      <c r="N516" s="657"/>
      <c r="O516" s="657"/>
      <c r="P516" s="657"/>
      <c r="Q516" s="657"/>
      <c r="R516" s="657"/>
      <c r="S516" s="657"/>
      <c r="T516" s="657"/>
      <c r="U516" s="657"/>
      <c r="V516" s="657"/>
      <c r="W516" s="657"/>
      <c r="X516" s="657"/>
      <c r="Y516" s="657"/>
      <c r="Z516" s="657"/>
      <c r="AA516" s="657"/>
    </row>
    <row r="517" spans="6:27" s="1306" customFormat="1" ht="21.75" customHeight="1">
      <c r="J517" s="2840"/>
      <c r="K517" s="657"/>
      <c r="L517" s="657"/>
      <c r="M517" s="657"/>
      <c r="N517" s="657"/>
      <c r="O517" s="657"/>
      <c r="P517" s="657"/>
      <c r="Q517" s="657"/>
      <c r="R517" s="657"/>
      <c r="S517" s="657"/>
      <c r="T517" s="657"/>
      <c r="U517" s="657"/>
      <c r="V517" s="657"/>
      <c r="W517" s="657"/>
      <c r="X517" s="657"/>
      <c r="Y517" s="657"/>
      <c r="Z517" s="657"/>
      <c r="AA517" s="657"/>
    </row>
    <row r="518" spans="6:27" s="1306" customFormat="1" ht="21.75" customHeight="1">
      <c r="J518" s="2840"/>
      <c r="K518" s="657"/>
      <c r="L518" s="657"/>
      <c r="M518" s="657"/>
      <c r="N518" s="657"/>
      <c r="O518" s="657"/>
      <c r="P518" s="657"/>
      <c r="Q518" s="657"/>
      <c r="R518" s="657"/>
      <c r="S518" s="657"/>
      <c r="T518" s="657"/>
      <c r="U518" s="657"/>
      <c r="V518" s="657"/>
      <c r="W518" s="657"/>
      <c r="X518" s="657"/>
      <c r="Y518" s="657"/>
      <c r="Z518" s="657"/>
      <c r="AA518" s="657"/>
    </row>
    <row r="519" spans="6:27" s="1306" customFormat="1" ht="21.75" customHeight="1">
      <c r="J519" s="2840"/>
      <c r="K519" s="657"/>
      <c r="L519" s="657"/>
      <c r="M519" s="657"/>
      <c r="N519" s="657"/>
      <c r="O519" s="657"/>
      <c r="P519" s="657"/>
      <c r="Q519" s="657"/>
      <c r="R519" s="657"/>
      <c r="S519" s="657"/>
      <c r="T519" s="657"/>
      <c r="U519" s="657"/>
      <c r="V519" s="657"/>
      <c r="W519" s="657"/>
      <c r="X519" s="657"/>
      <c r="Y519" s="657"/>
      <c r="Z519" s="657"/>
      <c r="AA519" s="657"/>
    </row>
    <row r="520" spans="6:27" s="1306" customFormat="1" ht="21.75" customHeight="1">
      <c r="F520" s="1460"/>
      <c r="G520" s="1460"/>
      <c r="H520" s="1460"/>
      <c r="I520" s="1460"/>
      <c r="J520" s="2840"/>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0" t="s">
        <v>1287</v>
      </c>
      <c r="D1" s="1122"/>
      <c r="E1" s="922"/>
      <c r="F1" s="922"/>
      <c r="G1" s="922"/>
      <c r="H1" s="922"/>
      <c r="I1" s="922"/>
      <c r="J1" s="922"/>
      <c r="K1" s="922"/>
    </row>
    <row r="2" spans="1:33" s="139" customFormat="1" ht="18" customHeight="1">
      <c r="A2" s="81" t="s">
        <v>1288</v>
      </c>
      <c r="B2" s="84">
        <f ca="1">IF(C2="元",C32,ROUND(C32/10000,0))</f>
        <v>1072</v>
      </c>
      <c r="C2" s="1399" t="str">
        <f>'数据-取费表'!B3</f>
        <v>万元</v>
      </c>
      <c r="D2" s="922"/>
      <c r="E2" s="922"/>
      <c r="F2" s="922"/>
      <c r="G2" s="922"/>
      <c r="H2" s="922"/>
      <c r="I2" s="922"/>
      <c r="J2" s="922"/>
      <c r="K2" s="922"/>
    </row>
    <row r="3" spans="1:33" s="139" customFormat="1" ht="18" customHeight="1" thickBot="1">
      <c r="A3" s="83" t="s">
        <v>1289</v>
      </c>
      <c r="B3" s="84">
        <f ca="1">ROUND(C32/IF(C1="仅计算典型户型",'数据-取费表'!E5,'数据-取费表'!B5),0)</f>
        <v>24726</v>
      </c>
      <c r="C3" s="1399" t="s">
        <v>1290</v>
      </c>
      <c r="D3" s="922"/>
      <c r="E3" s="922"/>
      <c r="F3" s="922"/>
      <c r="G3" s="922"/>
      <c r="H3" s="922"/>
      <c r="I3" s="922"/>
      <c r="J3" s="922"/>
      <c r="K3" s="922"/>
    </row>
    <row r="4" spans="1:33" s="143" customFormat="1" ht="16.5" customHeight="1">
      <c r="A4" s="140" t="s">
        <v>1291</v>
      </c>
      <c r="B4" s="141"/>
      <c r="C4" s="1121">
        <f>SUM(C8:K8)</f>
        <v>15172500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1292</v>
      </c>
      <c r="B5" s="145" t="s">
        <v>1293</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1294</v>
      </c>
      <c r="B6" s="147" t="s">
        <v>1295</v>
      </c>
      <c r="C6" s="148">
        <v>35000</v>
      </c>
      <c r="D6" s="1118"/>
      <c r="E6" s="1118"/>
      <c r="F6" s="1118"/>
      <c r="G6" s="1118"/>
      <c r="H6" s="1118"/>
      <c r="I6" s="1118"/>
      <c r="J6" s="1118"/>
      <c r="K6" s="111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1296</v>
      </c>
      <c r="B7" s="147" t="s">
        <v>1297</v>
      </c>
      <c r="C7" s="150">
        <f>IF(C1="仅计算典型户型",'数据-取费表'!E5,'数据-取费表'!B5)</f>
        <v>433.5</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400" t="s">
        <v>1298</v>
      </c>
      <c r="B8" s="147" t="s">
        <v>1299</v>
      </c>
      <c r="C8" s="608">
        <f>C6*C7</f>
        <v>15172500</v>
      </c>
      <c r="D8" s="1120"/>
      <c r="E8" s="1120"/>
      <c r="F8" s="1118"/>
      <c r="G8" s="1118"/>
      <c r="H8" s="1118"/>
      <c r="I8" s="1118"/>
      <c r="J8" s="1118"/>
      <c r="K8" s="111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1300</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1292</v>
      </c>
      <c r="B10" s="156" t="s">
        <v>1293</v>
      </c>
      <c r="C10" s="157" t="s">
        <v>1301</v>
      </c>
      <c r="D10" s="158" t="s">
        <v>1302</v>
      </c>
      <c r="E10" s="158" t="s">
        <v>1303</v>
      </c>
      <c r="F10" s="158" t="s">
        <v>1304</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1207</v>
      </c>
      <c r="B11" s="162" t="s">
        <v>1305</v>
      </c>
      <c r="C11" s="163">
        <f>IF(C1="仅计算典型户型",'数据-取费表'!F18,'数据-取费表'!E18)</f>
        <v>1083750</v>
      </c>
      <c r="D11" s="164"/>
      <c r="E11" s="34"/>
      <c r="F11" s="165">
        <f>1-'数据-取费表'!E20</f>
        <v>0.28000000000000003</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1208</v>
      </c>
      <c r="B12" s="162" t="s">
        <v>1306</v>
      </c>
      <c r="C12" s="13">
        <f>ROUND(C11*F12,0)</f>
        <v>32513</v>
      </c>
      <c r="D12" s="164"/>
      <c r="E12" s="34"/>
      <c r="F12" s="167">
        <f>'数据-取费表'!E21</f>
        <v>0.03</v>
      </c>
      <c r="G12" s="156" t="s">
        <v>1307</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1209</v>
      </c>
      <c r="B13" s="162" t="s">
        <v>1308</v>
      </c>
      <c r="C13" s="13">
        <f>ROUND(IF('数据-取费表'!B10="住宅",C11*F13,0),0)</f>
        <v>0</v>
      </c>
      <c r="D13" s="164"/>
      <c r="E13" s="34"/>
      <c r="F13" s="167">
        <f>'数据-取费表'!E22</f>
        <v>0.05</v>
      </c>
      <c r="G13" s="156" t="s">
        <v>1309</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1210</v>
      </c>
      <c r="B14" s="162" t="s">
        <v>1310</v>
      </c>
      <c r="C14" s="13">
        <f>ROUND(D14*E14*F11,0)</f>
        <v>24276</v>
      </c>
      <c r="D14" s="164">
        <f>IF(C1="仅计算典型户型",'数据-取费表'!E5,'数据-取费表'!B5)</f>
        <v>433.5</v>
      </c>
      <c r="E14" s="13">
        <f>'数据-取费表'!E23</f>
        <v>200</v>
      </c>
      <c r="F14" s="167"/>
      <c r="G14" s="156" t="s">
        <v>1311</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1211</v>
      </c>
      <c r="B15" s="162" t="s">
        <v>1312</v>
      </c>
      <c r="C15" s="175">
        <f>ROUND(C11*F15,0)</f>
        <v>16256</v>
      </c>
      <c r="D15" s="169"/>
      <c r="E15" s="175"/>
      <c r="F15" s="176">
        <f>'数据-取费表'!E24</f>
        <v>1.4999999999999999E-2</v>
      </c>
      <c r="G15" s="147" t="s">
        <v>1313</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1314</v>
      </c>
      <c r="B16" s="162" t="s">
        <v>1315</v>
      </c>
      <c r="C16" s="163">
        <f>SUM(C11:C15)</f>
        <v>1156795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1316</v>
      </c>
      <c r="B17" s="162" t="s">
        <v>1317</v>
      </c>
      <c r="C17" s="13">
        <f>ROUND(D17*E17,0)</f>
        <v>0</v>
      </c>
      <c r="D17" s="164">
        <f>IF(C1="仅计算典型户型",'数据-取费表'!E5,'数据-取费表'!B5)</f>
        <v>433.5</v>
      </c>
      <c r="E17" s="13">
        <f>'数据-取费表'!E16</f>
        <v>0</v>
      </c>
      <c r="F17" s="169"/>
      <c r="G17" s="147" t="s">
        <v>1318</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1319</v>
      </c>
      <c r="B18" s="162" t="s">
        <v>1320</v>
      </c>
      <c r="C18" s="13">
        <f>C19+C20-'数据-取费表'!E13</f>
        <v>-256356</v>
      </c>
      <c r="D18" s="164"/>
      <c r="E18" s="13"/>
      <c r="F18" s="167"/>
      <c r="G18" s="147" t="s">
        <v>1321</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1323</v>
      </c>
      <c r="C20" s="13">
        <f>ROUND(D20*E20,0)</f>
        <v>86700</v>
      </c>
      <c r="D20" s="164">
        <f>IF('数据-取费表'!B10&lt;&gt;"住宅",IF(C1="仅计算典型户型",'数据-取费表'!E5,'数据-取费表'!B5),0)</f>
        <v>433.5</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1294</v>
      </c>
      <c r="B21" s="177" t="s">
        <v>1324</v>
      </c>
      <c r="C21" s="178">
        <f>C16+C17+C18</f>
        <v>900439</v>
      </c>
      <c r="D21" s="179"/>
      <c r="E21" s="180"/>
      <c r="F21" s="180"/>
      <c r="G21" s="147" t="s">
        <v>1325</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1296</v>
      </c>
      <c r="B22" s="177" t="s">
        <v>1326</v>
      </c>
      <c r="C22" s="178">
        <f>ROUND(C21*F22,0)</f>
        <v>9004</v>
      </c>
      <c r="D22" s="180"/>
      <c r="E22" s="180"/>
      <c r="F22" s="181">
        <f>'数据-取费表'!E25</f>
        <v>0.01</v>
      </c>
      <c r="G22" s="156" t="s">
        <v>1327</v>
      </c>
      <c r="H22" s="159"/>
      <c r="I22" s="159"/>
      <c r="J22" s="159"/>
      <c r="K22" s="160"/>
      <c r="L22" s="182"/>
      <c r="M22" s="182"/>
      <c r="N22" s="182"/>
    </row>
    <row r="23" spans="1:33" s="166" customFormat="1" ht="13.5" customHeight="1">
      <c r="A23" s="993" t="s">
        <v>1298</v>
      </c>
      <c r="B23" s="177" t="s">
        <v>1328</v>
      </c>
      <c r="C23" s="178">
        <f>ROUND(C4*F23*F11,0)</f>
        <v>42483</v>
      </c>
      <c r="D23" s="180"/>
      <c r="E23" s="180"/>
      <c r="F23" s="181">
        <f>'数据-取费表'!E26</f>
        <v>0.01</v>
      </c>
      <c r="G23" s="156" t="s">
        <v>1329</v>
      </c>
      <c r="H23" s="159"/>
      <c r="I23" s="159"/>
      <c r="J23" s="159"/>
      <c r="K23" s="160"/>
    </row>
    <row r="24" spans="1:33" s="166" customFormat="1" ht="13.5" customHeight="1">
      <c r="A24" s="993"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3" t="s">
        <v>1333</v>
      </c>
      <c r="B25" s="179" t="s">
        <v>1334</v>
      </c>
      <c r="C25" s="188">
        <f ca="1">C27</f>
        <v>0</v>
      </c>
      <c r="D25" s="183">
        <f ca="1">C26</f>
        <v>0</v>
      </c>
      <c r="E25" s="189" t="s">
        <v>12</v>
      </c>
      <c r="F25" s="190">
        <f ca="1">'数据-取费表'!E27</f>
        <v>3.85E-2</v>
      </c>
      <c r="G25" s="147" t="s">
        <v>1335</v>
      </c>
      <c r="H25" s="186"/>
      <c r="I25" s="186"/>
      <c r="J25" s="186"/>
      <c r="K25" s="187"/>
    </row>
    <row r="26" spans="1:33" s="196" customFormat="1" ht="13.5" customHeight="1">
      <c r="A26" s="994"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3" t="s">
        <v>1340</v>
      </c>
      <c r="B28" s="198" t="s">
        <v>1341</v>
      </c>
      <c r="C28" s="199">
        <f>C30</f>
        <v>190385</v>
      </c>
      <c r="D28" s="183">
        <f>C29</f>
        <v>0.20580000000000001</v>
      </c>
      <c r="E28" s="189" t="s">
        <v>12</v>
      </c>
      <c r="F28" s="200">
        <f>'数据-取费表'!E28</f>
        <v>0.2</v>
      </c>
      <c r="G28" s="185"/>
      <c r="H28" s="186"/>
      <c r="I28" s="186"/>
      <c r="J28" s="186"/>
      <c r="K28" s="187"/>
    </row>
    <row r="29" spans="1:33" s="204" customFormat="1" ht="13.5" customHeight="1">
      <c r="A29" s="994" t="s">
        <v>1342</v>
      </c>
      <c r="B29" s="202" t="s">
        <v>1343</v>
      </c>
      <c r="C29" s="193">
        <f>ROUND((1+C24)*F28,4)</f>
        <v>0.20580000000000001</v>
      </c>
      <c r="D29" s="193"/>
      <c r="E29" s="194"/>
      <c r="F29" s="203"/>
      <c r="G29" s="147" t="s">
        <v>1344</v>
      </c>
      <c r="H29" s="170"/>
      <c r="I29" s="170"/>
      <c r="J29" s="170"/>
      <c r="K29" s="171"/>
    </row>
    <row r="30" spans="1:33" s="204" customFormat="1" ht="13.5" customHeight="1">
      <c r="A30" s="994" t="s">
        <v>1345</v>
      </c>
      <c r="B30" s="202" t="s">
        <v>1346</v>
      </c>
      <c r="C30" s="205">
        <f>ROUND((C21+C22+C23)*F28,0)</f>
        <v>190385</v>
      </c>
      <c r="D30" s="193"/>
      <c r="E30" s="206"/>
      <c r="F30" s="203"/>
      <c r="G30" s="147"/>
      <c r="H30" s="170"/>
      <c r="I30" s="170"/>
      <c r="J30" s="170"/>
      <c r="K30" s="171"/>
    </row>
    <row r="31" spans="1:33" s="182" customFormat="1" ht="13.5" customHeight="1" thickBot="1">
      <c r="A31" s="1401" t="s">
        <v>1347</v>
      </c>
      <c r="B31" s="177" t="s">
        <v>1348</v>
      </c>
      <c r="C31" s="207">
        <f>ROUND(C4*F31/(1+'数据-取费表'!F30),0)</f>
        <v>794750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10718690</v>
      </c>
      <c r="D32" s="214"/>
      <c r="E32" s="214"/>
      <c r="F32" s="214"/>
      <c r="G32" s="216" t="s">
        <v>1351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48" sqref="J4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2004</v>
      </c>
      <c r="B1" s="222"/>
      <c r="C1" s="609"/>
      <c r="D1" s="1623" t="s">
        <v>2746</v>
      </c>
      <c r="E1" s="1624" t="s">
        <v>1241</v>
      </c>
      <c r="F1" s="1625"/>
      <c r="G1" s="1626" t="e">
        <f>MATCH(C1,'数据-取费表'!A19:A19,0)+5</f>
        <v>#N/A</v>
      </c>
      <c r="H1" s="2984"/>
      <c r="I1" s="923"/>
      <c r="J1" s="923"/>
      <c r="K1" s="924"/>
      <c r="L1" s="923"/>
      <c r="M1" s="923"/>
      <c r="N1" s="656"/>
      <c r="O1" s="656"/>
      <c r="P1" s="656"/>
      <c r="Q1" s="1037"/>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1914</v>
      </c>
      <c r="B2" s="640">
        <f ca="1">IF(C2="元",IF('数据-取费表'!B29="租赁期内按合同租金",C40+L47+J29,C40+L47),ROUND(IF('数据-取费表'!B29="租赁期内按合同租金",(C40+L47+J29)/10000,(C40+L47)/10000),0))</f>
        <v>2760</v>
      </c>
      <c r="C2" s="1517" t="str">
        <f>'数据-取费表'!B3</f>
        <v>万元</v>
      </c>
      <c r="D2" s="925"/>
      <c r="E2" s="926"/>
      <c r="F2" s="926"/>
      <c r="G2" s="951"/>
      <c r="H2" s="927"/>
      <c r="I2" s="927"/>
      <c r="J2" s="927"/>
      <c r="K2" s="928"/>
      <c r="L2" s="927"/>
      <c r="M2" s="927"/>
    </row>
    <row r="3" spans="1:37" ht="18" customHeight="1" thickBot="1">
      <c r="A3" s="226" t="s">
        <v>1915</v>
      </c>
      <c r="B3" s="641">
        <f ca="1">ROUND(IF('数据-取费表'!B29="租赁期内按合同租金",(C40+L47+J29)/F43,(C40+L47)/F43),0)</f>
        <v>16089</v>
      </c>
      <c r="C3" s="1517" t="s">
        <v>2005</v>
      </c>
      <c r="D3" s="925"/>
      <c r="E3" s="926"/>
      <c r="F3" s="926"/>
      <c r="G3" s="951"/>
      <c r="H3" s="227" t="s">
        <v>2006</v>
      </c>
      <c r="I3" s="927"/>
      <c r="J3" s="927"/>
      <c r="K3" s="928"/>
      <c r="L3" s="927"/>
      <c r="M3" s="927"/>
    </row>
    <row r="4" spans="1:37" ht="18" customHeight="1">
      <c r="A4" s="228" t="s">
        <v>2007</v>
      </c>
      <c r="B4" s="229" t="s">
        <v>2008</v>
      </c>
      <c r="C4" s="229" t="s">
        <v>2009</v>
      </c>
      <c r="D4" s="229" t="s">
        <v>2010</v>
      </c>
      <c r="E4" s="230" t="s">
        <v>2011</v>
      </c>
      <c r="F4" s="231"/>
      <c r="G4" s="949"/>
      <c r="H4" s="228" t="s">
        <v>2007</v>
      </c>
      <c r="I4" s="229" t="s">
        <v>2008</v>
      </c>
      <c r="J4" s="229" t="s">
        <v>2009</v>
      </c>
      <c r="K4" s="229" t="s">
        <v>2010</v>
      </c>
      <c r="L4" s="230" t="s">
        <v>2011</v>
      </c>
      <c r="M4" s="231"/>
    </row>
    <row r="5" spans="1:37" ht="18" customHeight="1">
      <c r="A5" s="232">
        <v>1</v>
      </c>
      <c r="B5" s="233" t="s">
        <v>2012</v>
      </c>
      <c r="C5" s="234">
        <f ca="1">C6+C10+C12</f>
        <v>1974608</v>
      </c>
      <c r="D5" s="1631" t="s">
        <v>2724</v>
      </c>
      <c r="E5" s="925"/>
      <c r="F5" s="1054"/>
      <c r="G5" s="949"/>
      <c r="H5" s="232">
        <v>1</v>
      </c>
      <c r="I5" s="233" t="s">
        <v>2012</v>
      </c>
      <c r="J5" s="234">
        <f ca="1">J6+J10+J12</f>
        <v>0</v>
      </c>
      <c r="K5" s="1518" t="s">
        <v>2013</v>
      </c>
      <c r="L5" s="925"/>
      <c r="M5" s="1054"/>
    </row>
    <row r="6" spans="1:37" ht="18" customHeight="1">
      <c r="A6" s="1055" t="s">
        <v>2014</v>
      </c>
      <c r="B6" s="1440" t="s">
        <v>2015</v>
      </c>
      <c r="C6" s="234">
        <f>ROUND(F6*F8*F7*(1-F9),0)</f>
        <v>1972143</v>
      </c>
      <c r="D6" s="36" t="s">
        <v>2700</v>
      </c>
      <c r="E6" s="235" t="s">
        <v>2016</v>
      </c>
      <c r="F6" s="236">
        <f>'数据-取费表'!B30</f>
        <v>3.5</v>
      </c>
      <c r="G6" s="949"/>
      <c r="H6" s="1055" t="s">
        <v>2014</v>
      </c>
      <c r="I6" s="1440" t="s">
        <v>2015</v>
      </c>
      <c r="J6" s="234">
        <f>ROUND(M6*M8*M7*(1-M9),0)</f>
        <v>0</v>
      </c>
      <c r="K6" s="36" t="s">
        <v>2700</v>
      </c>
      <c r="L6" s="235" t="s">
        <v>2016</v>
      </c>
      <c r="M6" s="236">
        <f>'数据-取费表'!B37</f>
        <v>0</v>
      </c>
    </row>
    <row r="7" spans="1:37" ht="18" customHeight="1">
      <c r="A7" s="1117"/>
      <c r="B7" s="238"/>
      <c r="C7" s="239"/>
      <c r="D7" s="240"/>
      <c r="E7" s="235" t="s">
        <v>2017</v>
      </c>
      <c r="F7" s="236">
        <f>IF('数据-取费表'!B42="",IF(D1="仅计算典型户型",'数据-取费表'!E5,'数据-取费表'!B5),'数据-取费表'!B42)</f>
        <v>1715.28</v>
      </c>
      <c r="G7" s="949"/>
      <c r="H7" s="237"/>
      <c r="I7" s="238"/>
      <c r="J7" s="239"/>
      <c r="K7" s="240"/>
      <c r="L7" s="235" t="s">
        <v>2017</v>
      </c>
      <c r="M7" s="236">
        <f>IF('数据-取费表'!B42="",IF(D1="仅计算典型户型",'数据-取费表'!E5,'数据-取费表'!B5),'数据-取费表'!B42)</f>
        <v>1715.28</v>
      </c>
    </row>
    <row r="8" spans="1:37" ht="18" customHeight="1">
      <c r="A8" s="1117"/>
      <c r="B8" s="238"/>
      <c r="C8" s="239"/>
      <c r="D8" s="240"/>
      <c r="E8" s="235" t="s">
        <v>2018</v>
      </c>
      <c r="F8" s="236">
        <f>'数据-取费表'!B43</f>
        <v>365</v>
      </c>
      <c r="G8" s="949"/>
      <c r="H8" s="237"/>
      <c r="I8" s="238"/>
      <c r="J8" s="239"/>
      <c r="K8" s="240"/>
      <c r="L8" s="235" t="s">
        <v>2019</v>
      </c>
      <c r="M8" s="236">
        <f>'数据-取费表'!B43</f>
        <v>365</v>
      </c>
    </row>
    <row r="9" spans="1:37" ht="18" customHeight="1">
      <c r="A9" s="1117"/>
      <c r="B9" s="238"/>
      <c r="C9" s="239"/>
      <c r="D9" s="244"/>
      <c r="E9" s="235" t="s">
        <v>2020</v>
      </c>
      <c r="F9" s="245">
        <f>'数据-取费表'!B33</f>
        <v>0.1</v>
      </c>
      <c r="G9" s="949"/>
      <c r="H9" s="237"/>
      <c r="I9" s="238"/>
      <c r="J9" s="1057"/>
      <c r="K9" s="43"/>
      <c r="L9" s="246" t="s">
        <v>2020</v>
      </c>
      <c r="M9" s="245">
        <f>'数据-取费表'!B39</f>
        <v>0</v>
      </c>
    </row>
    <row r="10" spans="1:37" ht="18" customHeight="1">
      <c r="A10" s="1055" t="s">
        <v>2021</v>
      </c>
      <c r="B10" s="1519" t="s">
        <v>2022</v>
      </c>
      <c r="C10" s="1056">
        <f ca="1">ROUND(IF(F10="押一",C6/12*F11,IF(F10="押二",C6/12*2*F11,IF(F10="押三",C6/12*3*F11,C11*F11))),0)</f>
        <v>2465</v>
      </c>
      <c r="D10" s="1520" t="s">
        <v>2706</v>
      </c>
      <c r="E10" s="246" t="s">
        <v>2023</v>
      </c>
      <c r="F10" s="1521" t="s">
        <v>2024</v>
      </c>
      <c r="G10" s="949"/>
      <c r="H10" s="1055" t="s">
        <v>2021</v>
      </c>
      <c r="I10" s="1519" t="s">
        <v>2022</v>
      </c>
      <c r="J10" s="1056">
        <f ca="1">ROUND(IF(M10="押一",J6/12*M11,IF(M10="押二",J6/12*2*M11,IF(M10="押三",J6/12*3*M11,J11*M11))),0)</f>
        <v>0</v>
      </c>
      <c r="K10" s="36" t="s">
        <v>2706</v>
      </c>
      <c r="L10" s="246" t="s">
        <v>2023</v>
      </c>
      <c r="M10" s="1521"/>
    </row>
    <row r="11" spans="1:37" s="257" customFormat="1" ht="18" customHeight="1">
      <c r="A11" s="263"/>
      <c r="B11" s="1522" t="s">
        <v>2025</v>
      </c>
      <c r="C11" s="1089"/>
      <c r="D11" s="240"/>
      <c r="E11" s="246" t="s">
        <v>2026</v>
      </c>
      <c r="F11" s="247">
        <f ca="1">'数据-取费表'!B31</f>
        <v>1.4999999999999999E-2</v>
      </c>
      <c r="G11" s="950"/>
      <c r="H11" s="241"/>
      <c r="I11" s="1522" t="s">
        <v>2027</v>
      </c>
      <c r="J11" s="1089"/>
      <c r="K11" s="240"/>
      <c r="L11" s="246" t="s">
        <v>2026</v>
      </c>
      <c r="M11" s="247">
        <f ca="1">'数据-取费表'!B31</f>
        <v>1.4999999999999999E-2</v>
      </c>
      <c r="N11" s="655"/>
      <c r="O11" s="655"/>
      <c r="P11" s="655"/>
      <c r="Q11" s="1038"/>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94" t="s">
        <v>2028</v>
      </c>
      <c r="B12" s="1523" t="s">
        <v>2029</v>
      </c>
      <c r="C12" s="1095"/>
      <c r="D12" s="1524"/>
      <c r="E12" s="1101"/>
      <c r="F12" s="1096"/>
      <c r="G12" s="949"/>
      <c r="H12" s="1094" t="s">
        <v>2028</v>
      </c>
      <c r="I12" s="1523" t="s">
        <v>2029</v>
      </c>
      <c r="J12" s="1095"/>
      <c r="K12" s="1111"/>
      <c r="L12" s="1101"/>
      <c r="M12" s="1112"/>
    </row>
    <row r="13" spans="1:37" s="257" customFormat="1" ht="18" customHeight="1" thickTop="1">
      <c r="A13" s="1090">
        <v>2</v>
      </c>
      <c r="B13" s="1091" t="s">
        <v>2030</v>
      </c>
      <c r="C13" s="243">
        <f ca="1">ROUND(C29*F13,0)</f>
        <v>4572743</v>
      </c>
      <c r="D13" s="1092" t="s">
        <v>2031</v>
      </c>
      <c r="E13" s="1092" t="s">
        <v>2032</v>
      </c>
      <c r="F13" s="1093">
        <f>'数据-取费表'!E20</f>
        <v>0.72</v>
      </c>
      <c r="G13" s="950"/>
      <c r="H13" s="1090">
        <v>2</v>
      </c>
      <c r="I13" s="1091" t="s">
        <v>2030</v>
      </c>
      <c r="J13" s="1057">
        <f ca="1">ROUND(J14*J15,0)</f>
        <v>0</v>
      </c>
      <c r="K13" s="1097" t="s">
        <v>2031</v>
      </c>
      <c r="L13" s="1109"/>
      <c r="M13" s="1110"/>
      <c r="N13" s="655"/>
      <c r="O13" s="655"/>
      <c r="P13" s="655"/>
      <c r="Q13" s="1038"/>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2033</v>
      </c>
      <c r="B14" s="235" t="s">
        <v>2034</v>
      </c>
      <c r="C14" s="254">
        <f>IF(D1="仅计算典型户型",'数据-取费表'!F18,'数据-取费表'!E18)</f>
        <v>4288200</v>
      </c>
      <c r="D14" s="1326" t="s">
        <v>2035</v>
      </c>
      <c r="E14" s="1327"/>
      <c r="F14" s="797"/>
      <c r="G14" s="950"/>
      <c r="H14" s="253" t="s">
        <v>2014</v>
      </c>
      <c r="I14" s="235" t="s">
        <v>2036</v>
      </c>
      <c r="J14" s="13">
        <f ca="1">C29</f>
        <v>6351032</v>
      </c>
      <c r="K14" s="12"/>
      <c r="L14" s="251"/>
      <c r="M14" s="252"/>
      <c r="N14" s="655"/>
      <c r="O14" s="655"/>
      <c r="P14" s="655"/>
      <c r="Q14" s="1038"/>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2037</v>
      </c>
      <c r="B15" s="235" t="s">
        <v>2038</v>
      </c>
      <c r="C15" s="13">
        <f>ROUND(C14*F15,0)</f>
        <v>128646</v>
      </c>
      <c r="D15" s="255" t="s">
        <v>2039</v>
      </c>
      <c r="E15" s="255" t="s">
        <v>2040</v>
      </c>
      <c r="F15" s="256">
        <f>'数据-取费表'!E21</f>
        <v>0.03</v>
      </c>
      <c r="G15" s="949"/>
      <c r="H15" s="1100" t="s">
        <v>2041</v>
      </c>
      <c r="I15" s="1101" t="s">
        <v>2042</v>
      </c>
      <c r="J15" s="1113">
        <f>'数据-取费表'!B40</f>
        <v>0</v>
      </c>
      <c r="K15" s="1114"/>
      <c r="L15" s="1115"/>
      <c r="M15" s="1116"/>
    </row>
    <row r="16" spans="1:37" s="257" customFormat="1" ht="18" customHeight="1" thickTop="1">
      <c r="A16" s="253" t="s">
        <v>2043</v>
      </c>
      <c r="B16" s="235" t="s">
        <v>2044</v>
      </c>
      <c r="C16" s="13">
        <f>ROUND(C14*F16,0)</f>
        <v>0</v>
      </c>
      <c r="D16" s="235" t="s">
        <v>2039</v>
      </c>
      <c r="E16" s="235" t="s">
        <v>2040</v>
      </c>
      <c r="F16" s="258">
        <f>IF('数据-取费表'!B10="住宅",'数据-取费表'!E22,0)</f>
        <v>0</v>
      </c>
      <c r="G16" s="950"/>
      <c r="H16" s="1090" t="s">
        <v>14</v>
      </c>
      <c r="I16" s="1091" t="s">
        <v>2045</v>
      </c>
      <c r="J16" s="243">
        <f ca="1">ROUND(J17+J22+J23+J24,0)</f>
        <v>95265</v>
      </c>
      <c r="K16" s="1097" t="s">
        <v>2046</v>
      </c>
      <c r="L16" s="1098"/>
      <c r="M16" s="1099"/>
      <c r="N16" s="655"/>
      <c r="O16" s="655"/>
      <c r="P16" s="655"/>
      <c r="Q16" s="1038"/>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2047</v>
      </c>
      <c r="B17" s="235" t="s">
        <v>2048</v>
      </c>
      <c r="C17" s="13">
        <f>ROUND(F17*IF(D1="仅计算典型户型",'数据-取费表'!E5,'数据-取费表'!B5),0)</f>
        <v>343056</v>
      </c>
      <c r="D17" s="235" t="s">
        <v>2049</v>
      </c>
      <c r="E17" s="235" t="s">
        <v>2050</v>
      </c>
      <c r="F17" s="15">
        <f>'数据-取费表'!E23</f>
        <v>200</v>
      </c>
      <c r="G17" s="950"/>
      <c r="H17" s="253" t="s">
        <v>2051</v>
      </c>
      <c r="I17" s="235" t="s">
        <v>2052</v>
      </c>
      <c r="J17" s="2824">
        <f>ROUND(IF(AND(项目基本情况!B7="自然人",项目基本情况!B6="北京市"),J6*M17/(1+'数据-取费表'!F30),J18+J19+J20),0)</f>
        <v>0</v>
      </c>
      <c r="K17" s="1326" t="s">
        <v>2053</v>
      </c>
      <c r="L17" s="1329" t="s">
        <v>2054</v>
      </c>
      <c r="M17" s="2823">
        <f>IF(项目基本情况!B7="企业","——",IF('数据-取费表'!B10="住宅",IF(M6*M7*M8/12/(1+'数据-取费表'!F30)&gt;100000,4%,2.5%),IF(M6*M7*M8/12/(1+'数据-取费表'!F30)&gt;100000,12%,7%)))</f>
        <v>7.0000000000000007E-2</v>
      </c>
      <c r="N17" s="655"/>
      <c r="O17" s="655"/>
      <c r="P17" s="655"/>
      <c r="Q17" s="1038"/>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2055</v>
      </c>
      <c r="B18" s="235" t="s">
        <v>2056</v>
      </c>
      <c r="C18" s="13">
        <f>ROUND(C14*F18,0)</f>
        <v>64323</v>
      </c>
      <c r="D18" s="235" t="s">
        <v>2039</v>
      </c>
      <c r="E18" s="235" t="s">
        <v>2040</v>
      </c>
      <c r="F18" s="258">
        <f>'数据-取费表'!E24</f>
        <v>1.4999999999999999E-2</v>
      </c>
      <c r="G18" s="949"/>
      <c r="H18" s="253" t="s">
        <v>2057</v>
      </c>
      <c r="I18" s="235" t="s">
        <v>2058</v>
      </c>
      <c r="J18" s="13" t="str">
        <f>IF(项目基本情况!B7="自然人","——",ROUND(J6*M18/(1+'数据-取费表'!F30),0))</f>
        <v>——</v>
      </c>
      <c r="K18" s="1329" t="s">
        <v>2726</v>
      </c>
      <c r="L18" s="235" t="s">
        <v>2040</v>
      </c>
      <c r="M18" s="258">
        <f>'数据-取费表'!E29</f>
        <v>5.5000000000000007E-2</v>
      </c>
    </row>
    <row r="19" spans="1:37" s="257" customFormat="1" ht="18" customHeight="1">
      <c r="A19" s="253" t="s">
        <v>2051</v>
      </c>
      <c r="B19" s="235" t="s">
        <v>2059</v>
      </c>
      <c r="C19" s="13">
        <f>SUM(C14:C18)</f>
        <v>4824225</v>
      </c>
      <c r="D19" s="33" t="s">
        <v>2060</v>
      </c>
      <c r="E19" s="1331"/>
      <c r="F19" s="15"/>
      <c r="G19" s="950"/>
      <c r="H19" s="253" t="s">
        <v>2037</v>
      </c>
      <c r="I19" s="235" t="s">
        <v>2061</v>
      </c>
      <c r="J19" s="13" t="str">
        <f>IF(项目基本情况!B7="自然人","——",IF(K19="按租金收入计税",ROUND(J6*M19/(1+'数据-取费表'!F30),0),ROUND(C29*M19*0.7,0)))</f>
        <v>——</v>
      </c>
      <c r="K19" s="1434"/>
      <c r="L19" s="235" t="s">
        <v>2040</v>
      </c>
      <c r="M19" s="258">
        <f>IF(K19="按租金收入计税",'数据-取费表'!E39,'数据-取费表'!E38)</f>
        <v>1.2E-2</v>
      </c>
      <c r="N19" s="655"/>
      <c r="O19" s="655"/>
      <c r="P19" s="655"/>
      <c r="Q19" s="1038"/>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2021</v>
      </c>
      <c r="B20" s="235" t="s">
        <v>2063</v>
      </c>
      <c r="C20" s="13">
        <f>ROUND(C19*F20,0)</f>
        <v>48242</v>
      </c>
      <c r="D20" s="259" t="s">
        <v>2064</v>
      </c>
      <c r="E20" s="235" t="s">
        <v>2065</v>
      </c>
      <c r="F20" s="258">
        <f>'数据-取费表'!E25</f>
        <v>0.01</v>
      </c>
      <c r="G20" s="950"/>
      <c r="H20" s="253" t="s">
        <v>2043</v>
      </c>
      <c r="I20" s="36" t="s">
        <v>2066</v>
      </c>
      <c r="J20" s="14" t="str">
        <f>IF(项目基本情况!B7="自然人","——",ROUND(M20*M21,0))</f>
        <v>——</v>
      </c>
      <c r="K20" s="261" t="s">
        <v>2067</v>
      </c>
      <c r="L20" s="235" t="s">
        <v>2068</v>
      </c>
      <c r="M20" s="262">
        <f>'数据-取费表'!E40</f>
        <v>1.5</v>
      </c>
      <c r="N20" s="655"/>
      <c r="O20" s="655"/>
      <c r="P20" s="655"/>
      <c r="Q20" s="1038"/>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2069</v>
      </c>
      <c r="B21" s="235" t="s">
        <v>2070</v>
      </c>
      <c r="C21" s="596">
        <f>F21</f>
        <v>0.01</v>
      </c>
      <c r="D21" s="259" t="s">
        <v>2071</v>
      </c>
      <c r="E21" s="235" t="s">
        <v>2072</v>
      </c>
      <c r="F21" s="258">
        <f>'数据-取费表'!E26</f>
        <v>0.01</v>
      </c>
      <c r="G21" s="949"/>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单利计息。建造成本、管理费用、销售费用产生的利息。</v>
      </c>
      <c r="E22" s="1331"/>
      <c r="F22" s="15"/>
      <c r="G22" s="949"/>
      <c r="H22" s="253" t="s">
        <v>2041</v>
      </c>
      <c r="I22" s="235" t="s">
        <v>2076</v>
      </c>
      <c r="J22" s="13">
        <f ca="1">ROUND(J14*M22,0)</f>
        <v>95265</v>
      </c>
      <c r="K22" s="1329"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93795</v>
      </c>
      <c r="D23" s="1430" t="str">
        <f>IF(F23&lt;=1,"(建造成本+管理费用)×利率×(建设周期÷2)","(建造成本+管理费用)×((1+利率)^(建设周期÷2)-1)")</f>
        <v>(建造成本+管理费用)×利率×(建设周期÷2)</v>
      </c>
      <c r="E23" s="235" t="s">
        <v>2079</v>
      </c>
      <c r="F23" s="262">
        <f>'数据-取费表'!B22</f>
        <v>1</v>
      </c>
      <c r="G23" s="949"/>
      <c r="H23" s="253" t="s">
        <v>2069</v>
      </c>
      <c r="I23" s="235" t="s">
        <v>2080</v>
      </c>
      <c r="J23" s="13">
        <f ca="1">ROUND(J13*M23,0)</f>
        <v>0</v>
      </c>
      <c r="K23" s="1329" t="s">
        <v>2081</v>
      </c>
      <c r="L23" s="235" t="s">
        <v>2082</v>
      </c>
      <c r="M23" s="266">
        <f>'数据-取费表'!B46</f>
        <v>1.5E-3</v>
      </c>
    </row>
    <row r="24" spans="1:37" s="257" customFormat="1" ht="18" customHeight="1" thickBot="1">
      <c r="A24" s="253" t="s">
        <v>2083</v>
      </c>
      <c r="B24" s="235" t="s">
        <v>2084</v>
      </c>
      <c r="C24" s="13">
        <f ca="1">ROUND(IF('数据-取费表'!B24&lt;=1,F21*F24*F23/2,F21*(POWER((1+F24),F23/2)-1)),4)</f>
        <v>2.0000000000000001E-4</v>
      </c>
      <c r="D24" s="1430" t="str">
        <f>IF(F23&lt;=1,"销售费用×利率×(建设周期÷2)","销售费用×((1+利率)^(建设周期÷2)-1)")</f>
        <v>销售费用×利率×(建设周期÷2)</v>
      </c>
      <c r="E24" s="235" t="s">
        <v>2085</v>
      </c>
      <c r="F24" s="267">
        <f ca="1">'数据-取费表'!E27</f>
        <v>3.85E-2</v>
      </c>
      <c r="G24" s="950"/>
      <c r="H24" s="1100" t="s">
        <v>2074</v>
      </c>
      <c r="I24" s="1101" t="s">
        <v>2063</v>
      </c>
      <c r="J24" s="1102">
        <f ca="1">ROUND(J5*M24,0)</f>
        <v>0</v>
      </c>
      <c r="K24" s="1103" t="s">
        <v>2086</v>
      </c>
      <c r="L24" s="1101" t="s">
        <v>2082</v>
      </c>
      <c r="M24" s="1096">
        <f>'数据-取费表'!B47</f>
        <v>0.01</v>
      </c>
      <c r="N24" s="655"/>
      <c r="O24" s="655"/>
      <c r="P24" s="655"/>
      <c r="Q24" s="1038"/>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2087</v>
      </c>
      <c r="B25" s="235" t="s">
        <v>2088</v>
      </c>
      <c r="C25" s="13"/>
      <c r="D25" s="33" t="s">
        <v>2089</v>
      </c>
      <c r="E25" s="1331"/>
      <c r="F25" s="15"/>
      <c r="G25" s="950"/>
      <c r="H25" s="1090" t="s">
        <v>22</v>
      </c>
      <c r="I25" s="1105" t="s">
        <v>2090</v>
      </c>
      <c r="J25" s="243">
        <f ca="1">J5-J16</f>
        <v>-95265</v>
      </c>
      <c r="K25" s="1106" t="s">
        <v>2091</v>
      </c>
      <c r="L25" s="1107"/>
      <c r="M25" s="1108"/>
      <c r="N25" s="655"/>
      <c r="O25" s="655"/>
      <c r="P25" s="655"/>
      <c r="Q25" s="1038"/>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2033</v>
      </c>
      <c r="B26" s="235" t="s">
        <v>2092</v>
      </c>
      <c r="C26" s="13">
        <f>ROUND((C19+C20)*F26,0)</f>
        <v>974493</v>
      </c>
      <c r="D26" s="259" t="s">
        <v>2093</v>
      </c>
      <c r="E26" s="246" t="s">
        <v>2094</v>
      </c>
      <c r="F26" s="245">
        <f>'数据-取费表'!E28</f>
        <v>0.2</v>
      </c>
      <c r="G26" s="650"/>
      <c r="H26" s="232" t="s">
        <v>23</v>
      </c>
      <c r="I26" s="233" t="s">
        <v>2095</v>
      </c>
      <c r="J26" s="234">
        <f ca="1">IF(J5&lt;&gt;0,ROUND(J25*(1-((1+M28)/(1+M26))^M27)/(M26-M28),0),0)</f>
        <v>0</v>
      </c>
      <c r="K26" s="261" t="s">
        <v>2096</v>
      </c>
      <c r="L26" s="235" t="s">
        <v>2097</v>
      </c>
      <c r="M26" s="245">
        <f>'数据-取费表'!B16</f>
        <v>5.5E-2</v>
      </c>
    </row>
    <row r="27" spans="1:37" ht="18" customHeight="1">
      <c r="A27" s="253" t="s">
        <v>2098</v>
      </c>
      <c r="B27" s="235" t="s">
        <v>2099</v>
      </c>
      <c r="C27" s="13">
        <f>ROUND(F21*F26,4)</f>
        <v>2E-3</v>
      </c>
      <c r="D27" s="259" t="s">
        <v>2100</v>
      </c>
      <c r="E27" s="255"/>
      <c r="F27" s="256"/>
      <c r="G27" s="650"/>
      <c r="H27" s="237"/>
      <c r="I27" s="238"/>
      <c r="J27" s="239"/>
      <c r="K27" s="269" t="s">
        <v>2101</v>
      </c>
      <c r="L27" s="235" t="s">
        <v>2102</v>
      </c>
      <c r="M27" s="270" t="str">
        <f>'数据-取费表'!B41</f>
        <v>——</v>
      </c>
    </row>
    <row r="28" spans="1:37" ht="18" customHeight="1">
      <c r="A28" s="253" t="s">
        <v>2103</v>
      </c>
      <c r="B28" s="235" t="s">
        <v>2104</v>
      </c>
      <c r="C28" s="13">
        <f>ROUND(F28/(1+'数据-取费表'!F30),4)</f>
        <v>5.2400000000000002E-2</v>
      </c>
      <c r="D28" s="259" t="s">
        <v>2105</v>
      </c>
      <c r="E28" s="235" t="s">
        <v>2065</v>
      </c>
      <c r="F28" s="258">
        <f>'数据-取费表'!E29</f>
        <v>5.5000000000000007E-2</v>
      </c>
      <c r="G28" s="650"/>
      <c r="H28" s="241"/>
      <c r="I28" s="242"/>
      <c r="J28" s="243"/>
      <c r="K28" s="264"/>
      <c r="L28" s="235" t="s">
        <v>2106</v>
      </c>
      <c r="M28" s="245">
        <f>'数据-取费表'!B38</f>
        <v>0</v>
      </c>
    </row>
    <row r="29" spans="1:37" ht="18" customHeight="1" thickBot="1">
      <c r="A29" s="1100" t="s">
        <v>2107</v>
      </c>
      <c r="B29" s="1101" t="s">
        <v>2108</v>
      </c>
      <c r="C29" s="1102">
        <f ca="1">ROUND((C19+C20+C23+C26)/(1-F21-C24-C27-C28),0)</f>
        <v>6351032</v>
      </c>
      <c r="D29" s="1103"/>
      <c r="E29" s="1101"/>
      <c r="F29" s="1104"/>
      <c r="G29" s="650"/>
      <c r="H29" s="271" t="s">
        <v>24</v>
      </c>
      <c r="I29" s="272" t="s">
        <v>2109</v>
      </c>
      <c r="J29" s="273">
        <f ca="1">ROUND(J26/(1+F40)^F41,0)</f>
        <v>0</v>
      </c>
      <c r="K29" s="274" t="s">
        <v>2110</v>
      </c>
      <c r="L29" s="275"/>
      <c r="M29" s="276">
        <f>IF(D1="仅计算典型户型",'数据-取费表'!E5,'数据-取费表'!B5)</f>
        <v>1715.28</v>
      </c>
    </row>
    <row r="30" spans="1:37" ht="18" customHeight="1" thickTop="1">
      <c r="A30" s="1090" t="s">
        <v>14</v>
      </c>
      <c r="B30" s="1091" t="s">
        <v>2111</v>
      </c>
      <c r="C30" s="243">
        <f ca="1">ROUND(C31+C36+C37+C38,0)</f>
        <v>347258</v>
      </c>
      <c r="D30" s="1097" t="s">
        <v>2112</v>
      </c>
      <c r="E30" s="1098"/>
      <c r="F30" s="1099"/>
      <c r="G30" s="650"/>
      <c r="H30" s="929"/>
      <c r="I30" s="930"/>
      <c r="J30" s="931"/>
      <c r="K30" s="932"/>
      <c r="L30" s="933"/>
      <c r="M30" s="934"/>
    </row>
    <row r="31" spans="1:37" ht="18" customHeight="1">
      <c r="A31" s="253" t="s">
        <v>2014</v>
      </c>
      <c r="B31" s="235" t="s">
        <v>2052</v>
      </c>
      <c r="C31" s="2824">
        <f>ROUND(IF(AND(项目基本情况!B7="自然人",项目基本情况!B6="北京市"),C6*F31/(1+'数据-取费表'!F30),C32+C33+C34),0)</f>
        <v>225388</v>
      </c>
      <c r="D31" s="1326" t="s">
        <v>2113</v>
      </c>
      <c r="E31" s="1329" t="s">
        <v>2114</v>
      </c>
      <c r="F31" s="2823">
        <f>IF(项目基本情况!B7="企业","——",IF('数据-取费表'!B10="住宅",IF(F6*F7*F8/12/(1+'数据-取费表'!F30)&gt;100000,4%,2.5%),IF(F6*F7*F8/12/(1+'数据-取费表'!F30)&gt;100000,12%,7%)))</f>
        <v>0.12</v>
      </c>
      <c r="G31" s="650"/>
      <c r="H31" s="929"/>
      <c r="I31" s="930"/>
      <c r="J31" s="931"/>
      <c r="K31" s="932"/>
      <c r="L31" s="933"/>
      <c r="M31" s="934"/>
    </row>
    <row r="32" spans="1:37" ht="18" customHeight="1">
      <c r="A32" s="253" t="s">
        <v>2033</v>
      </c>
      <c r="B32" s="235" t="s">
        <v>2115</v>
      </c>
      <c r="C32" s="13" t="str">
        <f>IF(项目基本情况!B7="自然人","——",ROUND(C6*F32/(1+'数据-取费表'!F30),0))</f>
        <v>——</v>
      </c>
      <c r="D32" s="1329" t="s">
        <v>2725</v>
      </c>
      <c r="E32" s="235" t="s">
        <v>2065</v>
      </c>
      <c r="F32" s="267">
        <f>'数据-取费表'!E29</f>
        <v>5.5000000000000007E-2</v>
      </c>
      <c r="G32" s="650"/>
      <c r="H32" s="935"/>
      <c r="I32" s="936"/>
      <c r="J32" s="937"/>
      <c r="K32" s="938"/>
      <c r="L32" s="939"/>
      <c r="M32" s="940"/>
    </row>
    <row r="33" spans="1:18" ht="18" customHeight="1">
      <c r="A33" s="253" t="s">
        <v>2037</v>
      </c>
      <c r="B33" s="235" t="s">
        <v>2061</v>
      </c>
      <c r="C33" s="13" t="str">
        <f>IF(项目基本情况!B7="自然人","——",IF(D33="按租金收入计税",ROUND(C6*F33/(1+'数据-取费表'!F30),0),IF(D33="按房产原值计税",ROUND(C29*F33*0.7,0),'数据-取费表'!B44)))</f>
        <v>——</v>
      </c>
      <c r="D33" s="1434" t="s">
        <v>2887</v>
      </c>
      <c r="E33" s="235" t="s">
        <v>2040</v>
      </c>
      <c r="F33" s="258">
        <f>IF(D33="按票据","——",IF(D33="按租金收入计税",'数据-取费表'!E39,'数据-取费表'!E38))</f>
        <v>0.12</v>
      </c>
      <c r="G33" s="650"/>
      <c r="H33" s="941"/>
      <c r="I33" s="278" t="s">
        <v>2117</v>
      </c>
      <c r="J33" s="279"/>
      <c r="K33" s="942"/>
      <c r="L33" s="941"/>
      <c r="M33" s="941"/>
    </row>
    <row r="34" spans="1:18" ht="18" customHeight="1">
      <c r="A34" s="1055" t="s">
        <v>2043</v>
      </c>
      <c r="B34" s="36" t="s">
        <v>2066</v>
      </c>
      <c r="C34" s="14" t="str">
        <f>IF(项目基本情况!B7="自然人","——",ROUND(F34*F35,0))</f>
        <v>——</v>
      </c>
      <c r="D34" s="261" t="s">
        <v>2067</v>
      </c>
      <c r="E34" s="235" t="s">
        <v>2068</v>
      </c>
      <c r="F34" s="262">
        <f>'数据-取费表'!E40</f>
        <v>1.5</v>
      </c>
      <c r="G34" s="650"/>
      <c r="H34" s="929"/>
      <c r="I34" s="280" t="s">
        <v>2118</v>
      </c>
      <c r="J34" s="281">
        <f ca="1">ROUND(C13*J35,0)</f>
        <v>388683</v>
      </c>
      <c r="K34" s="943"/>
      <c r="L34" s="944"/>
      <c r="M34" s="944"/>
    </row>
    <row r="35" spans="1:18" ht="24.6" customHeight="1">
      <c r="A35" s="1059"/>
      <c r="B35" s="244"/>
      <c r="C35" s="17"/>
      <c r="D35" s="264"/>
      <c r="E35" s="235" t="s">
        <v>2073</v>
      </c>
      <c r="F35" s="236">
        <f>IF(D1="仅计算典型户型",'数据-取费表'!E6,'数据-取费表'!B6)</f>
        <v>0</v>
      </c>
      <c r="G35" s="650" t="s">
        <v>2814</v>
      </c>
      <c r="H35" s="929"/>
      <c r="I35" s="282" t="s">
        <v>2119</v>
      </c>
      <c r="J35" s="283">
        <f>'数据-取费表'!B18</f>
        <v>8.5000000000000006E-2</v>
      </c>
      <c r="K35" s="942"/>
      <c r="L35" s="941"/>
      <c r="M35" s="941"/>
    </row>
    <row r="36" spans="1:18" ht="18" customHeight="1">
      <c r="A36" s="1058" t="s">
        <v>2021</v>
      </c>
      <c r="B36" s="235" t="s">
        <v>2120</v>
      </c>
      <c r="C36" s="13">
        <f ca="1">ROUND(C29*F36,0)</f>
        <v>95265</v>
      </c>
      <c r="D36" s="1329" t="s">
        <v>2121</v>
      </c>
      <c r="E36" s="235" t="s">
        <v>2065</v>
      </c>
      <c r="F36" s="265">
        <f>'数据-取费表'!B45</f>
        <v>1.4999999999999999E-2</v>
      </c>
      <c r="G36" s="650"/>
      <c r="H36" s="941"/>
      <c r="I36" s="284" t="s">
        <v>2122</v>
      </c>
      <c r="J36" s="285"/>
      <c r="K36" s="945"/>
      <c r="L36" s="941"/>
      <c r="M36" s="941"/>
    </row>
    <row r="37" spans="1:18" ht="18" customHeight="1">
      <c r="A37" s="253" t="s">
        <v>2069</v>
      </c>
      <c r="B37" s="235" t="s">
        <v>2080</v>
      </c>
      <c r="C37" s="13">
        <f ca="1">ROUND(C13*F37,0)</f>
        <v>6859</v>
      </c>
      <c r="D37" s="1329" t="s">
        <v>2081</v>
      </c>
      <c r="E37" s="235" t="s">
        <v>2082</v>
      </c>
      <c r="F37" s="266">
        <f>'数据-取费表'!B46</f>
        <v>1.5E-3</v>
      </c>
      <c r="G37" s="650"/>
      <c r="H37" s="941"/>
      <c r="I37" s="132" t="s">
        <v>2123</v>
      </c>
      <c r="J37" s="286"/>
      <c r="K37" s="945"/>
      <c r="L37" s="941"/>
      <c r="M37" s="941"/>
    </row>
    <row r="38" spans="1:18" ht="18" customHeight="1" thickBot="1">
      <c r="A38" s="1100" t="s">
        <v>2074</v>
      </c>
      <c r="B38" s="1101" t="s">
        <v>2063</v>
      </c>
      <c r="C38" s="1102">
        <f ca="1">ROUND(C5*F38,0)</f>
        <v>19746</v>
      </c>
      <c r="D38" s="1103" t="s">
        <v>2086</v>
      </c>
      <c r="E38" s="1101" t="s">
        <v>2082</v>
      </c>
      <c r="F38" s="1096">
        <f>'数据-取费表'!B47</f>
        <v>0.01</v>
      </c>
      <c r="G38" s="650"/>
      <c r="H38" s="941"/>
      <c r="I38" s="280" t="s">
        <v>2124</v>
      </c>
      <c r="J38" s="136">
        <f ca="1">ROUND(J34/C39,3)</f>
        <v>0.23899999999999999</v>
      </c>
      <c r="K38" s="946"/>
      <c r="L38" s="941"/>
      <c r="M38" s="941"/>
    </row>
    <row r="39" spans="1:18" ht="18" customHeight="1" thickTop="1">
      <c r="A39" s="1090" t="s">
        <v>22</v>
      </c>
      <c r="B39" s="1105" t="s">
        <v>2125</v>
      </c>
      <c r="C39" s="243">
        <f ca="1">C5-C30</f>
        <v>1627350</v>
      </c>
      <c r="D39" s="1106" t="s">
        <v>2126</v>
      </c>
      <c r="E39" s="1107"/>
      <c r="F39" s="1108"/>
      <c r="G39" s="650"/>
      <c r="H39" s="941"/>
      <c r="I39" s="280" t="s">
        <v>2127</v>
      </c>
      <c r="J39" s="136">
        <f ca="1">1-J38</f>
        <v>0.76100000000000001</v>
      </c>
      <c r="K39" s="946"/>
      <c r="L39" s="941"/>
      <c r="M39" s="941"/>
    </row>
    <row r="40" spans="1:18" s="650" customFormat="1" ht="18" customHeight="1">
      <c r="A40" s="232" t="s">
        <v>23</v>
      </c>
      <c r="B40" s="233" t="s">
        <v>2128</v>
      </c>
      <c r="C40" s="234">
        <f ca="1">ROUND(C39*(1-((1+F42)/(1+F40))^F41)/(F40-F42),0)</f>
        <v>27597515</v>
      </c>
      <c r="D40" s="261" t="s">
        <v>2096</v>
      </c>
      <c r="E40" s="235" t="s">
        <v>2097</v>
      </c>
      <c r="F40" s="245">
        <f>'数据-取费表'!B16</f>
        <v>5.5E-2</v>
      </c>
      <c r="H40" s="947"/>
      <c r="I40" s="132" t="s">
        <v>2129</v>
      </c>
      <c r="J40" s="133"/>
      <c r="K40" s="946"/>
      <c r="L40" s="947"/>
      <c r="M40" s="947"/>
      <c r="Q40" s="654"/>
    </row>
    <row r="41" spans="1:18" s="650" customFormat="1" ht="18" customHeight="1">
      <c r="A41" s="237"/>
      <c r="B41" s="238"/>
      <c r="C41" s="239"/>
      <c r="D41" s="269" t="s">
        <v>2130</v>
      </c>
      <c r="E41" s="1301" t="s">
        <v>2902</v>
      </c>
      <c r="F41" s="270">
        <f>IF('数据-取费表'!B29="租赁期内按合同租金",'数据-取费表'!B35,IF(E41="收益年期(n)",'数据-取费表'!B34,'数据-取费表'!B13))</f>
        <v>23</v>
      </c>
      <c r="H41" s="948"/>
      <c r="I41" s="135" t="s">
        <v>2002</v>
      </c>
      <c r="J41" s="136">
        <f ca="1">ROUND(C13/C40,3)</f>
        <v>0.16600000000000001</v>
      </c>
      <c r="K41" s="945"/>
      <c r="L41" s="948"/>
      <c r="M41" s="948"/>
      <c r="Q41" s="654"/>
    </row>
    <row r="42" spans="1:18" s="650" customFormat="1" ht="18" customHeight="1">
      <c r="A42" s="241"/>
      <c r="B42" s="242"/>
      <c r="C42" s="243"/>
      <c r="D42" s="264"/>
      <c r="E42" s="235" t="s">
        <v>2106</v>
      </c>
      <c r="F42" s="245">
        <f>'数据-取费表'!B32</f>
        <v>0.03</v>
      </c>
      <c r="H42" s="948"/>
      <c r="I42" s="135" t="s">
        <v>2003</v>
      </c>
      <c r="J42" s="137">
        <f ca="1">1-J41</f>
        <v>0.83399999999999996</v>
      </c>
      <c r="K42" s="945"/>
      <c r="L42" s="948"/>
      <c r="M42" s="948"/>
      <c r="Q42" s="654"/>
    </row>
    <row r="43" spans="1:18" s="650" customFormat="1" ht="18" customHeight="1" thickBot="1">
      <c r="A43" s="271" t="s">
        <v>24</v>
      </c>
      <c r="B43" s="272" t="s">
        <v>2131</v>
      </c>
      <c r="C43" s="273">
        <f ca="1">ROUND(C40/F43,0)</f>
        <v>16089</v>
      </c>
      <c r="D43" s="274" t="s">
        <v>2132</v>
      </c>
      <c r="E43" s="275" t="s">
        <v>2133</v>
      </c>
      <c r="F43" s="276">
        <f>IF(D1="仅计算典型户型",'数据-取费表'!E5,'数据-取费表'!B5)</f>
        <v>1715.28</v>
      </c>
      <c r="G43" s="652"/>
      <c r="H43" s="948"/>
      <c r="I43" s="948"/>
      <c r="J43" s="948"/>
      <c r="K43" s="945"/>
      <c r="L43" s="948"/>
      <c r="M43" s="948"/>
      <c r="O43" s="1039" t="s">
        <v>2134</v>
      </c>
      <c r="P43" s="1040"/>
      <c r="Q43" s="1036"/>
      <c r="R43" s="1040"/>
    </row>
    <row r="44" spans="1:18" s="650" customFormat="1" ht="18" customHeight="1" thickBot="1">
      <c r="A44" s="647"/>
      <c r="B44" s="647"/>
      <c r="C44" s="649"/>
      <c r="D44" s="647"/>
      <c r="E44" s="647"/>
      <c r="F44" s="647"/>
      <c r="G44" s="652"/>
      <c r="K44" s="651"/>
      <c r="O44" s="1041" t="s">
        <v>2135</v>
      </c>
      <c r="P44" s="1042" t="s">
        <v>2136</v>
      </c>
      <c r="Q44" s="1043" t="s">
        <v>2137</v>
      </c>
      <c r="R44" s="1044" t="s">
        <v>2138</v>
      </c>
    </row>
    <row r="45" spans="1:18" s="650" customFormat="1" ht="18" customHeight="1" thickBot="1">
      <c r="A45" s="647"/>
      <c r="B45" s="647"/>
      <c r="C45" s="649"/>
      <c r="D45" s="647"/>
      <c r="E45" s="647"/>
      <c r="F45" s="647"/>
      <c r="G45" s="653"/>
      <c r="K45" s="651"/>
      <c r="O45" s="1045" t="s">
        <v>949</v>
      </c>
      <c r="P45" s="1046" t="s">
        <v>2139</v>
      </c>
      <c r="Q45" s="1047">
        <f ca="1">C40+J29</f>
        <v>27597515</v>
      </c>
      <c r="R45" s="1048" t="s">
        <v>2140</v>
      </c>
    </row>
    <row r="46" spans="1:18" s="650" customFormat="1" ht="18" customHeight="1" thickBot="1">
      <c r="A46" s="647"/>
      <c r="D46" s="647"/>
      <c r="E46" s="647"/>
      <c r="F46" s="647"/>
      <c r="K46" s="651"/>
      <c r="O46" s="1045" t="s">
        <v>950</v>
      </c>
      <c r="P46" s="1046" t="s">
        <v>2141</v>
      </c>
      <c r="Q46" s="1047" t="str">
        <f>J61</f>
        <v>0</v>
      </c>
      <c r="R46" s="1048" t="s">
        <v>2142</v>
      </c>
    </row>
    <row r="47" spans="1:18" s="650" customFormat="1" ht="21.75" thickBot="1">
      <c r="A47" s="1525" t="s">
        <v>2143</v>
      </c>
      <c r="C47" s="990">
        <f ca="1">IF(C2="元",C69-C40,ROUND((C69-C40)/10000,0))</f>
        <v>-2891</v>
      </c>
      <c r="D47" s="1526" t="str">
        <f>C2</f>
        <v>万元</v>
      </c>
      <c r="E47" s="647"/>
      <c r="F47" s="647"/>
      <c r="I47" s="1527" t="s">
        <v>2144</v>
      </c>
      <c r="J47" s="1021"/>
      <c r="K47" s="1022"/>
      <c r="L47" s="1035" t="str">
        <f>IF(M48="住宅",0,IF(L49&gt;J52,L61,J61))</f>
        <v>0</v>
      </c>
      <c r="O47" s="1049" t="s">
        <v>951</v>
      </c>
      <c r="P47" s="1046" t="s">
        <v>2145</v>
      </c>
      <c r="Q47" s="1047">
        <f ca="1">C29</f>
        <v>6351032</v>
      </c>
      <c r="R47" s="1048" t="s">
        <v>2140</v>
      </c>
    </row>
    <row r="48" spans="1:18" s="650" customFormat="1" ht="15.75" thickBot="1">
      <c r="A48" s="228" t="s">
        <v>2146</v>
      </c>
      <c r="B48" s="229" t="s">
        <v>2147</v>
      </c>
      <c r="C48" s="229" t="s">
        <v>2148</v>
      </c>
      <c r="D48" s="229" t="s">
        <v>2149</v>
      </c>
      <c r="E48" s="984" t="s">
        <v>2150</v>
      </c>
      <c r="F48" s="985"/>
      <c r="I48" s="1528" t="s">
        <v>2151</v>
      </c>
      <c r="J48" s="1529" t="s">
        <v>2969</v>
      </c>
      <c r="K48" s="1530" t="s">
        <v>2152</v>
      </c>
      <c r="L48" s="1023">
        <f>'数据-取费表'!B11</f>
        <v>40</v>
      </c>
      <c r="M48" s="1036" t="str">
        <f>IF('数据-取费表'!B10="住宅","住宅","非住宅")</f>
        <v>非住宅</v>
      </c>
      <c r="O48" s="1049" t="s">
        <v>952</v>
      </c>
      <c r="P48" s="1046" t="s">
        <v>2153</v>
      </c>
      <c r="Q48" s="1050" t="e">
        <f>J59</f>
        <v>#VALUE!</v>
      </c>
      <c r="R48" s="1048"/>
    </row>
    <row r="49" spans="1:18" s="650" customFormat="1" ht="15.75" thickBot="1">
      <c r="A49" s="1125" t="s">
        <v>1019</v>
      </c>
      <c r="B49" s="233" t="s">
        <v>2154</v>
      </c>
      <c r="C49" s="1126">
        <f ca="1">C50+C54+C56</f>
        <v>0</v>
      </c>
      <c r="D49" s="1127"/>
      <c r="E49" s="44"/>
      <c r="F49" s="15"/>
      <c r="I49" s="1531" t="s">
        <v>2155</v>
      </c>
      <c r="J49" s="1532" t="s">
        <v>2900</v>
      </c>
      <c r="K49" s="1533" t="s">
        <v>2156</v>
      </c>
      <c r="L49" s="861">
        <f>'数据-取费表'!B13</f>
        <v>23</v>
      </c>
      <c r="O49" s="1049" t="s">
        <v>953</v>
      </c>
      <c r="P49" s="1046" t="s">
        <v>2157</v>
      </c>
      <c r="Q49" s="1050">
        <f>J53</f>
        <v>8.5000000000000006E-2</v>
      </c>
      <c r="R49" s="1048"/>
    </row>
    <row r="50" spans="1:18" s="650" customFormat="1" ht="15.75" thickBot="1">
      <c r="A50" s="260" t="s">
        <v>2014</v>
      </c>
      <c r="B50" s="1440" t="s">
        <v>2158</v>
      </c>
      <c r="C50" s="234">
        <f>ROUND(F50*F52*F51*(1-F53),0)</f>
        <v>0</v>
      </c>
      <c r="D50" s="42" t="s">
        <v>2701</v>
      </c>
      <c r="E50" s="1534" t="s">
        <v>2159</v>
      </c>
      <c r="F50" s="986"/>
      <c r="I50" s="1531" t="s">
        <v>2160</v>
      </c>
      <c r="J50" s="861">
        <f>'数据-取费表'!B27</f>
        <v>2006</v>
      </c>
      <c r="K50" s="1535" t="s">
        <v>2161</v>
      </c>
      <c r="L50" s="1024"/>
      <c r="O50" s="1049" t="s">
        <v>954</v>
      </c>
      <c r="P50" s="1046" t="s">
        <v>2162</v>
      </c>
      <c r="Q50" s="1047">
        <f>J54</f>
        <v>23</v>
      </c>
      <c r="R50" s="1048" t="s">
        <v>2163</v>
      </c>
    </row>
    <row r="51" spans="1:18" s="650" customFormat="1" ht="15.75" thickBot="1">
      <c r="A51" s="237"/>
      <c r="B51" s="238"/>
      <c r="C51" s="239"/>
      <c r="D51" s="240"/>
      <c r="E51" s="255" t="s">
        <v>2017</v>
      </c>
      <c r="F51" s="983">
        <f>F7</f>
        <v>1715.28</v>
      </c>
      <c r="I51" s="1531" t="s">
        <v>2164</v>
      </c>
      <c r="J51" s="1025">
        <f>SUMPRODUCT((I64:I66=J48)*(J63:L63=J49)*(J64:L66))</f>
        <v>60</v>
      </c>
      <c r="K51" s="1535" t="s">
        <v>2165</v>
      </c>
      <c r="L51" s="1024"/>
      <c r="O51" s="1045" t="s">
        <v>955</v>
      </c>
      <c r="P51" s="1046" t="str">
        <f>IF(C2="元","收益价值(元)","收益价值(万元)")</f>
        <v>收益价值(万元)</v>
      </c>
      <c r="Q51" s="1047">
        <f ca="1">ROUND(IF(C2="元",Q45+Q46,(Q45+Q46)/10000),0)</f>
        <v>2760</v>
      </c>
      <c r="R51" s="1048" t="s">
        <v>956</v>
      </c>
    </row>
    <row r="52" spans="1:18" s="650" customFormat="1" ht="16.5" thickBot="1">
      <c r="A52" s="237"/>
      <c r="B52" s="238"/>
      <c r="C52" s="239"/>
      <c r="D52" s="240"/>
      <c r="E52" s="235" t="s">
        <v>2019</v>
      </c>
      <c r="F52" s="236">
        <f>F8</f>
        <v>365</v>
      </c>
      <c r="I52" s="1536" t="s">
        <v>2166</v>
      </c>
      <c r="J52" s="1026">
        <f>IF(J50="",J51,J50+J51-YEAR('数据-取费表'!B2))</f>
        <v>45</v>
      </c>
      <c r="K52" s="1537" t="s">
        <v>2167</v>
      </c>
      <c r="L52" s="1027">
        <f ca="1">ROUND(-PV('数据-取费表'!B15,J52,(C40-C13*J35)),0)</f>
        <v>483611677</v>
      </c>
      <c r="O52" s="1039" t="s">
        <v>2168</v>
      </c>
      <c r="P52" s="1040"/>
      <c r="Q52" s="1036"/>
      <c r="R52" s="1040"/>
    </row>
    <row r="53" spans="1:18" s="650" customFormat="1" ht="15.75" thickBot="1">
      <c r="A53" s="241"/>
      <c r="B53" s="242"/>
      <c r="C53" s="243"/>
      <c r="D53" s="244"/>
      <c r="E53" s="235" t="s">
        <v>2020</v>
      </c>
      <c r="F53" s="1034"/>
      <c r="I53" s="1538" t="s">
        <v>2169</v>
      </c>
      <c r="J53" s="1028">
        <v>8.5000000000000006E-2</v>
      </c>
      <c r="K53" s="1538" t="s">
        <v>2170</v>
      </c>
      <c r="L53" s="1028"/>
      <c r="O53" s="1041" t="s">
        <v>2135</v>
      </c>
      <c r="P53" s="1042" t="s">
        <v>2136</v>
      </c>
      <c r="Q53" s="1043" t="s">
        <v>2137</v>
      </c>
      <c r="R53" s="1044" t="s">
        <v>2138</v>
      </c>
    </row>
    <row r="54" spans="1:18" s="650" customFormat="1" ht="29.25" customHeight="1" thickBot="1">
      <c r="A54" s="1055" t="s">
        <v>2021</v>
      </c>
      <c r="B54" s="1519" t="s">
        <v>2022</v>
      </c>
      <c r="C54" s="1056">
        <f ca="1">ROUND(IF(F54="押一",C50/12*F11,IF(F54="押二",C50/12*2*F11,IF(F54="押三",C50/12*3*F11,C55*F11))),0)</f>
        <v>0</v>
      </c>
      <c r="D54" s="1520" t="s">
        <v>2707</v>
      </c>
      <c r="E54" s="246" t="s">
        <v>2023</v>
      </c>
      <c r="F54" s="1521"/>
      <c r="I54" s="1627" t="s">
        <v>2709</v>
      </c>
      <c r="J54" s="1029">
        <f>IF(M48="住宅",IF(E1="——",MAX(J52,L49),MAX(J52,L49-'数据-取费表'!B26)),IF(E1="——",MIN(J52,L49),MIN(J52,L49-'数据-取费表'!B26)))</f>
        <v>23</v>
      </c>
      <c r="K54" s="3405" t="s">
        <v>2699</v>
      </c>
      <c r="L54" s="3406"/>
      <c r="O54" s="1045" t="s">
        <v>949</v>
      </c>
      <c r="P54" s="1046" t="s">
        <v>2139</v>
      </c>
      <c r="Q54" s="1047">
        <f ca="1">C40+J29</f>
        <v>27597515</v>
      </c>
      <c r="R54" s="1048" t="s">
        <v>2140</v>
      </c>
    </row>
    <row r="55" spans="1:18" s="650" customFormat="1" ht="20.25" thickBot="1">
      <c r="A55" s="1055"/>
      <c r="B55" s="1539" t="s">
        <v>2027</v>
      </c>
      <c r="C55" s="1089"/>
      <c r="D55" s="42"/>
      <c r="E55" s="154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5" t="s">
        <v>950</v>
      </c>
      <c r="P55" s="1046" t="s">
        <v>2171</v>
      </c>
      <c r="Q55" s="1047">
        <f>L61</f>
        <v>0</v>
      </c>
      <c r="R55" s="1048" t="s">
        <v>2172</v>
      </c>
    </row>
    <row r="56" spans="1:18" s="650" customFormat="1" ht="20.25" thickBot="1">
      <c r="A56" s="1094" t="s">
        <v>2028</v>
      </c>
      <c r="B56" s="1523" t="s">
        <v>2029</v>
      </c>
      <c r="C56" s="1095"/>
      <c r="D56" s="1111"/>
      <c r="E56" s="1542"/>
      <c r="F56" s="1150"/>
      <c r="I56" s="1543" t="s">
        <v>2173</v>
      </c>
      <c r="J56" s="1318" t="e">
        <f>ROUND(IF(J48="钢混",J58/J51,1-(1-2%)*(J51-J58)/J51),3)</f>
        <v>#VALUE!</v>
      </c>
      <c r="K56" s="1544" t="s">
        <v>2174</v>
      </c>
      <c r="L56" s="1030"/>
      <c r="O56" s="1049" t="s">
        <v>951</v>
      </c>
      <c r="P56" s="1046" t="s">
        <v>2175</v>
      </c>
      <c r="Q56" s="1047">
        <f>IF(L56="比较法",L50,IF(L56="基准地价",L51,0))</f>
        <v>0</v>
      </c>
      <c r="R56" s="1048" t="s">
        <v>2140</v>
      </c>
    </row>
    <row r="57" spans="1:18" s="650" customFormat="1" ht="44.25" thickTop="1" thickBot="1">
      <c r="A57" s="1090">
        <v>2</v>
      </c>
      <c r="B57" s="1091" t="s">
        <v>2030</v>
      </c>
      <c r="C57" s="1149">
        <f ca="1">C13</f>
        <v>4572743</v>
      </c>
      <c r="D57" s="981"/>
      <c r="E57" s="982"/>
      <c r="F57" s="989"/>
      <c r="I57" s="1545" t="s">
        <v>2176</v>
      </c>
      <c r="J57" s="1033" t="s">
        <v>2901</v>
      </c>
      <c r="K57" s="1531" t="s">
        <v>2177</v>
      </c>
      <c r="L57" s="861" t="str">
        <f>IF(L49&lt;J52,"——",L49-J52)</f>
        <v>——</v>
      </c>
      <c r="O57" s="1049" t="s">
        <v>952</v>
      </c>
      <c r="P57" s="1046" t="s">
        <v>2178</v>
      </c>
      <c r="Q57" s="1050">
        <f>L53</f>
        <v>0</v>
      </c>
      <c r="R57" s="1048"/>
    </row>
    <row r="58" spans="1:18" s="650" customFormat="1" ht="29.25" thickBot="1">
      <c r="A58" s="988"/>
      <c r="B58" s="235" t="s">
        <v>2108</v>
      </c>
      <c r="C58" s="104">
        <f ca="1">C29</f>
        <v>6351032</v>
      </c>
      <c r="D58" s="981"/>
      <c r="E58" s="982"/>
      <c r="F58" s="989"/>
      <c r="I58" s="1546" t="s">
        <v>2179</v>
      </c>
      <c r="J58" s="1032" t="str">
        <f>IF(OR(M48="住宅",J52&lt;L49,J57="是"),"——",J52-L49)</f>
        <v>——</v>
      </c>
      <c r="K58" s="1531" t="s">
        <v>2180</v>
      </c>
      <c r="L58" s="861" t="str">
        <f>IF(L49&lt;J52,"——",IF(L56="比较法",L50,IF(L56="基准地价",L51,L52)))</f>
        <v>——</v>
      </c>
      <c r="O58" s="1049" t="s">
        <v>953</v>
      </c>
      <c r="P58" s="1046" t="s">
        <v>2181</v>
      </c>
      <c r="Q58" s="1047" t="e">
        <f>L59</f>
        <v>#DIV/0!</v>
      </c>
      <c r="R58" s="1048" t="s">
        <v>2182</v>
      </c>
    </row>
    <row r="59" spans="1:18" s="650" customFormat="1" ht="29.25" thickBot="1">
      <c r="A59" s="248" t="s">
        <v>14</v>
      </c>
      <c r="B59" s="249" t="s">
        <v>2111</v>
      </c>
      <c r="C59" s="250">
        <f ca="1">ROUND(C60+C65+C66+C67,0)</f>
        <v>102124</v>
      </c>
      <c r="D59" s="12" t="s">
        <v>2112</v>
      </c>
      <c r="E59" s="1331"/>
      <c r="F59" s="15"/>
      <c r="I59" s="1546" t="s">
        <v>2183</v>
      </c>
      <c r="J59" s="1317" t="e">
        <f>IF(J56&lt;0.4,0.4,J56)</f>
        <v>#VALUE!</v>
      </c>
      <c r="K59" s="1537" t="s">
        <v>2184</v>
      </c>
      <c r="L59" s="861" t="e">
        <f>ROUND(POWER(1+L53,L48-L49)*(POWER(1+L53,L49)-1)/(POWER(1+L53,L48)-1),4)</f>
        <v>#DIV/0!</v>
      </c>
      <c r="O59" s="1049" t="s">
        <v>954</v>
      </c>
      <c r="P59" s="1046" t="str">
        <f>K60</f>
        <v>建筑物剩余耐用年限下的土地年期修正系数Kn</v>
      </c>
      <c r="Q59" s="1047" t="e">
        <f>L60</f>
        <v>#DIV/0!</v>
      </c>
      <c r="R59" s="1048" t="s">
        <v>2185</v>
      </c>
    </row>
    <row r="60" spans="1:18" s="650" customFormat="1" ht="29.25" thickBot="1">
      <c r="A60" s="253" t="s">
        <v>15</v>
      </c>
      <c r="B60" s="235" t="s">
        <v>2052</v>
      </c>
      <c r="C60" s="2824">
        <f>ROUND(IF(AND(项目基本情况!B7="自然人",项目基本情况!B6="北京市"),C50*F60/(1+'数据-取费表'!F30),C61+C62+C63),0)</f>
        <v>0</v>
      </c>
      <c r="D60" s="1326" t="s">
        <v>2113</v>
      </c>
      <c r="E60" s="1329" t="s">
        <v>2114</v>
      </c>
      <c r="F60" s="2823">
        <f>IF(项目基本情况!B7="企业","——",IF('数据-取费表'!B10="住宅",IF(F50*F51*F52/12/(1+'数据-取费表'!F30)&gt;100000,4%,2.5%),IF(F50*F51*F52/12/(1+'数据-取费表'!F30)&gt;100000,12%,7%)))</f>
        <v>7.0000000000000007E-2</v>
      </c>
      <c r="I60" s="1546" t="s">
        <v>2186</v>
      </c>
      <c r="J60" s="1032"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2760</v>
      </c>
      <c r="R60" s="1048" t="s">
        <v>956</v>
      </c>
    </row>
    <row r="61" spans="1:18" s="650" customFormat="1" ht="16.5" thickBot="1">
      <c r="A61" s="253" t="s">
        <v>16</v>
      </c>
      <c r="B61" s="235" t="s">
        <v>2115</v>
      </c>
      <c r="C61" s="13" t="str">
        <f>IF(项目基本情况!B7="自然人","——",ROUND(C49*F61/(1+'数据-取费表'!F30),0))</f>
        <v>——</v>
      </c>
      <c r="D61" s="1329" t="s">
        <v>2116</v>
      </c>
      <c r="E61" s="235" t="s">
        <v>2065</v>
      </c>
      <c r="F61" s="267">
        <f t="shared" ref="F61:F67" si="0">F32</f>
        <v>5.5000000000000007E-2</v>
      </c>
      <c r="I61" s="1547" t="s">
        <v>2187</v>
      </c>
      <c r="J61" s="1031" t="str">
        <f>IF(OR(M48="住宅",J52&lt;L49,J57="是"),"0",ROUND(J60/(1+J53)^J54,0))</f>
        <v>0</v>
      </c>
      <c r="K61" s="1548" t="s">
        <v>2188</v>
      </c>
      <c r="L61" s="1031">
        <f>IF(OR(M48="住宅",L49&lt;J52),0,ROUND(L58*(L59/L60-1),0))</f>
        <v>0</v>
      </c>
      <c r="O61" s="1039" t="s">
        <v>2189</v>
      </c>
      <c r="P61" s="1040"/>
      <c r="Q61" s="1036"/>
      <c r="R61" s="1040"/>
    </row>
    <row r="62" spans="1:18" s="650" customFormat="1" ht="15.75" thickBot="1">
      <c r="A62" s="253" t="s">
        <v>17</v>
      </c>
      <c r="B62" s="235" t="s">
        <v>2190</v>
      </c>
      <c r="C62" s="13" t="str">
        <f>IF(项目基本情况!B7="自然人","——",IF(D62="按租金收入计税",ROUND(C49*F62,0),IF(D62="按房产原值计税",ROUND(C58*F62*0.7,0),'数据-取费表'!B44)))</f>
        <v>——</v>
      </c>
      <c r="D62" s="1434" t="s">
        <v>2062</v>
      </c>
      <c r="E62" s="235" t="s">
        <v>2065</v>
      </c>
      <c r="F62" s="258">
        <f t="shared" si="0"/>
        <v>0.12</v>
      </c>
      <c r="O62" s="1041" t="s">
        <v>2135</v>
      </c>
      <c r="P62" s="1042" t="s">
        <v>2136</v>
      </c>
      <c r="Q62" s="1043" t="s">
        <v>2137</v>
      </c>
      <c r="R62" s="1044" t="s">
        <v>2138</v>
      </c>
    </row>
    <row r="63" spans="1:18" s="650" customFormat="1" ht="15.75" thickBot="1">
      <c r="A63" s="260" t="s">
        <v>18</v>
      </c>
      <c r="B63" s="36" t="s">
        <v>2191</v>
      </c>
      <c r="C63" s="14" t="str">
        <f>IF(项目基本情况!B7="自然人","——",ROUND(F63*F64,0))</f>
        <v>——</v>
      </c>
      <c r="D63" s="261" t="s">
        <v>2192</v>
      </c>
      <c r="E63" s="235" t="s">
        <v>2193</v>
      </c>
      <c r="F63" s="262">
        <f t="shared" si="0"/>
        <v>1.5</v>
      </c>
      <c r="I63" s="1549" t="s">
        <v>2194</v>
      </c>
      <c r="J63" s="1321" t="s">
        <v>2195</v>
      </c>
      <c r="K63" s="1321" t="s">
        <v>2196</v>
      </c>
      <c r="L63" s="1321" t="s">
        <v>2197</v>
      </c>
      <c r="M63" s="1320" t="s">
        <v>2198</v>
      </c>
      <c r="O63" s="1045" t="s">
        <v>949</v>
      </c>
      <c r="P63" s="1046" t="s">
        <v>2139</v>
      </c>
      <c r="Q63" s="1047">
        <f ca="1">C40+J29</f>
        <v>27597515</v>
      </c>
      <c r="R63" s="1048" t="s">
        <v>2140</v>
      </c>
    </row>
    <row r="64" spans="1:18" s="650" customFormat="1" ht="20.25" thickBot="1">
      <c r="A64" s="263"/>
      <c r="B64" s="244"/>
      <c r="C64" s="17"/>
      <c r="D64" s="264"/>
      <c r="E64" s="235" t="s">
        <v>2199</v>
      </c>
      <c r="F64" s="236">
        <f t="shared" si="0"/>
        <v>0</v>
      </c>
      <c r="I64" s="1549" t="s">
        <v>2200</v>
      </c>
      <c r="J64" s="1321">
        <v>70</v>
      </c>
      <c r="K64" s="1321">
        <v>50</v>
      </c>
      <c r="L64" s="1321">
        <v>80</v>
      </c>
      <c r="M64" s="1319">
        <v>0.02</v>
      </c>
      <c r="O64" s="1045" t="s">
        <v>950</v>
      </c>
      <c r="P64" s="1046" t="s">
        <v>2171</v>
      </c>
      <c r="Q64" s="1047">
        <f>L61</f>
        <v>0</v>
      </c>
      <c r="R64" s="1048" t="s">
        <v>2172</v>
      </c>
    </row>
    <row r="65" spans="1:18" s="650" customFormat="1" ht="23.25" thickBot="1">
      <c r="A65" s="253" t="s">
        <v>19</v>
      </c>
      <c r="B65" s="235" t="s">
        <v>2120</v>
      </c>
      <c r="C65" s="13">
        <f ca="1">ROUND(C58*F65,0)</f>
        <v>95265</v>
      </c>
      <c r="D65" s="1329" t="s">
        <v>2121</v>
      </c>
      <c r="E65" s="235" t="s">
        <v>2065</v>
      </c>
      <c r="F65" s="265">
        <f t="shared" si="0"/>
        <v>1.4999999999999999E-2</v>
      </c>
      <c r="I65" s="1549" t="s">
        <v>2201</v>
      </c>
      <c r="J65" s="1321">
        <v>50</v>
      </c>
      <c r="K65" s="1321">
        <v>35</v>
      </c>
      <c r="L65" s="1321">
        <v>60</v>
      </c>
      <c r="M65" s="1320">
        <v>0</v>
      </c>
      <c r="O65" s="1049" t="s">
        <v>951</v>
      </c>
      <c r="P65" s="1046" t="s">
        <v>2175</v>
      </c>
      <c r="Q65" s="1051">
        <f ca="1">L52</f>
        <v>483611677</v>
      </c>
      <c r="R65" s="1052" t="s">
        <v>2202</v>
      </c>
    </row>
    <row r="66" spans="1:18" s="650" customFormat="1" ht="20.25" thickBot="1">
      <c r="A66" s="253" t="s">
        <v>20</v>
      </c>
      <c r="B66" s="235" t="s">
        <v>2080</v>
      </c>
      <c r="C66" s="13">
        <f ca="1">ROUND(C57*F66,0)</f>
        <v>6859</v>
      </c>
      <c r="D66" s="1329" t="s">
        <v>2081</v>
      </c>
      <c r="E66" s="235" t="s">
        <v>2082</v>
      </c>
      <c r="F66" s="266">
        <f t="shared" si="0"/>
        <v>1.5E-3</v>
      </c>
      <c r="I66" s="1549" t="s">
        <v>2203</v>
      </c>
      <c r="J66" s="1321">
        <v>40</v>
      </c>
      <c r="K66" s="1321">
        <v>30</v>
      </c>
      <c r="L66" s="1321">
        <v>50</v>
      </c>
      <c r="M66" s="1319">
        <v>0.02</v>
      </c>
      <c r="O66" s="1049" t="s">
        <v>952</v>
      </c>
      <c r="P66" s="1053" t="s">
        <v>2204</v>
      </c>
      <c r="Q66" s="1047">
        <f ca="1">ROUND(Q67-Q68*Q69,0)</f>
        <v>1238667</v>
      </c>
      <c r="R66" s="1048"/>
    </row>
    <row r="67" spans="1:18" s="650" customFormat="1" ht="15.75" thickBot="1">
      <c r="A67" s="253" t="s">
        <v>21</v>
      </c>
      <c r="B67" s="235" t="s">
        <v>2063</v>
      </c>
      <c r="C67" s="13">
        <f ca="1">ROUND(C49*F67,0)</f>
        <v>0</v>
      </c>
      <c r="D67" s="1329" t="s">
        <v>2086</v>
      </c>
      <c r="E67" s="235" t="s">
        <v>2082</v>
      </c>
      <c r="F67" s="245">
        <f t="shared" si="0"/>
        <v>0.01</v>
      </c>
      <c r="O67" s="1049" t="s">
        <v>957</v>
      </c>
      <c r="P67" s="1053" t="s">
        <v>2205</v>
      </c>
      <c r="Q67" s="1047">
        <f ca="1">C39</f>
        <v>1627350</v>
      </c>
      <c r="R67" s="1048" t="s">
        <v>2140</v>
      </c>
    </row>
    <row r="68" spans="1:18" ht="15.75" thickBot="1">
      <c r="A68" s="248" t="s">
        <v>22</v>
      </c>
      <c r="B68" s="41" t="s">
        <v>2090</v>
      </c>
      <c r="C68" s="250">
        <f ca="1">C49-C59</f>
        <v>-102124</v>
      </c>
      <c r="D68" s="1326" t="s">
        <v>2091</v>
      </c>
      <c r="E68" s="1328"/>
      <c r="F68" s="268"/>
      <c r="H68" s="650"/>
      <c r="I68" s="650"/>
      <c r="J68" s="650"/>
      <c r="K68" s="650"/>
      <c r="L68" s="650"/>
      <c r="M68" s="650"/>
      <c r="O68" s="1049" t="s">
        <v>958</v>
      </c>
      <c r="P68" s="1053" t="s">
        <v>2206</v>
      </c>
      <c r="Q68" s="1047">
        <f ca="1">C13</f>
        <v>4572743</v>
      </c>
      <c r="R68" s="1048" t="s">
        <v>2140</v>
      </c>
    </row>
    <row r="69" spans="1:18" ht="15.75" thickBot="1">
      <c r="A69" s="232" t="s">
        <v>23</v>
      </c>
      <c r="B69" s="233" t="s">
        <v>2128</v>
      </c>
      <c r="C69" s="234">
        <f ca="1">ROUND(C68*(1-((1+F71)/(1+F69))^F70)/(F69-F71),0)</f>
        <v>-1314851</v>
      </c>
      <c r="D69" s="261" t="s">
        <v>2096</v>
      </c>
      <c r="E69" s="235" t="s">
        <v>2097</v>
      </c>
      <c r="F69" s="245">
        <f>F40</f>
        <v>5.5E-2</v>
      </c>
      <c r="H69" s="650"/>
      <c r="I69" s="650"/>
      <c r="J69" s="650"/>
      <c r="K69" s="650"/>
      <c r="L69" s="650"/>
      <c r="M69" s="650"/>
      <c r="O69" s="1049" t="s">
        <v>959</v>
      </c>
      <c r="P69" s="1053" t="s">
        <v>2207</v>
      </c>
      <c r="Q69" s="1050">
        <f>J35</f>
        <v>8.5000000000000006E-2</v>
      </c>
      <c r="R69" s="1048"/>
    </row>
    <row r="70" spans="1:18" ht="15.75" thickBot="1">
      <c r="A70" s="237"/>
      <c r="B70" s="238"/>
      <c r="C70" s="239"/>
      <c r="D70" s="269" t="s">
        <v>2130</v>
      </c>
      <c r="E70" s="235" t="s">
        <v>2102</v>
      </c>
      <c r="F70" s="270">
        <f>F41</f>
        <v>23</v>
      </c>
      <c r="H70" s="650"/>
      <c r="I70" s="650"/>
      <c r="J70" s="650"/>
      <c r="K70" s="650"/>
      <c r="L70" s="650"/>
      <c r="M70" s="650"/>
      <c r="O70" s="1049" t="s">
        <v>953</v>
      </c>
      <c r="P70" s="1046" t="s">
        <v>2178</v>
      </c>
      <c r="Q70" s="1050">
        <f>L53</f>
        <v>0</v>
      </c>
      <c r="R70" s="1048"/>
    </row>
    <row r="71" spans="1:18" ht="20.25" thickBot="1">
      <c r="A71" s="241"/>
      <c r="B71" s="242"/>
      <c r="C71" s="243"/>
      <c r="D71" s="264"/>
      <c r="E71" s="235" t="s">
        <v>2106</v>
      </c>
      <c r="F71" s="1034"/>
      <c r="H71" s="650"/>
      <c r="M71" s="650"/>
      <c r="O71" s="1049" t="s">
        <v>954</v>
      </c>
      <c r="P71" s="1046" t="s">
        <v>2181</v>
      </c>
      <c r="Q71" s="1047" t="e">
        <f>L59</f>
        <v>#DIV/0!</v>
      </c>
      <c r="R71" s="1048" t="s">
        <v>2182</v>
      </c>
    </row>
    <row r="72" spans="1:18" ht="15.75" thickBot="1">
      <c r="A72" s="271" t="s">
        <v>24</v>
      </c>
      <c r="B72" s="272" t="s">
        <v>2131</v>
      </c>
      <c r="C72" s="273">
        <f ca="1">ROUND(C69/F72,0)</f>
        <v>-767</v>
      </c>
      <c r="D72" s="274" t="s">
        <v>2132</v>
      </c>
      <c r="E72" s="275" t="s">
        <v>2133</v>
      </c>
      <c r="F72" s="276">
        <f>F43</f>
        <v>1715.28</v>
      </c>
      <c r="O72" s="1049" t="s">
        <v>960</v>
      </c>
      <c r="P72" s="1046" t="str">
        <f>K60</f>
        <v>建筑物剩余耐用年限下的土地年期修正系数Kn</v>
      </c>
      <c r="Q72" s="1047" t="e">
        <f>L60</f>
        <v>#DIV/0!</v>
      </c>
      <c r="R72" s="1048" t="s">
        <v>2185</v>
      </c>
    </row>
    <row r="73" spans="1:18" ht="15.75" thickBot="1">
      <c r="A73" s="650"/>
      <c r="B73" s="654"/>
      <c r="C73" s="654"/>
      <c r="D73" s="650"/>
      <c r="E73" s="650"/>
      <c r="F73" s="650"/>
      <c r="O73" s="1045" t="s">
        <v>955</v>
      </c>
      <c r="P73" s="1046" t="str">
        <f>IF(C2="元","收益价值(元)","收益价值(万元)")</f>
        <v>收益价值(万元)</v>
      </c>
      <c r="Q73" s="1047">
        <f ca="1">ROUND(IF(C2="元",Q63+Q64,(Q63+Q64)/10000),0)</f>
        <v>2760</v>
      </c>
      <c r="R73" s="1048"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7" t="s">
        <v>1013</v>
      </c>
      <c r="B1" s="3408"/>
      <c r="C1" s="3409"/>
      <c r="D1" s="3410">
        <f>SUM(I10,I15,I20,I21,I23)</f>
        <v>0</v>
      </c>
      <c r="E1" s="3410"/>
      <c r="F1" s="3410"/>
      <c r="G1" s="3410"/>
      <c r="H1" s="3410"/>
      <c r="I1" s="3411"/>
    </row>
    <row r="2" spans="1:9">
      <c r="A2" s="3412" t="s">
        <v>1014</v>
      </c>
      <c r="B2" s="3413" t="s">
        <v>963</v>
      </c>
      <c r="C2" s="3413"/>
      <c r="D2" s="1060" t="s">
        <v>964</v>
      </c>
      <c r="E2" s="1060" t="s">
        <v>965</v>
      </c>
      <c r="F2" s="1060" t="s">
        <v>966</v>
      </c>
      <c r="G2" s="1060" t="s">
        <v>967</v>
      </c>
      <c r="H2" s="1060" t="s">
        <v>968</v>
      </c>
      <c r="I2" s="1061" t="s">
        <v>969</v>
      </c>
    </row>
    <row r="3" spans="1:9">
      <c r="A3" s="3412"/>
      <c r="B3" s="3413" t="s">
        <v>970</v>
      </c>
      <c r="C3" s="3413"/>
      <c r="D3" s="1062"/>
      <c r="E3" s="1060"/>
      <c r="F3" s="1063"/>
      <c r="G3" s="1063"/>
      <c r="H3" s="1064"/>
      <c r="I3" s="1065">
        <f>ROUND(D3*E3*F3*G3*H3/10000,0)</f>
        <v>0</v>
      </c>
    </row>
    <row r="4" spans="1:9">
      <c r="A4" s="3412"/>
      <c r="B4" s="3413" t="s">
        <v>971</v>
      </c>
      <c r="C4" s="3413"/>
      <c r="D4" s="1062"/>
      <c r="E4" s="1060"/>
      <c r="F4" s="1063"/>
      <c r="G4" s="1063"/>
      <c r="H4" s="1064"/>
      <c r="I4" s="1065">
        <f t="shared" ref="I4:I9" si="0">ROUND(D4*E4*F4*G4*H4/10000,0)</f>
        <v>0</v>
      </c>
    </row>
    <row r="5" spans="1:9">
      <c r="A5" s="3412"/>
      <c r="B5" s="3413" t="s">
        <v>972</v>
      </c>
      <c r="C5" s="3413"/>
      <c r="D5" s="1062"/>
      <c r="E5" s="1060"/>
      <c r="F5" s="1063"/>
      <c r="G5" s="1063"/>
      <c r="H5" s="1064"/>
      <c r="I5" s="1065">
        <f t="shared" si="0"/>
        <v>0</v>
      </c>
    </row>
    <row r="6" spans="1:9">
      <c r="A6" s="3412"/>
      <c r="B6" s="3413" t="s">
        <v>973</v>
      </c>
      <c r="C6" s="3413"/>
      <c r="D6" s="1062"/>
      <c r="E6" s="1060"/>
      <c r="F6" s="1063"/>
      <c r="G6" s="1063"/>
      <c r="H6" s="1064"/>
      <c r="I6" s="1065">
        <f t="shared" si="0"/>
        <v>0</v>
      </c>
    </row>
    <row r="7" spans="1:9">
      <c r="A7" s="3412"/>
      <c r="B7" s="3413" t="s">
        <v>974</v>
      </c>
      <c r="C7" s="3413"/>
      <c r="D7" s="1062"/>
      <c r="E7" s="1060"/>
      <c r="F7" s="1063"/>
      <c r="G7" s="1063"/>
      <c r="H7" s="1064"/>
      <c r="I7" s="1065">
        <f t="shared" si="0"/>
        <v>0</v>
      </c>
    </row>
    <row r="8" spans="1:9">
      <c r="A8" s="3412"/>
      <c r="B8" s="3413" t="s">
        <v>975</v>
      </c>
      <c r="C8" s="3413"/>
      <c r="D8" s="1062"/>
      <c r="E8" s="1060"/>
      <c r="F8" s="1063"/>
      <c r="G8" s="1063"/>
      <c r="H8" s="1064"/>
      <c r="I8" s="1065">
        <f t="shared" si="0"/>
        <v>0</v>
      </c>
    </row>
    <row r="9" spans="1:9">
      <c r="A9" s="3412"/>
      <c r="B9" s="3413" t="s">
        <v>976</v>
      </c>
      <c r="C9" s="3413"/>
      <c r="D9" s="1062"/>
      <c r="E9" s="1060"/>
      <c r="F9" s="1063"/>
      <c r="G9" s="1063"/>
      <c r="H9" s="1064"/>
      <c r="I9" s="1065">
        <f t="shared" si="0"/>
        <v>0</v>
      </c>
    </row>
    <row r="10" spans="1:9">
      <c r="A10" s="3412"/>
      <c r="B10" s="3414" t="s">
        <v>977</v>
      </c>
      <c r="C10" s="3414"/>
      <c r="D10" s="1066">
        <v>527</v>
      </c>
      <c r="E10" s="1066" t="e">
        <f>ROUND(D1*10000/D10/H9,0)</f>
        <v>#DIV/0!</v>
      </c>
      <c r="F10" s="1067"/>
      <c r="G10" s="1067"/>
      <c r="H10" s="1068"/>
      <c r="I10" s="1069">
        <f>SUM(I3:I9)</f>
        <v>0</v>
      </c>
    </row>
    <row r="11" spans="1:9" ht="14.25">
      <c r="A11" s="3412" t="s">
        <v>1015</v>
      </c>
      <c r="B11" s="3413" t="s">
        <v>978</v>
      </c>
      <c r="C11" s="3413"/>
      <c r="D11" s="1062" t="s">
        <v>979</v>
      </c>
      <c r="E11" s="1062" t="s">
        <v>980</v>
      </c>
      <c r="F11" s="1063" t="s">
        <v>981</v>
      </c>
      <c r="G11" s="1063" t="s">
        <v>968</v>
      </c>
      <c r="H11" s="1070" t="s">
        <v>982</v>
      </c>
      <c r="I11" s="1061" t="s">
        <v>969</v>
      </c>
    </row>
    <row r="12" spans="1:9">
      <c r="A12" s="3412"/>
      <c r="B12" s="3413" t="s">
        <v>983</v>
      </c>
      <c r="C12" s="3413"/>
      <c r="D12" s="1062"/>
      <c r="E12" s="1062"/>
      <c r="F12" s="1063"/>
      <c r="G12" s="1064"/>
      <c r="H12" s="1071"/>
      <c r="I12" s="1061">
        <f>ROUND(D12*E12*F12*G12/10000,0)</f>
        <v>0</v>
      </c>
    </row>
    <row r="13" spans="1:9">
      <c r="A13" s="3412"/>
      <c r="B13" s="3413" t="s">
        <v>984</v>
      </c>
      <c r="C13" s="3413"/>
      <c r="D13" s="1062"/>
      <c r="E13" s="1062"/>
      <c r="F13" s="1063"/>
      <c r="G13" s="1064"/>
      <c r="H13" s="1071"/>
      <c r="I13" s="1061">
        <f>ROUND(D13*E13*F13*G13/10000,0)</f>
        <v>0</v>
      </c>
    </row>
    <row r="14" spans="1:9">
      <c r="A14" s="3412"/>
      <c r="B14" s="3413" t="s">
        <v>985</v>
      </c>
      <c r="C14" s="3413"/>
      <c r="D14" s="1062"/>
      <c r="E14" s="1062"/>
      <c r="F14" s="1063"/>
      <c r="G14" s="1064"/>
      <c r="H14" s="1071"/>
      <c r="I14" s="1061">
        <f>ROUND(D14*E14*F14*G14/10000,0)</f>
        <v>0</v>
      </c>
    </row>
    <row r="15" spans="1:9">
      <c r="A15" s="3412"/>
      <c r="B15" s="3414" t="s">
        <v>977</v>
      </c>
      <c r="C15" s="3414"/>
      <c r="D15" s="1066"/>
      <c r="E15" s="1066">
        <f>SUM(E12:E14)</f>
        <v>0</v>
      </c>
      <c r="F15" s="1067"/>
      <c r="G15" s="1064"/>
      <c r="H15" s="1071"/>
      <c r="I15" s="1072">
        <f>SUM(I12:I14)</f>
        <v>0</v>
      </c>
    </row>
    <row r="16" spans="1:9" ht="24">
      <c r="A16" s="3412" t="s">
        <v>1016</v>
      </c>
      <c r="B16" s="3413" t="s">
        <v>986</v>
      </c>
      <c r="C16" s="3413"/>
      <c r="D16" s="1062" t="s">
        <v>964</v>
      </c>
      <c r="E16" s="1073" t="s">
        <v>987</v>
      </c>
      <c r="F16" s="1063" t="s">
        <v>988</v>
      </c>
      <c r="G16" s="1064" t="s">
        <v>968</v>
      </c>
      <c r="H16" s="1070" t="s">
        <v>982</v>
      </c>
      <c r="I16" s="1061" t="s">
        <v>969</v>
      </c>
    </row>
    <row r="17" spans="1:9" ht="14.25">
      <c r="A17" s="3412"/>
      <c r="B17" s="3413" t="s">
        <v>989</v>
      </c>
      <c r="C17" s="3413"/>
      <c r="D17" s="1062"/>
      <c r="E17" s="1062"/>
      <c r="F17" s="1063"/>
      <c r="G17" s="1064"/>
      <c r="H17" s="1074"/>
      <c r="I17" s="1075">
        <f>ROUND(D17*E17*F17*G17/10000,0)</f>
        <v>0</v>
      </c>
    </row>
    <row r="18" spans="1:9" ht="14.25">
      <c r="A18" s="3412"/>
      <c r="B18" s="3413" t="s">
        <v>990</v>
      </c>
      <c r="C18" s="3413"/>
      <c r="D18" s="1062"/>
      <c r="E18" s="1062"/>
      <c r="F18" s="1063"/>
      <c r="G18" s="1064"/>
      <c r="H18" s="1074"/>
      <c r="I18" s="1075">
        <f>ROUND(D18*E18*F18*G18/10000,0)</f>
        <v>0</v>
      </c>
    </row>
    <row r="19" spans="1:9" ht="14.25">
      <c r="A19" s="3412"/>
      <c r="B19" s="3413" t="s">
        <v>991</v>
      </c>
      <c r="C19" s="3413"/>
      <c r="D19" s="1062"/>
      <c r="E19" s="1062"/>
      <c r="F19" s="1063"/>
      <c r="G19" s="1064"/>
      <c r="H19" s="1074"/>
      <c r="I19" s="1075">
        <f>ROUND(D19*E19*F19*G19/10000,0)</f>
        <v>0</v>
      </c>
    </row>
    <row r="20" spans="1:9">
      <c r="A20" s="3412"/>
      <c r="B20" s="3414" t="s">
        <v>977</v>
      </c>
      <c r="C20" s="3414"/>
      <c r="D20" s="1066">
        <f>SUM(D17:D19)</f>
        <v>0</v>
      </c>
      <c r="E20" s="1066"/>
      <c r="F20" s="1067"/>
      <c r="G20" s="1064"/>
      <c r="H20" s="1071"/>
      <c r="I20" s="1072">
        <f>SUM(I17:I19)</f>
        <v>0</v>
      </c>
    </row>
    <row r="21" spans="1:9">
      <c r="A21" s="3412" t="s">
        <v>1017</v>
      </c>
      <c r="B21" s="3416"/>
      <c r="C21" s="3416"/>
      <c r="D21" s="3416"/>
      <c r="E21" s="3416"/>
      <c r="F21" s="3416"/>
      <c r="G21" s="3416"/>
      <c r="H21" s="1076">
        <v>0.1</v>
      </c>
      <c r="I21" s="1069">
        <f>ROUND(I10*H21,0)</f>
        <v>0</v>
      </c>
    </row>
    <row r="22" spans="1:9" ht="14.25">
      <c r="A22" s="3417" t="s">
        <v>1018</v>
      </c>
      <c r="B22" s="3418"/>
      <c r="C22" s="3419"/>
      <c r="D22" s="1077" t="s">
        <v>992</v>
      </c>
      <c r="E22" s="1077" t="s">
        <v>993</v>
      </c>
      <c r="F22" s="1078" t="s">
        <v>968</v>
      </c>
      <c r="G22" s="1078" t="s">
        <v>994</v>
      </c>
      <c r="H22" s="1070" t="s">
        <v>982</v>
      </c>
      <c r="I22" s="1061" t="s">
        <v>969</v>
      </c>
    </row>
    <row r="23" spans="1:9" ht="14.25" thickBot="1">
      <c r="A23" s="3420"/>
      <c r="B23" s="3421"/>
      <c r="C23" s="3422"/>
      <c r="D23" s="1079"/>
      <c r="E23" s="1079"/>
      <c r="F23" s="1079"/>
      <c r="G23" s="1080"/>
      <c r="H23" s="1081"/>
      <c r="I23" s="1082">
        <f>ROUND(E23*D23*F23*(1-G23)/10000,0)</f>
        <v>0</v>
      </c>
    </row>
    <row r="26" spans="1:9">
      <c r="A26" s="1083" t="s">
        <v>995</v>
      </c>
      <c r="B26" s="1083"/>
      <c r="C26" s="1083"/>
      <c r="D26" s="1083"/>
      <c r="E26" s="3423">
        <f>C27-C30-C31-C32</f>
        <v>0</v>
      </c>
      <c r="F26" s="3423"/>
      <c r="G26" s="3423"/>
      <c r="H26" s="1302" t="s">
        <v>1206</v>
      </c>
    </row>
    <row r="27" spans="1:9">
      <c r="A27" s="1084">
        <v>1</v>
      </c>
      <c r="B27" s="1085" t="s">
        <v>996</v>
      </c>
      <c r="C27" s="1085">
        <f>C28+C29</f>
        <v>0</v>
      </c>
      <c r="D27" s="1085"/>
      <c r="E27" s="3424"/>
      <c r="F27" s="3424"/>
      <c r="G27" s="3424"/>
    </row>
    <row r="28" spans="1:9">
      <c r="A28" s="1086" t="s">
        <v>997</v>
      </c>
      <c r="B28" s="1085" t="s">
        <v>998</v>
      </c>
      <c r="C28" s="1085"/>
      <c r="D28" s="1085"/>
      <c r="E28" s="3424"/>
      <c r="F28" s="3424"/>
      <c r="G28" s="3424"/>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15"/>
      <c r="F32" s="3415"/>
      <c r="G32" s="3415"/>
    </row>
    <row r="33" spans="1:7" hidden="1">
      <c r="A33" s="3425" t="s">
        <v>1007</v>
      </c>
      <c r="B33" s="3426"/>
      <c r="C33" s="3426"/>
      <c r="D33" s="3427"/>
      <c r="E33" s="3423"/>
      <c r="F33" s="3423"/>
      <c r="G33" s="3423"/>
    </row>
    <row r="34" spans="1:7" hidden="1">
      <c r="A34" s="1088">
        <v>1</v>
      </c>
      <c r="B34" s="1085" t="s">
        <v>1008</v>
      </c>
      <c r="C34" s="1085"/>
      <c r="D34" s="1085"/>
      <c r="E34" s="3424"/>
      <c r="F34" s="3424"/>
      <c r="G34" s="3424"/>
    </row>
    <row r="35" spans="1:7" hidden="1">
      <c r="A35" s="1088">
        <v>2</v>
      </c>
      <c r="B35" s="1085" t="s">
        <v>1009</v>
      </c>
      <c r="C35" s="1085"/>
      <c r="D35" s="1085"/>
      <c r="E35" s="3424"/>
      <c r="F35" s="3424"/>
      <c r="G35" s="3424"/>
    </row>
    <row r="36" spans="1:7" hidden="1">
      <c r="A36" s="1088">
        <v>3</v>
      </c>
      <c r="B36" s="1085" t="s">
        <v>1010</v>
      </c>
      <c r="C36" s="1085"/>
      <c r="D36" s="1085"/>
      <c r="E36" s="3424"/>
      <c r="F36" s="3424"/>
      <c r="G36" s="3424"/>
    </row>
    <row r="37" spans="1:7" hidden="1">
      <c r="A37" s="1088">
        <v>4</v>
      </c>
      <c r="B37" s="1085" t="s">
        <v>1011</v>
      </c>
      <c r="C37" s="1085"/>
      <c r="D37" s="1085"/>
      <c r="E37" s="3424"/>
      <c r="F37" s="3424"/>
      <c r="G37" s="3424"/>
    </row>
    <row r="38" spans="1:7" hidden="1">
      <c r="A38" s="3425" t="s">
        <v>1012</v>
      </c>
      <c r="B38" s="3426"/>
      <c r="C38" s="3426"/>
      <c r="D38" s="3427"/>
      <c r="E38" s="3423"/>
      <c r="F38" s="3423"/>
      <c r="G38" s="34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37" t="str">
        <f>项目基本情况!B1</f>
        <v>北京市预评估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38" t="str">
        <f>项目基本情况!B4</f>
        <v>xx</v>
      </c>
      <c r="C12" s="811"/>
    </row>
    <row r="13" spans="1:7">
      <c r="A13" s="901"/>
      <c r="B13" s="831"/>
      <c r="C13" s="811"/>
    </row>
    <row r="14" spans="1:7">
      <c r="A14" s="904" t="s">
        <v>940</v>
      </c>
      <c r="B14" s="903" t="s">
        <v>942</v>
      </c>
      <c r="C14" s="811"/>
    </row>
    <row r="15" spans="1:7">
      <c r="A15" s="901"/>
      <c r="B15" s="1338" t="s">
        <v>771</v>
      </c>
      <c r="C15" s="811"/>
    </row>
    <row r="16" spans="1:7">
      <c r="A16" s="901"/>
      <c r="B16" s="831"/>
      <c r="C16" s="811"/>
    </row>
    <row r="17" spans="1:5">
      <c r="A17" s="904" t="s">
        <v>940</v>
      </c>
      <c r="B17" s="903" t="s">
        <v>943</v>
      </c>
      <c r="C17" s="811"/>
    </row>
    <row r="18" spans="1:5" s="815" customFormat="1">
      <c r="A18" s="902"/>
      <c r="B18" s="1338" t="str">
        <f ca="1">CONCATENATE(项目基本情况!B3,"（注册号:",项目基本情况!C3,"）、",项目基本情况!D3,"（注册号:",项目基本情况!E3,")")</f>
        <v>郑燚（注册号:1120070131）、崔锴（注册号:1120100036)</v>
      </c>
      <c r="C18" s="814"/>
      <c r="E18" s="814"/>
    </row>
    <row r="19" spans="1:5">
      <c r="A19" s="901"/>
      <c r="B19" s="831"/>
      <c r="C19" s="811"/>
    </row>
    <row r="20" spans="1:5">
      <c r="A20" s="904" t="s">
        <v>940</v>
      </c>
      <c r="B20" s="903" t="s">
        <v>944</v>
      </c>
      <c r="C20" s="811"/>
    </row>
    <row r="21" spans="1:5">
      <c r="A21" s="901"/>
      <c r="B21" s="1338"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c r="D1" s="1638"/>
      <c r="E1" s="1639" t="s">
        <v>1224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1914</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90"/>
      <c r="I2" s="2990"/>
      <c r="J2" s="2990"/>
      <c r="K2" s="2991"/>
      <c r="L2" s="2992"/>
      <c r="M2" s="2990"/>
      <c r="N2" s="2990"/>
      <c r="O2" s="2990"/>
      <c r="P2" s="1654"/>
      <c r="Q2" s="1655"/>
      <c r="R2" s="1655"/>
      <c r="S2" s="1655"/>
      <c r="T2" s="1655"/>
      <c r="U2" s="1655"/>
      <c r="V2" s="1655"/>
      <c r="W2" s="1655"/>
      <c r="X2" s="1655"/>
      <c r="Y2" s="1655"/>
      <c r="Z2" s="1655"/>
      <c r="AA2" s="1655"/>
      <c r="AB2" s="1655"/>
      <c r="AC2" s="1656"/>
    </row>
    <row r="3" spans="1:29" s="277" customFormat="1" ht="28.5" customHeight="1" thickBot="1">
      <c r="A3" s="1657" t="s">
        <v>1915</v>
      </c>
      <c r="B3" s="1658" t="e">
        <f ca="1">ROUND(IF(D2="——",C49,IF(C2="万元",B2*10000/D3,B2/D3)),0)</f>
        <v>#DIV/0!</v>
      </c>
      <c r="C3" s="1658" t="s">
        <v>2244</v>
      </c>
      <c r="D3" s="1658">
        <f>IF(C1="仅计算典型户型",'数据-取费表'!E5,'数据-取费表'!B5)</f>
        <v>1715.28</v>
      </c>
      <c r="E3" s="2990"/>
      <c r="F3" s="2993"/>
      <c r="G3" s="2990"/>
      <c r="H3" s="2990"/>
      <c r="I3" s="2990"/>
      <c r="J3" s="2990"/>
      <c r="K3" s="2991"/>
      <c r="L3" s="2992"/>
      <c r="M3" s="2990"/>
      <c r="N3" s="2990"/>
      <c r="O3" s="2990"/>
      <c r="P3" s="1659"/>
      <c r="Q3" s="1655"/>
      <c r="R3" s="1655"/>
      <c r="S3" s="1655"/>
      <c r="T3" s="1655"/>
      <c r="U3" s="1655"/>
      <c r="V3" s="1655"/>
      <c r="W3" s="1655"/>
      <c r="X3" s="1655"/>
      <c r="Y3" s="1655"/>
      <c r="Z3" s="1655"/>
      <c r="AA3" s="1655"/>
      <c r="AB3" s="1655"/>
      <c r="AC3" s="1660"/>
    </row>
    <row r="4" spans="1:29" ht="15">
      <c r="A4" s="1661" t="s">
        <v>2245</v>
      </c>
      <c r="B4" s="1662"/>
      <c r="C4" s="3431" t="s">
        <v>2246</v>
      </c>
      <c r="D4" s="3432"/>
      <c r="E4" s="3433" t="s">
        <v>2247</v>
      </c>
      <c r="F4" s="3434"/>
      <c r="G4" s="3431" t="s">
        <v>2248</v>
      </c>
      <c r="H4" s="3432"/>
      <c r="I4" s="3431" t="s">
        <v>2249</v>
      </c>
      <c r="J4" s="3432"/>
      <c r="K4" s="1663" t="s">
        <v>2250</v>
      </c>
      <c r="L4" s="2994"/>
      <c r="M4" s="2995"/>
      <c r="N4" s="2995"/>
      <c r="O4" s="2995"/>
      <c r="P4" s="3435" t="s">
        <v>2251</v>
      </c>
      <c r="Q4" s="3436"/>
      <c r="R4" s="3441" t="s">
        <v>2247</v>
      </c>
      <c r="S4" s="3442"/>
      <c r="T4" s="3441" t="s">
        <v>2248</v>
      </c>
      <c r="U4" s="3442"/>
      <c r="V4" s="3447" t="s">
        <v>2249</v>
      </c>
      <c r="W4" s="3447"/>
      <c r="X4" s="1664"/>
      <c r="Y4" s="3441" t="s">
        <v>2251</v>
      </c>
      <c r="Z4" s="3442"/>
      <c r="AA4" s="3428" t="s">
        <v>2247</v>
      </c>
      <c r="AB4" s="3428" t="s">
        <v>2248</v>
      </c>
      <c r="AC4" s="3428" t="s">
        <v>2249</v>
      </c>
    </row>
    <row r="5" spans="1:29" ht="15">
      <c r="A5" s="1666"/>
      <c r="B5" s="1667"/>
      <c r="C5" s="3450" t="s">
        <v>2252</v>
      </c>
      <c r="D5" s="3451"/>
      <c r="E5" s="3448" t="s">
        <v>2253</v>
      </c>
      <c r="F5" s="3449"/>
      <c r="G5" s="3450" t="s">
        <v>2254</v>
      </c>
      <c r="H5" s="3451"/>
      <c r="I5" s="3450" t="s">
        <v>2255</v>
      </c>
      <c r="J5" s="3451"/>
      <c r="K5" s="1668"/>
      <c r="L5" s="2994"/>
      <c r="M5" s="2995"/>
      <c r="N5" s="2995"/>
      <c r="O5" s="2995"/>
      <c r="P5" s="3437"/>
      <c r="Q5" s="3438"/>
      <c r="R5" s="3443"/>
      <c r="S5" s="3444"/>
      <c r="T5" s="3443"/>
      <c r="U5" s="3444"/>
      <c r="V5" s="3447"/>
      <c r="W5" s="3447"/>
      <c r="X5" s="1664"/>
      <c r="Y5" s="3443"/>
      <c r="Z5" s="3444"/>
      <c r="AA5" s="3429"/>
      <c r="AB5" s="3429"/>
      <c r="AC5" s="3429"/>
    </row>
    <row r="6" spans="1:29" ht="15.75" thickBot="1">
      <c r="A6" s="1669"/>
      <c r="B6" s="1670"/>
      <c r="C6" s="3452" t="s">
        <v>2256</v>
      </c>
      <c r="D6" s="3453"/>
      <c r="E6" s="3454" t="s">
        <v>2256</v>
      </c>
      <c r="F6" s="3455"/>
      <c r="G6" s="3452" t="s">
        <v>2256</v>
      </c>
      <c r="H6" s="3453"/>
      <c r="I6" s="3452" t="s">
        <v>2256</v>
      </c>
      <c r="J6" s="3453"/>
      <c r="K6" s="1668" t="s">
        <v>2257</v>
      </c>
      <c r="L6" s="2994"/>
      <c r="M6" s="2995"/>
      <c r="N6" s="2995"/>
      <c r="O6" s="2995"/>
      <c r="P6" s="3439"/>
      <c r="Q6" s="3440"/>
      <c r="R6" s="3443"/>
      <c r="S6" s="3444"/>
      <c r="T6" s="3445"/>
      <c r="U6" s="3446"/>
      <c r="V6" s="3447"/>
      <c r="W6" s="3447"/>
      <c r="X6" s="1664"/>
      <c r="Y6" s="3445"/>
      <c r="Z6" s="3446"/>
      <c r="AA6" s="3430"/>
      <c r="AB6" s="3430"/>
      <c r="AC6" s="3430"/>
    </row>
    <row r="7" spans="1:29" s="1683" customFormat="1" ht="15.75" thickBot="1">
      <c r="A7" s="1671" t="s">
        <v>2258</v>
      </c>
      <c r="B7" s="1672"/>
      <c r="C7" s="1673">
        <f>'数据-取费表'!B2</f>
        <v>44270</v>
      </c>
      <c r="D7" s="1674">
        <v>100</v>
      </c>
      <c r="E7" s="1675"/>
      <c r="F7" s="1676">
        <f>SUMIF(58:58,YEAR(E7)&amp;"-"&amp;MONTH(E7),59:59)</f>
        <v>0</v>
      </c>
      <c r="G7" s="1675"/>
      <c r="H7" s="1674">
        <f>SUMIF(58:58,YEAR(G7)&amp;"-"&amp;MONTH(G7),59:59)</f>
        <v>0</v>
      </c>
      <c r="I7" s="1675"/>
      <c r="J7" s="1674">
        <f>SUMIF(58:58,YEAR(I7)&amp;"-"&amp;MONTH(I7),59:59)</f>
        <v>0</v>
      </c>
      <c r="K7" s="1677"/>
      <c r="L7" s="2994"/>
      <c r="M7" s="2967"/>
      <c r="N7" s="2967"/>
      <c r="O7" s="2967"/>
      <c r="P7" s="3463" t="s">
        <v>2259</v>
      </c>
      <c r="Q7" s="3465"/>
      <c r="R7" s="1679" t="s">
        <v>34</v>
      </c>
      <c r="S7" s="1680">
        <f t="shared" ref="S7:S15" si="0">F7</f>
        <v>0</v>
      </c>
      <c r="T7" s="1679" t="s">
        <v>34</v>
      </c>
      <c r="U7" s="1680">
        <f t="shared" ref="U7:U15" si="1">H7</f>
        <v>0</v>
      </c>
      <c r="V7" s="1679" t="s">
        <v>34</v>
      </c>
      <c r="W7" s="1680">
        <f t="shared" ref="W7:W15" si="2">J7</f>
        <v>0</v>
      </c>
      <c r="X7" s="1681"/>
      <c r="Y7" s="3463" t="s">
        <v>2259</v>
      </c>
      <c r="Z7" s="3464"/>
      <c r="AA7" s="1682" t="e">
        <f>D7/F7</f>
        <v>#DIV/0!</v>
      </c>
      <c r="AB7" s="1682" t="e">
        <f>D7/H7</f>
        <v>#DIV/0!</v>
      </c>
      <c r="AC7" s="1682" t="e">
        <f>D7/J7</f>
        <v>#DIV/0!</v>
      </c>
    </row>
    <row r="8" spans="1:29" s="1683" customFormat="1" ht="15.75" thickBot="1">
      <c r="A8" s="1671" t="s">
        <v>2260</v>
      </c>
      <c r="B8" s="1672"/>
      <c r="C8" s="1684" t="s">
        <v>2261</v>
      </c>
      <c r="D8" s="1674">
        <v>100</v>
      </c>
      <c r="E8" s="1685"/>
      <c r="F8" s="1676">
        <f>SUMIF(61:61,E8,62:62)-SUMIF(61:61,C8,62:62)+100</f>
        <v>0</v>
      </c>
      <c r="G8" s="1684"/>
      <c r="H8" s="1674">
        <f>SUMIF(61:61,G8,62:62)-SUMIF(61:61,C8,62:62)+100</f>
        <v>0</v>
      </c>
      <c r="I8" s="1685"/>
      <c r="J8" s="1674">
        <f>SUMIF(61:61,I8,62:62)-SUMIF(61:61,C8,62:62)+100</f>
        <v>0</v>
      </c>
      <c r="K8" s="1677"/>
      <c r="L8" s="2994"/>
      <c r="M8" s="2967"/>
      <c r="N8" s="2967"/>
      <c r="O8" s="2967"/>
      <c r="P8" s="3463" t="s">
        <v>2262</v>
      </c>
      <c r="Q8" s="3464"/>
      <c r="R8" s="1679" t="s">
        <v>34</v>
      </c>
      <c r="S8" s="1680">
        <f t="shared" si="0"/>
        <v>0</v>
      </c>
      <c r="T8" s="1679" t="s">
        <v>34</v>
      </c>
      <c r="U8" s="1680">
        <f t="shared" si="1"/>
        <v>0</v>
      </c>
      <c r="V8" s="1679" t="s">
        <v>34</v>
      </c>
      <c r="W8" s="1680">
        <f t="shared" si="2"/>
        <v>0</v>
      </c>
      <c r="X8" s="1681"/>
      <c r="Y8" s="3463" t="s">
        <v>2262</v>
      </c>
      <c r="Z8" s="3464"/>
      <c r="AA8" s="1682" t="e">
        <f t="shared" ref="AA8:AA46" si="3">D8/F8</f>
        <v>#DIV/0!</v>
      </c>
      <c r="AB8" s="1682" t="e">
        <f t="shared" ref="AB8:AB46" si="4">D8/H8</f>
        <v>#DIV/0!</v>
      </c>
      <c r="AC8" s="1682" t="e">
        <f t="shared" ref="AC8:AC46" si="5">D8/J8</f>
        <v>#DIV/0!</v>
      </c>
    </row>
    <row r="9" spans="1:29" s="1683" customFormat="1">
      <c r="A9" s="1634" t="s">
        <v>2263</v>
      </c>
      <c r="B9" s="1686" t="s">
        <v>2264</v>
      </c>
      <c r="C9" s="1687"/>
      <c r="D9" s="1688">
        <v>100</v>
      </c>
      <c r="E9" s="1689"/>
      <c r="F9" s="1690">
        <f>SUMIF(63:63,E9,64:64)-SUMIF(63:63,C9,64:64)+100</f>
        <v>100</v>
      </c>
      <c r="G9" s="1691"/>
      <c r="H9" s="1688">
        <f>SUMIF(63:63,G9,64:64)-SUMIF(63:63,C9,64:64)+100</f>
        <v>100</v>
      </c>
      <c r="I9" s="1691"/>
      <c r="J9" s="1688">
        <f>SUMIF(63:63,I9,64:64)-SUMIF(63:63,C9,64:64)+100</f>
        <v>100</v>
      </c>
      <c r="K9" s="1677"/>
      <c r="L9" s="2994"/>
      <c r="M9" s="2967"/>
      <c r="N9" s="2967"/>
      <c r="O9" s="2967"/>
      <c r="P9" s="3466" t="s">
        <v>2265</v>
      </c>
      <c r="Q9" s="1633" t="str">
        <f t="shared" ref="Q9:Q15" si="6">B9</f>
        <v>用途</v>
      </c>
      <c r="R9" s="1679" t="s">
        <v>25</v>
      </c>
      <c r="S9" s="1680">
        <f t="shared" si="0"/>
        <v>100</v>
      </c>
      <c r="T9" s="1679" t="s">
        <v>25</v>
      </c>
      <c r="U9" s="1680">
        <f t="shared" si="1"/>
        <v>100</v>
      </c>
      <c r="V9" s="1679" t="s">
        <v>25</v>
      </c>
      <c r="W9" s="1680">
        <f t="shared" si="2"/>
        <v>100</v>
      </c>
      <c r="X9" s="1681"/>
      <c r="Y9" s="3338"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699"/>
      <c r="L10" s="2996"/>
      <c r="M10" s="2997"/>
      <c r="N10" s="2997"/>
      <c r="O10" s="2997"/>
      <c r="P10" s="3466"/>
      <c r="Q10" s="1633" t="str">
        <f t="shared" si="6"/>
        <v>土地使用年限（年）</v>
      </c>
      <c r="R10" s="1679" t="s">
        <v>25</v>
      </c>
      <c r="S10" s="1680">
        <f t="shared" si="0"/>
        <v>100</v>
      </c>
      <c r="T10" s="1679" t="s">
        <v>25</v>
      </c>
      <c r="U10" s="1680">
        <f t="shared" si="1"/>
        <v>100</v>
      </c>
      <c r="V10" s="1679" t="s">
        <v>25</v>
      </c>
      <c r="W10" s="1680">
        <f t="shared" si="2"/>
        <v>100</v>
      </c>
      <c r="X10" s="1681"/>
      <c r="Y10" s="3338"/>
      <c r="Z10" s="1692" t="str">
        <f t="shared" si="7"/>
        <v>土地使用年限（年）</v>
      </c>
      <c r="AA10" s="1682">
        <f t="shared" si="3"/>
        <v>1</v>
      </c>
      <c r="AB10" s="1682">
        <f t="shared" si="4"/>
        <v>1</v>
      </c>
      <c r="AC10" s="1682">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8"/>
      <c r="M11" s="2995"/>
      <c r="N11" s="2995"/>
      <c r="O11" s="2995"/>
      <c r="P11" s="3466"/>
      <c r="Q11" s="1633" t="str">
        <f t="shared" si="6"/>
        <v>容积率</v>
      </c>
      <c r="R11" s="1679" t="s">
        <v>28</v>
      </c>
      <c r="S11" s="1680" t="e">
        <f t="shared" si="0"/>
        <v>#N/A</v>
      </c>
      <c r="T11" s="1679" t="s">
        <v>28</v>
      </c>
      <c r="U11" s="1680" t="e">
        <f t="shared" si="1"/>
        <v>#N/A</v>
      </c>
      <c r="V11" s="1679" t="s">
        <v>28</v>
      </c>
      <c r="W11" s="1680" t="e">
        <f t="shared" si="2"/>
        <v>#N/A</v>
      </c>
      <c r="X11" s="1681"/>
      <c r="Y11" s="3338"/>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4"/>
      <c r="M12" s="2967"/>
      <c r="N12" s="2967"/>
      <c r="O12" s="2967"/>
      <c r="P12" s="3466"/>
      <c r="Q12" s="1633">
        <f t="shared" si="6"/>
        <v>111</v>
      </c>
      <c r="R12" s="1679" t="s">
        <v>28</v>
      </c>
      <c r="S12" s="1680">
        <f t="shared" si="0"/>
        <v>100</v>
      </c>
      <c r="T12" s="1679" t="s">
        <v>28</v>
      </c>
      <c r="U12" s="1680">
        <f t="shared" si="1"/>
        <v>100</v>
      </c>
      <c r="V12" s="1679" t="s">
        <v>28</v>
      </c>
      <c r="W12" s="1680">
        <f t="shared" si="2"/>
        <v>100</v>
      </c>
      <c r="X12" s="1681"/>
      <c r="Y12" s="3338"/>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9"/>
      <c r="M13" s="2995"/>
      <c r="N13" s="2995"/>
      <c r="O13" s="2995"/>
      <c r="P13" s="3466"/>
      <c r="Q13" s="1633">
        <f t="shared" si="6"/>
        <v>111</v>
      </c>
      <c r="R13" s="1679" t="s">
        <v>28</v>
      </c>
      <c r="S13" s="1680">
        <f t="shared" si="0"/>
        <v>100</v>
      </c>
      <c r="T13" s="1679" t="s">
        <v>28</v>
      </c>
      <c r="U13" s="1680">
        <f t="shared" si="1"/>
        <v>100</v>
      </c>
      <c r="V13" s="1679" t="s">
        <v>28</v>
      </c>
      <c r="W13" s="1680">
        <f t="shared" si="2"/>
        <v>100</v>
      </c>
      <c r="X13" s="1681"/>
      <c r="Y13" s="3338"/>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9"/>
      <c r="M14" s="2995"/>
      <c r="N14" s="2995"/>
      <c r="O14" s="2995"/>
      <c r="P14" s="3466"/>
      <c r="Q14" s="1633">
        <f t="shared" si="6"/>
        <v>111</v>
      </c>
      <c r="R14" s="1679" t="s">
        <v>28</v>
      </c>
      <c r="S14" s="1680">
        <f t="shared" si="0"/>
        <v>100</v>
      </c>
      <c r="T14" s="1679" t="s">
        <v>28</v>
      </c>
      <c r="U14" s="1680">
        <f t="shared" si="1"/>
        <v>100</v>
      </c>
      <c r="V14" s="1679" t="s">
        <v>28</v>
      </c>
      <c r="W14" s="1680">
        <f t="shared" si="2"/>
        <v>100</v>
      </c>
      <c r="X14" s="1681"/>
      <c r="Y14" s="3338"/>
      <c r="Z14" s="1692">
        <f t="shared" si="7"/>
        <v>111</v>
      </c>
      <c r="AA14" s="1682">
        <f t="shared" si="3"/>
        <v>1</v>
      </c>
      <c r="AB14" s="1682">
        <f t="shared" si="4"/>
        <v>1</v>
      </c>
      <c r="AC14" s="1682">
        <f t="shared" si="5"/>
        <v>1</v>
      </c>
    </row>
    <row r="15" spans="1:29" ht="99.75">
      <c r="A15" s="1716" t="s">
        <v>2269</v>
      </c>
      <c r="B15" s="1717" t="s">
        <v>1704</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9"/>
      <c r="M15" s="2995"/>
      <c r="N15" s="2995"/>
      <c r="O15" s="2995"/>
      <c r="P15" s="3469" t="s">
        <v>2270</v>
      </c>
      <c r="Q15" s="1614" t="str">
        <f t="shared" si="6"/>
        <v>居住社区成熟度</v>
      </c>
      <c r="R15" s="1724" t="s">
        <v>28</v>
      </c>
      <c r="S15" s="1725">
        <f t="shared" si="0"/>
        <v>100</v>
      </c>
      <c r="T15" s="1724" t="s">
        <v>28</v>
      </c>
      <c r="U15" s="1725">
        <f t="shared" si="1"/>
        <v>100</v>
      </c>
      <c r="V15" s="1724" t="s">
        <v>28</v>
      </c>
      <c r="W15" s="1725">
        <f t="shared" si="2"/>
        <v>100</v>
      </c>
      <c r="X15" s="1664"/>
      <c r="Y15" s="3456" t="s">
        <v>2270</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9"/>
      <c r="M16" s="2995"/>
      <c r="N16" s="2995"/>
      <c r="O16" s="2995"/>
      <c r="P16" s="3470"/>
      <c r="Q16" s="1614"/>
      <c r="R16" s="1724"/>
      <c r="S16" s="1725"/>
      <c r="T16" s="1724"/>
      <c r="U16" s="1725"/>
      <c r="V16" s="1724"/>
      <c r="W16" s="1725"/>
      <c r="X16" s="1664"/>
      <c r="Y16" s="3457"/>
      <c r="Z16" s="1726"/>
      <c r="AA16" s="1727">
        <v>1</v>
      </c>
      <c r="AB16" s="1727">
        <v>1</v>
      </c>
      <c r="AC16" s="1727">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9"/>
      <c r="M17" s="2995"/>
      <c r="N17" s="2995"/>
      <c r="O17" s="2995"/>
      <c r="P17" s="3470"/>
      <c r="Q17" s="1614" t="str">
        <f>B17</f>
        <v>交通便捷度</v>
      </c>
      <c r="R17" s="1724" t="s">
        <v>28</v>
      </c>
      <c r="S17" s="1725">
        <f>F17</f>
        <v>100</v>
      </c>
      <c r="T17" s="1724" t="s">
        <v>28</v>
      </c>
      <c r="U17" s="1725">
        <f>H17</f>
        <v>100</v>
      </c>
      <c r="V17" s="1724" t="s">
        <v>28</v>
      </c>
      <c r="W17" s="1725">
        <f>J17</f>
        <v>100</v>
      </c>
      <c r="X17" s="1664"/>
      <c r="Y17" s="3457"/>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9"/>
      <c r="M18" s="2995"/>
      <c r="N18" s="2995"/>
      <c r="O18" s="2995"/>
      <c r="P18" s="3470"/>
      <c r="Q18" s="1614"/>
      <c r="R18" s="1724"/>
      <c r="S18" s="1725"/>
      <c r="T18" s="1724"/>
      <c r="U18" s="1725"/>
      <c r="V18" s="1724"/>
      <c r="W18" s="1725"/>
      <c r="X18" s="1664"/>
      <c r="Y18" s="3457"/>
      <c r="Z18" s="1726"/>
      <c r="AA18" s="1727">
        <v>1</v>
      </c>
      <c r="AB18" s="1727">
        <v>1</v>
      </c>
      <c r="AC18" s="1727">
        <v>1</v>
      </c>
    </row>
    <row r="19" spans="1:29" ht="42.75">
      <c r="A19" s="1701"/>
      <c r="B19" s="1736" t="s">
        <v>1705</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9"/>
      <c r="M19" s="2995"/>
      <c r="N19" s="2995"/>
      <c r="O19" s="2995"/>
      <c r="P19" s="3470"/>
      <c r="Q19" s="1614" t="str">
        <f>B19</f>
        <v>公共配套设施</v>
      </c>
      <c r="R19" s="1724" t="s">
        <v>28</v>
      </c>
      <c r="S19" s="1725">
        <f>F19</f>
        <v>100</v>
      </c>
      <c r="T19" s="1724" t="s">
        <v>28</v>
      </c>
      <c r="U19" s="1725">
        <f>H19</f>
        <v>100</v>
      </c>
      <c r="V19" s="1724" t="s">
        <v>28</v>
      </c>
      <c r="W19" s="1725">
        <f>J19</f>
        <v>100</v>
      </c>
      <c r="X19" s="1664"/>
      <c r="Y19" s="3457"/>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9"/>
      <c r="M20" s="2995"/>
      <c r="N20" s="2995"/>
      <c r="O20" s="2995"/>
      <c r="P20" s="3470"/>
      <c r="Q20" s="1614"/>
      <c r="R20" s="1724"/>
      <c r="S20" s="1725"/>
      <c r="T20" s="1724"/>
      <c r="U20" s="1725"/>
      <c r="V20" s="1724"/>
      <c r="W20" s="1725"/>
      <c r="X20" s="1664"/>
      <c r="Y20" s="3457"/>
      <c r="Z20" s="1726"/>
      <c r="AA20" s="1727">
        <v>1</v>
      </c>
      <c r="AB20" s="1727">
        <v>1</v>
      </c>
      <c r="AC20" s="1727">
        <v>1</v>
      </c>
    </row>
    <row r="21" spans="1:29" ht="28.5">
      <c r="A21" s="1701"/>
      <c r="B21" s="1749" t="s">
        <v>1707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9"/>
      <c r="M21" s="2995"/>
      <c r="N21" s="2995"/>
      <c r="O21" s="2995"/>
      <c r="P21" s="3470"/>
      <c r="Q21" s="1614" t="str">
        <f>B21</f>
        <v>基础设施水平</v>
      </c>
      <c r="R21" s="1724" t="s">
        <v>28</v>
      </c>
      <c r="S21" s="1725">
        <f>F21</f>
        <v>100</v>
      </c>
      <c r="T21" s="1724" t="s">
        <v>28</v>
      </c>
      <c r="U21" s="1725">
        <f>H21</f>
        <v>100</v>
      </c>
      <c r="V21" s="1724" t="s">
        <v>28</v>
      </c>
      <c r="W21" s="1725">
        <f>J21</f>
        <v>100</v>
      </c>
      <c r="X21" s="1664"/>
      <c r="Y21" s="3457"/>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9"/>
      <c r="M22" s="2995"/>
      <c r="N22" s="2995"/>
      <c r="O22" s="2995"/>
      <c r="P22" s="3470"/>
      <c r="Q22" s="1614"/>
      <c r="R22" s="1724"/>
      <c r="S22" s="1725"/>
      <c r="T22" s="1724"/>
      <c r="U22" s="1725"/>
      <c r="V22" s="1724"/>
      <c r="W22" s="1725"/>
      <c r="X22" s="1664"/>
      <c r="Y22" s="3457"/>
      <c r="Z22" s="1726"/>
      <c r="AA22" s="1727">
        <v>1</v>
      </c>
      <c r="AB22" s="1727">
        <v>1</v>
      </c>
      <c r="AC22" s="1727">
        <v>1</v>
      </c>
    </row>
    <row r="23" spans="1:29" ht="57">
      <c r="A23" s="1701"/>
      <c r="B23" s="1736" t="s">
        <v>1708</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9"/>
      <c r="M23" s="2995"/>
      <c r="N23" s="2995"/>
      <c r="O23" s="2995"/>
      <c r="P23" s="3470"/>
      <c r="Q23" s="1614" t="str">
        <f>B23</f>
        <v>自然及人文环境</v>
      </c>
      <c r="R23" s="1724" t="s">
        <v>28</v>
      </c>
      <c r="S23" s="1725">
        <f>F23</f>
        <v>100</v>
      </c>
      <c r="T23" s="1724" t="s">
        <v>28</v>
      </c>
      <c r="U23" s="1725">
        <f>H23</f>
        <v>100</v>
      </c>
      <c r="V23" s="1724" t="s">
        <v>28</v>
      </c>
      <c r="W23" s="1725">
        <f>J23</f>
        <v>100</v>
      </c>
      <c r="X23" s="1664"/>
      <c r="Y23" s="3457"/>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9"/>
      <c r="M24" s="2995"/>
      <c r="N24" s="2995"/>
      <c r="O24" s="2995"/>
      <c r="P24" s="3470"/>
      <c r="Q24" s="1614"/>
      <c r="R24" s="1724"/>
      <c r="S24" s="1725"/>
      <c r="T24" s="1724"/>
      <c r="U24" s="1725"/>
      <c r="V24" s="1724"/>
      <c r="W24" s="1725"/>
      <c r="X24" s="1664"/>
      <c r="Y24" s="3457"/>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2999"/>
      <c r="M25" s="2995"/>
      <c r="N25" s="2995"/>
      <c r="O25" s="2995"/>
      <c r="P25" s="3470"/>
      <c r="Q25" s="1614" t="str">
        <f t="shared" ref="Q25:Q46" si="11">B25</f>
        <v>楼层-1</v>
      </c>
      <c r="R25" s="1724" t="s">
        <v>28</v>
      </c>
      <c r="S25" s="1725">
        <f>F25</f>
        <v>100</v>
      </c>
      <c r="T25" s="1724" t="s">
        <v>28</v>
      </c>
      <c r="U25" s="1725">
        <f>H25</f>
        <v>100</v>
      </c>
      <c r="V25" s="1724" t="s">
        <v>28</v>
      </c>
      <c r="W25" s="1725">
        <f>J25</f>
        <v>100</v>
      </c>
      <c r="X25" s="1664"/>
      <c r="Y25" s="3457"/>
      <c r="Z25" s="1726" t="str">
        <f>Q25</f>
        <v>楼层-1</v>
      </c>
      <c r="AA25" s="1727">
        <f t="shared" si="3"/>
        <v>1</v>
      </c>
      <c r="AB25" s="1727">
        <f t="shared" si="4"/>
        <v>1</v>
      </c>
      <c r="AC25" s="1727">
        <f t="shared" si="5"/>
        <v>1</v>
      </c>
    </row>
    <row r="26" spans="1:29" ht="15">
      <c r="A26" s="1701"/>
      <c r="B26" s="1694" t="s">
        <v>2272</v>
      </c>
      <c r="C26" s="1751"/>
      <c r="D26" s="1710">
        <v>100</v>
      </c>
      <c r="E26" s="1752"/>
      <c r="F26" s="1753">
        <f>SUMIF(88:88,E26,89:89)-SUMIF(88:88,C26,89:89)+100</f>
        <v>100</v>
      </c>
      <c r="G26" s="1754"/>
      <c r="H26" s="1710">
        <f>SUMIF(88:88,G26,89:89)-SUMIF(88:88,C26,89:89)+100</f>
        <v>100</v>
      </c>
      <c r="I26" s="1752"/>
      <c r="J26" s="1710">
        <f>SUMIF(88:88,I26,89:89)-SUMIF(88:88,C26,89:89)+100</f>
        <v>100</v>
      </c>
      <c r="K26" s="1699"/>
      <c r="L26" s="2999"/>
      <c r="M26" s="2995"/>
      <c r="N26" s="2995"/>
      <c r="O26" s="2995"/>
      <c r="P26" s="3470"/>
      <c r="Q26" s="1614" t="str">
        <f t="shared" si="11"/>
        <v>朝向</v>
      </c>
      <c r="R26" s="1724" t="s">
        <v>28</v>
      </c>
      <c r="S26" s="1725">
        <f>F26</f>
        <v>100</v>
      </c>
      <c r="T26" s="1724" t="s">
        <v>28</v>
      </c>
      <c r="U26" s="1725">
        <f>H26</f>
        <v>100</v>
      </c>
      <c r="V26" s="1724" t="s">
        <v>28</v>
      </c>
      <c r="W26" s="1725">
        <f>J26</f>
        <v>100</v>
      </c>
      <c r="X26" s="1664"/>
      <c r="Y26" s="3457"/>
      <c r="Z26" s="1726" t="str">
        <f>Q26</f>
        <v>朝向</v>
      </c>
      <c r="AA26" s="1727">
        <f t="shared" si="3"/>
        <v>1</v>
      </c>
      <c r="AB26" s="1727">
        <f t="shared" si="4"/>
        <v>1</v>
      </c>
      <c r="AC26" s="1727">
        <f t="shared" si="5"/>
        <v>1</v>
      </c>
    </row>
    <row r="27" spans="1:29" s="1683"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4"/>
      <c r="M27" s="2967"/>
      <c r="N27" s="2967"/>
      <c r="O27" s="2967"/>
      <c r="P27" s="3470"/>
      <c r="Q27" s="1633" t="str">
        <f t="shared" si="11"/>
        <v>道路级别</v>
      </c>
      <c r="R27" s="1679" t="s">
        <v>28</v>
      </c>
      <c r="S27" s="1680">
        <f>F27</f>
        <v>100</v>
      </c>
      <c r="T27" s="1679" t="s">
        <v>28</v>
      </c>
      <c r="U27" s="1680">
        <f>H27</f>
        <v>100</v>
      </c>
      <c r="V27" s="1679" t="s">
        <v>28</v>
      </c>
      <c r="W27" s="1680">
        <f>J27</f>
        <v>100</v>
      </c>
      <c r="X27" s="1681"/>
      <c r="Y27" s="3457"/>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9"/>
      <c r="M28" s="2995"/>
      <c r="N28" s="2995"/>
      <c r="O28" s="2995"/>
      <c r="P28" s="3470"/>
      <c r="Q28" s="1614">
        <f t="shared" si="11"/>
        <v>111</v>
      </c>
      <c r="R28" s="1724" t="s">
        <v>28</v>
      </c>
      <c r="S28" s="1725">
        <f t="shared" ref="S28:S46" si="12">F28</f>
        <v>100</v>
      </c>
      <c r="T28" s="1724" t="s">
        <v>28</v>
      </c>
      <c r="U28" s="1725">
        <f t="shared" ref="U28:U46" si="13">H28</f>
        <v>100</v>
      </c>
      <c r="V28" s="1724" t="s">
        <v>28</v>
      </c>
      <c r="W28" s="1725">
        <f t="shared" ref="W28:W46" si="14">J28</f>
        <v>100</v>
      </c>
      <c r="X28" s="1664"/>
      <c r="Y28" s="3457"/>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9"/>
      <c r="M29" s="2995"/>
      <c r="N29" s="2995"/>
      <c r="O29" s="2995"/>
      <c r="P29" s="3470"/>
      <c r="Q29" s="1614">
        <f t="shared" si="11"/>
        <v>111</v>
      </c>
      <c r="R29" s="1724" t="s">
        <v>28</v>
      </c>
      <c r="S29" s="1725">
        <f t="shared" si="12"/>
        <v>100</v>
      </c>
      <c r="T29" s="1724" t="s">
        <v>28</v>
      </c>
      <c r="U29" s="1725">
        <f t="shared" si="13"/>
        <v>100</v>
      </c>
      <c r="V29" s="1724" t="s">
        <v>28</v>
      </c>
      <c r="W29" s="1725">
        <f t="shared" si="14"/>
        <v>100</v>
      </c>
      <c r="X29" s="1664"/>
      <c r="Y29" s="3457"/>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9"/>
      <c r="M30" s="2995"/>
      <c r="N30" s="2995"/>
      <c r="O30" s="2995"/>
      <c r="P30" s="3470"/>
      <c r="Q30" s="1614">
        <f t="shared" si="11"/>
        <v>111</v>
      </c>
      <c r="R30" s="1724" t="s">
        <v>28</v>
      </c>
      <c r="S30" s="1725">
        <f t="shared" si="12"/>
        <v>100</v>
      </c>
      <c r="T30" s="1724" t="s">
        <v>28</v>
      </c>
      <c r="U30" s="1725">
        <f t="shared" si="13"/>
        <v>100</v>
      </c>
      <c r="V30" s="1724" t="s">
        <v>28</v>
      </c>
      <c r="W30" s="1725">
        <f t="shared" si="14"/>
        <v>100</v>
      </c>
      <c r="X30" s="1664"/>
      <c r="Y30" s="3457"/>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9"/>
      <c r="M31" s="2995"/>
      <c r="N31" s="2995"/>
      <c r="O31" s="2995"/>
      <c r="P31" s="3470"/>
      <c r="Q31" s="1614">
        <f t="shared" si="11"/>
        <v>111</v>
      </c>
      <c r="R31" s="1724" t="s">
        <v>28</v>
      </c>
      <c r="S31" s="1725">
        <f t="shared" si="12"/>
        <v>100</v>
      </c>
      <c r="T31" s="1724" t="s">
        <v>28</v>
      </c>
      <c r="U31" s="1725">
        <f t="shared" si="13"/>
        <v>100</v>
      </c>
      <c r="V31" s="1724" t="s">
        <v>28</v>
      </c>
      <c r="W31" s="1725">
        <f t="shared" si="14"/>
        <v>100</v>
      </c>
      <c r="X31" s="1664"/>
      <c r="Y31" s="3457"/>
      <c r="Z31" s="1726">
        <f t="shared" si="15"/>
        <v>111</v>
      </c>
      <c r="AA31" s="1727">
        <f t="shared" si="3"/>
        <v>1</v>
      </c>
      <c r="AB31" s="1727">
        <f t="shared" si="4"/>
        <v>1</v>
      </c>
      <c r="AC31" s="1727">
        <f t="shared" si="5"/>
        <v>1</v>
      </c>
    </row>
    <row r="32" spans="1:29" ht="15">
      <c r="A32" s="1716" t="s">
        <v>2274</v>
      </c>
      <c r="B32" s="1686" t="s">
        <v>2275</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9"/>
      <c r="M32" s="2995"/>
      <c r="N32" s="2995"/>
      <c r="O32" s="2995"/>
      <c r="P32" s="3458" t="s">
        <v>2276</v>
      </c>
      <c r="Q32" s="1614" t="str">
        <f t="shared" si="11"/>
        <v>建筑类型</v>
      </c>
      <c r="R32" s="1724" t="s">
        <v>28</v>
      </c>
      <c r="S32" s="1725">
        <f t="shared" si="12"/>
        <v>100</v>
      </c>
      <c r="T32" s="1724" t="s">
        <v>28</v>
      </c>
      <c r="U32" s="1725">
        <f t="shared" si="13"/>
        <v>100</v>
      </c>
      <c r="V32" s="1724" t="s">
        <v>28</v>
      </c>
      <c r="W32" s="1725">
        <f t="shared" si="14"/>
        <v>100</v>
      </c>
      <c r="X32" s="1664"/>
      <c r="Y32" s="3461"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8"/>
      <c r="M33" s="2058"/>
      <c r="N33" s="2058"/>
      <c r="O33" s="2058"/>
      <c r="P33" s="3459"/>
      <c r="Q33" s="1765" t="str">
        <f t="shared" si="11"/>
        <v>项目建筑规模</v>
      </c>
      <c r="R33" s="1766" t="s">
        <v>28</v>
      </c>
      <c r="S33" s="1767" t="e">
        <f t="shared" si="12"/>
        <v>#N/A</v>
      </c>
      <c r="T33" s="1766" t="s">
        <v>28</v>
      </c>
      <c r="U33" s="1767" t="e">
        <f t="shared" si="13"/>
        <v>#N/A</v>
      </c>
      <c r="V33" s="1766" t="s">
        <v>28</v>
      </c>
      <c r="W33" s="1767" t="e">
        <f t="shared" si="14"/>
        <v>#N/A</v>
      </c>
      <c r="X33" s="1768"/>
      <c r="Y33" s="3461"/>
      <c r="Z33" s="1769" t="str">
        <f t="shared" si="15"/>
        <v>项目建筑规模</v>
      </c>
      <c r="AA33" s="1727" t="e">
        <f t="shared" si="3"/>
        <v>#N/A</v>
      </c>
      <c r="AB33" s="1727" t="e">
        <f t="shared" si="4"/>
        <v>#N/A</v>
      </c>
      <c r="AC33" s="1727"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9"/>
      <c r="M34" s="2995"/>
      <c r="N34" s="2995"/>
      <c r="O34" s="2995"/>
      <c r="P34" s="3459"/>
      <c r="Q34" s="1614" t="str">
        <f t="shared" si="11"/>
        <v>建筑结构</v>
      </c>
      <c r="R34" s="1724" t="s">
        <v>28</v>
      </c>
      <c r="S34" s="1725">
        <f t="shared" si="12"/>
        <v>100</v>
      </c>
      <c r="T34" s="1724" t="s">
        <v>28</v>
      </c>
      <c r="U34" s="1725">
        <f t="shared" si="13"/>
        <v>100</v>
      </c>
      <c r="V34" s="1724" t="s">
        <v>28</v>
      </c>
      <c r="W34" s="1725">
        <f t="shared" si="14"/>
        <v>100</v>
      </c>
      <c r="X34" s="1664"/>
      <c r="Y34" s="3461"/>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9"/>
      <c r="M35" s="2995"/>
      <c r="N35" s="2995"/>
      <c r="O35" s="2995"/>
      <c r="P35" s="3459"/>
      <c r="Q35" s="1614" t="str">
        <f t="shared" si="11"/>
        <v>建筑品质</v>
      </c>
      <c r="R35" s="1724" t="s">
        <v>28</v>
      </c>
      <c r="S35" s="1725">
        <f t="shared" si="12"/>
        <v>100</v>
      </c>
      <c r="T35" s="1724" t="s">
        <v>28</v>
      </c>
      <c r="U35" s="1725">
        <f t="shared" si="13"/>
        <v>100</v>
      </c>
      <c r="V35" s="1724" t="s">
        <v>28</v>
      </c>
      <c r="W35" s="1725">
        <f t="shared" si="14"/>
        <v>100</v>
      </c>
      <c r="X35" s="1664"/>
      <c r="Y35" s="3461"/>
      <c r="Z35" s="1726" t="str">
        <f t="shared" si="15"/>
        <v>建筑品质</v>
      </c>
      <c r="AA35" s="1727">
        <f t="shared" si="3"/>
        <v>1</v>
      </c>
      <c r="AB35" s="1727">
        <f t="shared" si="4"/>
        <v>1</v>
      </c>
      <c r="AC35" s="1727">
        <f t="shared" si="5"/>
        <v>1</v>
      </c>
    </row>
    <row r="36" spans="1:29" ht="15">
      <c r="A36" s="1771"/>
      <c r="B36" s="1694" t="s">
        <v>2280</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9"/>
      <c r="M36" s="2995"/>
      <c r="N36" s="2995"/>
      <c r="O36" s="2995"/>
      <c r="P36" s="3459"/>
      <c r="Q36" s="1614" t="str">
        <f t="shared" si="11"/>
        <v>公共部分装修</v>
      </c>
      <c r="R36" s="1724" t="s">
        <v>28</v>
      </c>
      <c r="S36" s="1725">
        <f t="shared" si="12"/>
        <v>100</v>
      </c>
      <c r="T36" s="1724" t="s">
        <v>28</v>
      </c>
      <c r="U36" s="1725">
        <f t="shared" si="13"/>
        <v>100</v>
      </c>
      <c r="V36" s="1724" t="s">
        <v>28</v>
      </c>
      <c r="W36" s="1725">
        <f t="shared" si="14"/>
        <v>100</v>
      </c>
      <c r="X36" s="1664"/>
      <c r="Y36" s="3461"/>
      <c r="Z36" s="1726" t="str">
        <f t="shared" si="15"/>
        <v>公共部分装修</v>
      </c>
      <c r="AA36" s="1727">
        <f t="shared" si="3"/>
        <v>1</v>
      </c>
      <c r="AB36" s="1727">
        <f t="shared" si="4"/>
        <v>1</v>
      </c>
      <c r="AC36" s="1727">
        <f t="shared" si="5"/>
        <v>1</v>
      </c>
    </row>
    <row r="37" spans="1:29" s="1683" customFormat="1" ht="15">
      <c r="A37" s="1774"/>
      <c r="B37" s="1694" t="s">
        <v>2281</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4"/>
      <c r="M37" s="2967"/>
      <c r="N37" s="2967"/>
      <c r="O37" s="2967"/>
      <c r="P37" s="3459"/>
      <c r="Q37" s="1633" t="str">
        <f t="shared" si="11"/>
        <v>成新度</v>
      </c>
      <c r="R37" s="1679" t="s">
        <v>28</v>
      </c>
      <c r="S37" s="1680" t="e">
        <f t="shared" si="12"/>
        <v>#N/A</v>
      </c>
      <c r="T37" s="1679" t="s">
        <v>28</v>
      </c>
      <c r="U37" s="1680" t="e">
        <f t="shared" si="13"/>
        <v>#N/A</v>
      </c>
      <c r="V37" s="1679" t="s">
        <v>28</v>
      </c>
      <c r="W37" s="1680" t="e">
        <f t="shared" si="14"/>
        <v>#N/A</v>
      </c>
      <c r="X37" s="1681"/>
      <c r="Y37" s="3461"/>
      <c r="Z37" s="1692" t="str">
        <f t="shared" si="15"/>
        <v>成新度</v>
      </c>
      <c r="AA37" s="1682" t="e">
        <f t="shared" si="3"/>
        <v>#N/A</v>
      </c>
      <c r="AB37" s="1682" t="e">
        <f t="shared" si="4"/>
        <v>#N/A</v>
      </c>
      <c r="AC37" s="1682" t="e">
        <f t="shared" si="5"/>
        <v>#N/A</v>
      </c>
    </row>
    <row r="38" spans="1:29" ht="15">
      <c r="A38" s="1771"/>
      <c r="B38" s="1694" t="s">
        <v>2282</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9"/>
      <c r="M38" s="2995"/>
      <c r="N38" s="2995"/>
      <c r="O38" s="2995"/>
      <c r="P38" s="3459" t="s">
        <v>2276</v>
      </c>
      <c r="Q38" s="1614" t="str">
        <f t="shared" si="11"/>
        <v>物业管理</v>
      </c>
      <c r="R38" s="1724" t="s">
        <v>28</v>
      </c>
      <c r="S38" s="1725">
        <f t="shared" si="12"/>
        <v>100</v>
      </c>
      <c r="T38" s="1724" t="s">
        <v>28</v>
      </c>
      <c r="U38" s="1725">
        <f t="shared" si="13"/>
        <v>100</v>
      </c>
      <c r="V38" s="1724" t="s">
        <v>28</v>
      </c>
      <c r="W38" s="1725">
        <f t="shared" si="14"/>
        <v>100</v>
      </c>
      <c r="X38" s="1664"/>
      <c r="Y38" s="3461" t="s">
        <v>2276</v>
      </c>
      <c r="Z38" s="1726" t="str">
        <f t="shared" si="15"/>
        <v>物业管理</v>
      </c>
      <c r="AA38" s="1727">
        <f t="shared" si="3"/>
        <v>1</v>
      </c>
      <c r="AB38" s="1727">
        <f t="shared" si="4"/>
        <v>1</v>
      </c>
      <c r="AC38" s="1727">
        <f t="shared" si="5"/>
        <v>1</v>
      </c>
    </row>
    <row r="39" spans="1:29" ht="15">
      <c r="A39" s="1771"/>
      <c r="B39" s="1694" t="s">
        <v>2283</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9"/>
      <c r="M39" s="2995"/>
      <c r="N39" s="2995"/>
      <c r="O39" s="2995"/>
      <c r="P39" s="3459"/>
      <c r="Q39" s="1614" t="str">
        <f t="shared" si="11"/>
        <v>市政基础设施</v>
      </c>
      <c r="R39" s="1724" t="s">
        <v>28</v>
      </c>
      <c r="S39" s="1725">
        <f t="shared" si="12"/>
        <v>100</v>
      </c>
      <c r="T39" s="1724" t="s">
        <v>28</v>
      </c>
      <c r="U39" s="1725">
        <f t="shared" si="13"/>
        <v>100</v>
      </c>
      <c r="V39" s="1724" t="s">
        <v>28</v>
      </c>
      <c r="W39" s="1725">
        <f t="shared" si="14"/>
        <v>100</v>
      </c>
      <c r="X39" s="1664"/>
      <c r="Y39" s="3461"/>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9"/>
      <c r="M40" s="2995"/>
      <c r="N40" s="2995"/>
      <c r="O40" s="2995"/>
      <c r="P40" s="3459"/>
      <c r="Q40" s="1614" t="str">
        <f t="shared" si="11"/>
        <v>房型</v>
      </c>
      <c r="R40" s="1724" t="s">
        <v>28</v>
      </c>
      <c r="S40" s="1725">
        <f t="shared" si="12"/>
        <v>100</v>
      </c>
      <c r="T40" s="1724" t="s">
        <v>28</v>
      </c>
      <c r="U40" s="1725">
        <f t="shared" si="13"/>
        <v>100</v>
      </c>
      <c r="V40" s="1724" t="s">
        <v>28</v>
      </c>
      <c r="W40" s="1725">
        <f t="shared" si="14"/>
        <v>100</v>
      </c>
      <c r="X40" s="1664"/>
      <c r="Y40" s="3461"/>
      <c r="Z40" s="1726" t="str">
        <f t="shared" si="15"/>
        <v>房型</v>
      </c>
      <c r="AA40" s="1727">
        <f t="shared" si="3"/>
        <v>1</v>
      </c>
      <c r="AB40" s="1727">
        <f t="shared" si="4"/>
        <v>1</v>
      </c>
      <c r="AC40" s="1727">
        <f t="shared" si="5"/>
        <v>1</v>
      </c>
    </row>
    <row r="41" spans="1:29" s="1770" customFormat="1" ht="28.5">
      <c r="A41" s="1763"/>
      <c r="B41" s="1694" t="s">
        <v>2285</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8"/>
      <c r="M41" s="2058"/>
      <c r="N41" s="2058"/>
      <c r="O41" s="2058"/>
      <c r="P41" s="3459"/>
      <c r="Q41" s="1765" t="str">
        <f t="shared" si="11"/>
        <v>单套/主力户型建筑面积</v>
      </c>
      <c r="R41" s="1766" t="s">
        <v>28</v>
      </c>
      <c r="S41" s="1767">
        <f t="shared" si="12"/>
        <v>100</v>
      </c>
      <c r="T41" s="1766" t="s">
        <v>28</v>
      </c>
      <c r="U41" s="1767">
        <f t="shared" si="13"/>
        <v>100</v>
      </c>
      <c r="V41" s="1766" t="s">
        <v>28</v>
      </c>
      <c r="W41" s="1767">
        <f t="shared" si="14"/>
        <v>100</v>
      </c>
      <c r="X41" s="1768"/>
      <c r="Y41" s="3461"/>
      <c r="Z41" s="1769" t="str">
        <f t="shared" si="15"/>
        <v>单套/主力户型建筑面积</v>
      </c>
      <c r="AA41" s="1727">
        <f t="shared" si="3"/>
        <v>1</v>
      </c>
      <c r="AB41" s="1727">
        <f t="shared" si="4"/>
        <v>1</v>
      </c>
      <c r="AC41" s="1727">
        <f t="shared" si="5"/>
        <v>1</v>
      </c>
    </row>
    <row r="42" spans="1:29" ht="15">
      <c r="A42" s="1771"/>
      <c r="B42" s="1694" t="s">
        <v>2286</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9"/>
      <c r="M42" s="2995"/>
      <c r="N42" s="2995"/>
      <c r="O42" s="2995"/>
      <c r="P42" s="3459"/>
      <c r="Q42" s="1614" t="str">
        <f t="shared" si="11"/>
        <v>内部装修</v>
      </c>
      <c r="R42" s="1724" t="s">
        <v>28</v>
      </c>
      <c r="S42" s="1725">
        <f t="shared" si="12"/>
        <v>100</v>
      </c>
      <c r="T42" s="1724" t="s">
        <v>28</v>
      </c>
      <c r="U42" s="1725">
        <f t="shared" si="13"/>
        <v>100</v>
      </c>
      <c r="V42" s="1724" t="s">
        <v>28</v>
      </c>
      <c r="W42" s="1725">
        <f t="shared" si="14"/>
        <v>100</v>
      </c>
      <c r="X42" s="1664"/>
      <c r="Y42" s="3461"/>
      <c r="Z42" s="1726" t="str">
        <f t="shared" si="15"/>
        <v>内部装修</v>
      </c>
      <c r="AA42" s="1727">
        <f t="shared" si="3"/>
        <v>1</v>
      </c>
      <c r="AB42" s="1727">
        <f t="shared" si="4"/>
        <v>1</v>
      </c>
      <c r="AC42" s="1727">
        <f t="shared" si="5"/>
        <v>1</v>
      </c>
    </row>
    <row r="43" spans="1:29" ht="15">
      <c r="A43" s="1771"/>
      <c r="B43" s="1694" t="s">
        <v>2287</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9"/>
      <c r="M43" s="2995"/>
      <c r="N43" s="2995"/>
      <c r="O43" s="2995"/>
      <c r="P43" s="3459"/>
      <c r="Q43" s="1614" t="str">
        <f t="shared" si="11"/>
        <v>内部装修维护情况</v>
      </c>
      <c r="R43" s="1724" t="s">
        <v>28</v>
      </c>
      <c r="S43" s="1725">
        <f t="shared" si="12"/>
        <v>100</v>
      </c>
      <c r="T43" s="1724" t="s">
        <v>28</v>
      </c>
      <c r="U43" s="1725">
        <f t="shared" si="13"/>
        <v>100</v>
      </c>
      <c r="V43" s="1724" t="s">
        <v>28</v>
      </c>
      <c r="W43" s="1725">
        <f t="shared" si="14"/>
        <v>100</v>
      </c>
      <c r="X43" s="1664"/>
      <c r="Y43" s="3461"/>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4"/>
      <c r="M44" s="2967"/>
      <c r="N44" s="2967"/>
      <c r="O44" s="2967"/>
      <c r="P44" s="3459"/>
      <c r="Q44" s="1633">
        <f t="shared" si="11"/>
        <v>111</v>
      </c>
      <c r="R44" s="1679" t="s">
        <v>28</v>
      </c>
      <c r="S44" s="1680">
        <f t="shared" si="12"/>
        <v>100</v>
      </c>
      <c r="T44" s="1679" t="s">
        <v>28</v>
      </c>
      <c r="U44" s="1680">
        <f t="shared" si="13"/>
        <v>100</v>
      </c>
      <c r="V44" s="1679" t="s">
        <v>28</v>
      </c>
      <c r="W44" s="1680">
        <f t="shared" si="14"/>
        <v>100</v>
      </c>
      <c r="X44" s="1681"/>
      <c r="Y44" s="3461"/>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9"/>
      <c r="M45" s="2995"/>
      <c r="N45" s="2995"/>
      <c r="O45" s="2995"/>
      <c r="P45" s="3459"/>
      <c r="Q45" s="1614">
        <f t="shared" si="11"/>
        <v>111</v>
      </c>
      <c r="R45" s="1724" t="s">
        <v>28</v>
      </c>
      <c r="S45" s="1725">
        <f t="shared" si="12"/>
        <v>100</v>
      </c>
      <c r="T45" s="1724" t="s">
        <v>28</v>
      </c>
      <c r="U45" s="1725">
        <f t="shared" si="13"/>
        <v>100</v>
      </c>
      <c r="V45" s="1724" t="s">
        <v>28</v>
      </c>
      <c r="W45" s="1725">
        <f t="shared" si="14"/>
        <v>100</v>
      </c>
      <c r="X45" s="1664"/>
      <c r="Y45" s="3461"/>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9"/>
      <c r="M46" s="2995"/>
      <c r="N46" s="2995"/>
      <c r="O46" s="2995"/>
      <c r="P46" s="3460"/>
      <c r="Q46" s="1614">
        <f t="shared" si="11"/>
        <v>111</v>
      </c>
      <c r="R46" s="1724" t="s">
        <v>27</v>
      </c>
      <c r="S46" s="1725">
        <f t="shared" si="12"/>
        <v>100</v>
      </c>
      <c r="T46" s="1724" t="s">
        <v>27</v>
      </c>
      <c r="U46" s="1725">
        <f t="shared" si="13"/>
        <v>100</v>
      </c>
      <c r="V46" s="1724" t="s">
        <v>27</v>
      </c>
      <c r="W46" s="1725">
        <f t="shared" si="14"/>
        <v>100</v>
      </c>
      <c r="X46" s="1664"/>
      <c r="Y46" s="3462"/>
      <c r="Z46" s="1726">
        <f t="shared" si="15"/>
        <v>111</v>
      </c>
      <c r="AA46" s="1727">
        <f t="shared" si="3"/>
        <v>1</v>
      </c>
      <c r="AB46" s="1727">
        <f t="shared" si="4"/>
        <v>1</v>
      </c>
      <c r="AC46" s="1727">
        <f t="shared" si="5"/>
        <v>1</v>
      </c>
    </row>
    <row r="47" spans="1:29" ht="15">
      <c r="A47" s="1780" t="s">
        <v>2288</v>
      </c>
      <c r="B47" s="1781"/>
      <c r="C47" s="1782" t="s">
        <v>26</v>
      </c>
      <c r="D47" s="1783"/>
      <c r="E47" s="1784"/>
      <c r="F47" s="1785"/>
      <c r="G47" s="1786"/>
      <c r="H47" s="1787"/>
      <c r="I47" s="1784"/>
      <c r="J47" s="1787"/>
      <c r="K47" s="1788"/>
      <c r="L47" s="3000"/>
      <c r="N47" s="2995"/>
      <c r="P47" s="3467" t="str">
        <f>A47</f>
        <v>成交单价（元/平方米）</v>
      </c>
      <c r="Q47" s="3467"/>
      <c r="R47" s="3468">
        <f>E47</f>
        <v>0</v>
      </c>
      <c r="S47" s="3468"/>
      <c r="T47" s="3468">
        <f>G47</f>
        <v>0</v>
      </c>
      <c r="U47" s="3468"/>
      <c r="V47" s="3468">
        <f>I47</f>
        <v>0</v>
      </c>
      <c r="W47" s="3468"/>
      <c r="X47" s="1790"/>
      <c r="Y47" s="1791"/>
      <c r="Z47" s="1790"/>
      <c r="AA47" s="1790"/>
      <c r="AB47" s="1790"/>
      <c r="AC47" s="1790"/>
    </row>
    <row r="48" spans="1:29" ht="15.75" thickBot="1">
      <c r="A48" s="1792" t="s">
        <v>2289</v>
      </c>
      <c r="B48" s="1793"/>
      <c r="C48" s="1794" t="e">
        <f>R49</f>
        <v>#DIV/0!</v>
      </c>
      <c r="D48" s="1795" t="s">
        <v>2743</v>
      </c>
      <c r="E48" s="1796" t="e">
        <f>R48</f>
        <v>#DIV/0!</v>
      </c>
      <c r="F48" s="1797"/>
      <c r="G48" s="1794" t="e">
        <f>T48</f>
        <v>#DIV/0!</v>
      </c>
      <c r="H48" s="1797"/>
      <c r="I48" s="1796" t="e">
        <f>V48</f>
        <v>#DIV/0!</v>
      </c>
      <c r="J48" s="1797"/>
      <c r="K48" s="2510">
        <f>F48+H48+J48</f>
        <v>0</v>
      </c>
      <c r="L48" s="3000"/>
      <c r="P48" s="3467" t="str">
        <f>A48</f>
        <v>比较价值（元/平方米）</v>
      </c>
      <c r="Q48" s="3467"/>
      <c r="R48" s="3468" t="e">
        <f>IF(E1="售价",ROUND(PRODUCT(R47,AA7:AA46),0),ROUND(PRODUCT(R47,AA7:AA46),1))</f>
        <v>#DIV/0!</v>
      </c>
      <c r="S48" s="3468"/>
      <c r="T48" s="3471" t="e">
        <f>IF(E1="售价",ROUND(PRODUCT(T47,AB7:AB46),0),ROUND(PRODUCT(T47,AB7:AB46),1))</f>
        <v>#DIV/0!</v>
      </c>
      <c r="U48" s="3472"/>
      <c r="V48" s="3468" t="e">
        <f>IF(E1="售价",ROUND(PRODUCT(V47,AC7:AC46),0),ROUND(PRODUCT(V47,AC7:AC46),1))</f>
        <v>#DIV/0!</v>
      </c>
      <c r="W48" s="3468"/>
      <c r="X48" s="1790"/>
      <c r="Y48" s="1790"/>
      <c r="Z48" s="1790"/>
      <c r="AA48" s="1790"/>
      <c r="AB48" s="1790"/>
      <c r="AC48" s="1790"/>
    </row>
    <row r="49" spans="1:29" ht="15.75" thickBot="1">
      <c r="A49" s="1798" t="s">
        <v>2290</v>
      </c>
      <c r="B49" s="1799"/>
      <c r="C49" s="1800" t="e">
        <f>R49</f>
        <v>#DIV/0!</v>
      </c>
      <c r="D49" s="1801"/>
      <c r="E49" s="1801"/>
      <c r="F49" s="1801"/>
      <c r="G49" s="1801"/>
      <c r="H49" s="1801"/>
      <c r="I49" s="1801"/>
      <c r="J49" s="1801"/>
      <c r="K49" s="1802"/>
      <c r="L49" s="3000"/>
      <c r="P49" s="3473" t="str">
        <f>A49</f>
        <v>估价对象XX用房的比较价值（楼面单价，元/平方米）</v>
      </c>
      <c r="Q49" s="3474"/>
      <c r="R49" s="3475" t="e">
        <f>IF(E1="售价",ROUND(IF(D48="简单平均",AVERAGE(R48:V48),R48*F48+T48*H48+V48*J48),0),ROUND(IF(D48="简单平均",AVERAGE(R48:V48),R48*F48+T48*H48+V48*J48),1))</f>
        <v>#DIV/0!</v>
      </c>
      <c r="S49" s="3475"/>
      <c r="T49" s="3475"/>
      <c r="U49" s="3475"/>
      <c r="V49" s="3475"/>
      <c r="W49" s="3475"/>
      <c r="X49" s="1790"/>
      <c r="Y49" s="1790"/>
      <c r="Z49" s="1790"/>
      <c r="AA49" s="1790"/>
      <c r="AB49" s="1790"/>
      <c r="AC49" s="1790"/>
    </row>
    <row r="50" spans="1:29">
      <c r="G50" s="3004"/>
    </row>
    <row r="52" spans="1:29" ht="13.5" customHeight="1">
      <c r="C52" s="383" t="s">
        <v>2291</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2292</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2293</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7"/>
      <c r="L54" s="3001"/>
      <c r="P54" s="1811"/>
    </row>
    <row r="55" spans="1:29" s="1812" customFormat="1">
      <c r="B55" s="3005"/>
      <c r="C55" s="3006"/>
      <c r="K55" s="3007"/>
      <c r="L55" s="3001"/>
      <c r="P55" s="1811"/>
    </row>
    <row r="56" spans="1:29">
      <c r="B56" s="3005"/>
      <c r="C56" s="3006"/>
    </row>
    <row r="57" spans="1:29" ht="21.75" thickBot="1">
      <c r="A57" s="1815" t="s">
        <v>2294</v>
      </c>
      <c r="B57" s="1790"/>
      <c r="C57" s="1816"/>
      <c r="D57" s="1816"/>
      <c r="E57" s="1816"/>
      <c r="F57" s="1816"/>
      <c r="G57" s="1816"/>
      <c r="H57" s="1816"/>
      <c r="I57" s="1816"/>
      <c r="J57" s="1816"/>
      <c r="K57" s="1817"/>
      <c r="L57" s="3002"/>
      <c r="M57" s="3003"/>
      <c r="N57" s="3003"/>
      <c r="O57" s="3003"/>
      <c r="P57" s="1819"/>
      <c r="Q57" s="1820"/>
    </row>
    <row r="58" spans="1:29" s="1826" customFormat="1" ht="15">
      <c r="A58" s="1821" t="s">
        <v>2295</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1707</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2321</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2322</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2326</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2329</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2330</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2331</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18" t="s">
        <v>2349</v>
      </c>
      <c r="E144" s="1932">
        <v>102</v>
      </c>
      <c r="F144" s="1940">
        <v>100</v>
      </c>
      <c r="G144" s="1418"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2" t="s">
        <v>2351</v>
      </c>
      <c r="G145" s="1944"/>
      <c r="H145" s="1945"/>
      <c r="I145" s="1946" t="s">
        <v>2348</v>
      </c>
      <c r="J145" s="1947">
        <v>8</v>
      </c>
      <c r="K145" s="1948">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85" zoomScaleNormal="70" zoomScaleSheetLayoutView="85" workbookViewId="0">
      <selection activeCell="C26" sqref="C26"/>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t="s">
        <v>2746</v>
      </c>
      <c r="D1" s="2468"/>
      <c r="E1" s="1639" t="s">
        <v>2744</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1914</v>
      </c>
      <c r="B2" s="1648">
        <f>IF(D2="——",IF(C2="元",ROUND(C49*D3,0),ROUND(C49*D3/10000,0)),IF(C2="元",ROUND(C49*D3,0),ROUND(C49*D3/10000,0))-E2)</f>
        <v>4470</v>
      </c>
      <c r="C2" s="1649" t="str">
        <f>'数据-取费表'!B3</f>
        <v>万元</v>
      </c>
      <c r="D2" s="1650" t="s">
        <v>1241</v>
      </c>
      <c r="E2" s="2469" t="e">
        <f ca="1">SUMIF(INDIRECT("'"&amp;G2&amp;"'"&amp;"!A:A"),"承租人权益价值",INDIRECT("'"&amp;G2&amp;"'"&amp;"!c:c"))</f>
        <v>#REF!</v>
      </c>
      <c r="F2" s="1652" t="str">
        <f>C2</f>
        <v>万元</v>
      </c>
      <c r="G2" s="1653"/>
      <c r="H2" s="3009"/>
      <c r="I2" s="3009"/>
      <c r="J2" s="3009"/>
      <c r="K2" s="3009"/>
      <c r="L2" s="3011"/>
      <c r="M2" s="3009"/>
      <c r="N2" s="3009"/>
      <c r="O2" s="3009"/>
      <c r="P2" s="2470"/>
      <c r="Q2" s="1955"/>
      <c r="R2" s="1955"/>
      <c r="S2" s="1955"/>
      <c r="T2" s="1955"/>
      <c r="U2" s="1955"/>
      <c r="V2" s="1955"/>
      <c r="W2" s="1955"/>
      <c r="X2" s="1955"/>
      <c r="Y2" s="1955"/>
      <c r="Z2" s="1955"/>
      <c r="AA2" s="1955"/>
      <c r="AB2" s="1955"/>
      <c r="AC2" s="1956"/>
    </row>
    <row r="3" spans="1:29" s="1958" customFormat="1" ht="28.5" customHeight="1" thickBot="1">
      <c r="A3" s="1657" t="s">
        <v>1915</v>
      </c>
      <c r="B3" s="1961">
        <f>ROUND(IF(D2="——",C49,IF(C2="万元",B2*10000/D3,B2/D3)),0)</f>
        <v>26062</v>
      </c>
      <c r="C3" s="1658" t="s">
        <v>2244</v>
      </c>
      <c r="D3" s="1658">
        <f>IF(C1="仅计算典型户型",'数据-取费表'!E5,'数据-取费表'!B5)</f>
        <v>1715.28</v>
      </c>
      <c r="F3" s="3008"/>
      <c r="G3" s="3009"/>
      <c r="H3" s="3009"/>
      <c r="I3" s="3009"/>
      <c r="J3" s="3009"/>
      <c r="K3" s="3010"/>
      <c r="L3" s="3011"/>
      <c r="M3" s="3009"/>
      <c r="N3" s="3009"/>
      <c r="O3" s="3009"/>
      <c r="P3" s="2470"/>
      <c r="Q3" s="1955"/>
      <c r="R3" s="1955"/>
      <c r="S3" s="1955"/>
      <c r="T3" s="1955"/>
      <c r="U3" s="1955"/>
      <c r="V3" s="1955"/>
      <c r="W3" s="1955"/>
      <c r="X3" s="1955"/>
      <c r="Y3" s="1955"/>
      <c r="Z3" s="1955"/>
      <c r="AA3" s="1955"/>
      <c r="AB3" s="1955"/>
      <c r="AC3" s="1963"/>
    </row>
    <row r="4" spans="1:29" ht="15">
      <c r="A4" s="1661" t="s">
        <v>2245</v>
      </c>
      <c r="B4" s="1662"/>
      <c r="C4" s="3431" t="s">
        <v>2246</v>
      </c>
      <c r="D4" s="3432"/>
      <c r="E4" s="3433" t="s">
        <v>2247</v>
      </c>
      <c r="F4" s="3434"/>
      <c r="G4" s="3431" t="s">
        <v>2248</v>
      </c>
      <c r="H4" s="3432"/>
      <c r="I4" s="3431" t="s">
        <v>2249</v>
      </c>
      <c r="J4" s="3432"/>
      <c r="K4" s="1964" t="s">
        <v>2250</v>
      </c>
      <c r="L4" s="2994"/>
      <c r="M4" s="2995"/>
      <c r="N4" s="2995"/>
      <c r="O4" s="2995"/>
      <c r="P4" s="3435" t="s">
        <v>2251</v>
      </c>
      <c r="Q4" s="3436"/>
      <c r="R4" s="3441" t="s">
        <v>2247</v>
      </c>
      <c r="S4" s="3442"/>
      <c r="T4" s="3441" t="s">
        <v>2248</v>
      </c>
      <c r="U4" s="3442"/>
      <c r="V4" s="3447" t="s">
        <v>2249</v>
      </c>
      <c r="W4" s="3447"/>
      <c r="X4" s="2073"/>
      <c r="Y4" s="3441" t="s">
        <v>2251</v>
      </c>
      <c r="Z4" s="3442"/>
      <c r="AA4" s="3428" t="s">
        <v>2247</v>
      </c>
      <c r="AB4" s="3447" t="s">
        <v>2248</v>
      </c>
      <c r="AC4" s="3428" t="s">
        <v>2249</v>
      </c>
    </row>
    <row r="5" spans="1:29" ht="15">
      <c r="A5" s="1666"/>
      <c r="B5" s="1667"/>
      <c r="C5" s="3450" t="s">
        <v>2252</v>
      </c>
      <c r="D5" s="3451"/>
      <c r="E5" s="3477" t="s">
        <v>2929</v>
      </c>
      <c r="F5" s="3449"/>
      <c r="G5" s="3476" t="s">
        <v>2934</v>
      </c>
      <c r="H5" s="3451"/>
      <c r="I5" s="3476" t="s">
        <v>2936</v>
      </c>
      <c r="J5" s="3451"/>
      <c r="K5" s="1964"/>
      <c r="L5" s="2994"/>
      <c r="M5" s="2995"/>
      <c r="N5" s="2995"/>
      <c r="O5" s="2995"/>
      <c r="P5" s="3437"/>
      <c r="Q5" s="3438"/>
      <c r="R5" s="3443"/>
      <c r="S5" s="3444"/>
      <c r="T5" s="3443"/>
      <c r="U5" s="3444"/>
      <c r="V5" s="3447"/>
      <c r="W5" s="3447"/>
      <c r="X5" s="2073"/>
      <c r="Y5" s="3443"/>
      <c r="Z5" s="3444"/>
      <c r="AA5" s="3429"/>
      <c r="AB5" s="3447"/>
      <c r="AC5" s="3429"/>
    </row>
    <row r="6" spans="1:29" ht="15.75" thickBot="1">
      <c r="A6" s="1669"/>
      <c r="B6" s="1670"/>
      <c r="C6" s="3452" t="s">
        <v>2256</v>
      </c>
      <c r="D6" s="3453"/>
      <c r="E6" s="3454" t="s">
        <v>2256</v>
      </c>
      <c r="F6" s="3455"/>
      <c r="G6" s="3452" t="s">
        <v>2256</v>
      </c>
      <c r="H6" s="3453"/>
      <c r="I6" s="3452" t="s">
        <v>2256</v>
      </c>
      <c r="J6" s="3453"/>
      <c r="K6" s="1964" t="s">
        <v>2257</v>
      </c>
      <c r="L6" s="2994"/>
      <c r="M6" s="2995"/>
      <c r="N6" s="2995"/>
      <c r="O6" s="2995"/>
      <c r="P6" s="3439"/>
      <c r="Q6" s="3440"/>
      <c r="R6" s="3443"/>
      <c r="S6" s="3444"/>
      <c r="T6" s="3445"/>
      <c r="U6" s="3446"/>
      <c r="V6" s="3447"/>
      <c r="W6" s="3447"/>
      <c r="X6" s="2073"/>
      <c r="Y6" s="3445"/>
      <c r="Z6" s="3446"/>
      <c r="AA6" s="3430"/>
      <c r="AB6" s="3447"/>
      <c r="AC6" s="3430"/>
    </row>
    <row r="7" spans="1:29" s="1683" customFormat="1" ht="15.75" thickBot="1">
      <c r="A7" s="1671" t="s">
        <v>2258</v>
      </c>
      <c r="B7" s="1672"/>
      <c r="C7" s="1673">
        <f>'数据-取费表'!B2</f>
        <v>44270</v>
      </c>
      <c r="D7" s="1674">
        <v>100</v>
      </c>
      <c r="E7" s="1675">
        <f>C7</f>
        <v>44270</v>
      </c>
      <c r="F7" s="1676">
        <f>SUMIF(58:58,YEAR(E7)&amp;"-"&amp;MONTH(E7),59:59)</f>
        <v>100</v>
      </c>
      <c r="G7" s="1675">
        <f>E7</f>
        <v>44270</v>
      </c>
      <c r="H7" s="1674">
        <f>SUMIF(58:58,YEAR(G7)&amp;"-"&amp;MONTH(G7),59:59)</f>
        <v>100</v>
      </c>
      <c r="I7" s="1675">
        <f>G7</f>
        <v>44270</v>
      </c>
      <c r="J7" s="1674">
        <f>SUMIF(58:58,YEAR(I7)&amp;"-"&amp;MONTH(I7),59:59)</f>
        <v>100</v>
      </c>
      <c r="K7" s="1966"/>
      <c r="L7" s="2994"/>
      <c r="M7" s="2967"/>
      <c r="N7" s="2967"/>
      <c r="O7" s="2967"/>
      <c r="P7" s="3463" t="s">
        <v>2259</v>
      </c>
      <c r="Q7" s="3465"/>
      <c r="R7" s="1679" t="s">
        <v>25</v>
      </c>
      <c r="S7" s="1680">
        <f t="shared" ref="S7:S15" si="0">F7</f>
        <v>100</v>
      </c>
      <c r="T7" s="1679" t="s">
        <v>25</v>
      </c>
      <c r="U7" s="1680">
        <f t="shared" ref="U7:U15" si="1">H7</f>
        <v>100</v>
      </c>
      <c r="V7" s="1679" t="s">
        <v>25</v>
      </c>
      <c r="W7" s="1680">
        <f t="shared" ref="W7:W15" si="2">J7</f>
        <v>100</v>
      </c>
      <c r="X7" s="1681"/>
      <c r="Y7" s="3463" t="s">
        <v>2259</v>
      </c>
      <c r="Z7" s="3464"/>
      <c r="AA7" s="1682">
        <f>D7/F7</f>
        <v>1</v>
      </c>
      <c r="AB7" s="1682">
        <f>D7/H7</f>
        <v>1</v>
      </c>
      <c r="AC7" s="1682">
        <f>D7/J7</f>
        <v>1</v>
      </c>
    </row>
    <row r="8" spans="1:29" s="1683" customFormat="1" ht="15.75" thickBot="1">
      <c r="A8" s="1671" t="s">
        <v>2260</v>
      </c>
      <c r="B8" s="1672"/>
      <c r="C8" s="1684" t="s">
        <v>2261</v>
      </c>
      <c r="D8" s="1674">
        <v>100</v>
      </c>
      <c r="E8" s="1684" t="s">
        <v>2882</v>
      </c>
      <c r="F8" s="1676">
        <f>SUMIF(61:61,E8,62:62)-SUMIF(61:61,C8,62:62)+100</f>
        <v>100</v>
      </c>
      <c r="G8" s="1684" t="s">
        <v>2882</v>
      </c>
      <c r="H8" s="1674">
        <f>SUMIF(61:61,G8,62:62)-SUMIF(61:61,C8,62:62)+100</f>
        <v>100</v>
      </c>
      <c r="I8" s="1684" t="s">
        <v>2882</v>
      </c>
      <c r="J8" s="1674">
        <f>SUMIF(61:61,I8,62:62)-SUMIF(61:61,C8,62:62)+100</f>
        <v>100</v>
      </c>
      <c r="K8" s="1966"/>
      <c r="L8" s="2994"/>
      <c r="M8" s="2967"/>
      <c r="N8" s="2967"/>
      <c r="O8" s="2967"/>
      <c r="P8" s="3463" t="s">
        <v>2262</v>
      </c>
      <c r="Q8" s="3464"/>
      <c r="R8" s="1679" t="s">
        <v>25</v>
      </c>
      <c r="S8" s="1680">
        <f t="shared" si="0"/>
        <v>100</v>
      </c>
      <c r="T8" s="1679" t="s">
        <v>25</v>
      </c>
      <c r="U8" s="1680">
        <f t="shared" si="1"/>
        <v>100</v>
      </c>
      <c r="V8" s="1679" t="s">
        <v>25</v>
      </c>
      <c r="W8" s="1680">
        <f t="shared" si="2"/>
        <v>100</v>
      </c>
      <c r="X8" s="1681"/>
      <c r="Y8" s="3463" t="s">
        <v>2262</v>
      </c>
      <c r="Z8" s="3464"/>
      <c r="AA8" s="1682">
        <f t="shared" ref="AA8:AA46" si="3">D8/F8</f>
        <v>1</v>
      </c>
      <c r="AB8" s="1682">
        <f t="shared" ref="AB8:AB46" si="4">D8/H8</f>
        <v>1</v>
      </c>
      <c r="AC8" s="1682">
        <f t="shared" ref="AC8:AC46" si="5">D8/J8</f>
        <v>1</v>
      </c>
    </row>
    <row r="9" spans="1:29" s="1683" customFormat="1">
      <c r="A9" s="2065" t="s">
        <v>2263</v>
      </c>
      <c r="B9" s="1686" t="s">
        <v>2264</v>
      </c>
      <c r="C9" s="3172" t="s">
        <v>2963</v>
      </c>
      <c r="D9" s="1688">
        <v>100</v>
      </c>
      <c r="E9" s="1689" t="s">
        <v>2913</v>
      </c>
      <c r="F9" s="1690">
        <f>SUMIF(63:63,E9,64:64)-SUMIF(63:63,C9,64:64)+100</f>
        <v>100</v>
      </c>
      <c r="G9" s="1689" t="s">
        <v>2913</v>
      </c>
      <c r="H9" s="1688">
        <f>SUMIF(63:63,G9,64:64)-SUMIF(63:63,C9,64:64)+100</f>
        <v>100</v>
      </c>
      <c r="I9" s="1689" t="s">
        <v>2913</v>
      </c>
      <c r="J9" s="1688">
        <f>SUMIF(63:63,I9,64:64)-SUMIF(63:63,C9,64:64)+100</f>
        <v>100</v>
      </c>
      <c r="K9" s="1966"/>
      <c r="L9" s="2994"/>
      <c r="M9" s="2967"/>
      <c r="N9" s="2967"/>
      <c r="O9" s="2967"/>
      <c r="P9" s="3466" t="s">
        <v>2265</v>
      </c>
      <c r="Q9" s="2064" t="str">
        <f t="shared" ref="Q9:Q15" si="6">B9</f>
        <v>用途</v>
      </c>
      <c r="R9" s="1679" t="s">
        <v>25</v>
      </c>
      <c r="S9" s="1680">
        <f t="shared" si="0"/>
        <v>100</v>
      </c>
      <c r="T9" s="1679" t="s">
        <v>25</v>
      </c>
      <c r="U9" s="1680">
        <f t="shared" si="1"/>
        <v>100</v>
      </c>
      <c r="V9" s="1679" t="s">
        <v>25</v>
      </c>
      <c r="W9" s="1680">
        <f t="shared" si="2"/>
        <v>100</v>
      </c>
      <c r="X9" s="1681"/>
      <c r="Y9" s="3338" t="s">
        <v>2266</v>
      </c>
      <c r="Z9" s="1692" t="str">
        <f t="shared" ref="Z9:Z15" si="7">Q9</f>
        <v>用途</v>
      </c>
      <c r="AA9" s="1682">
        <f t="shared" si="3"/>
        <v>1</v>
      </c>
      <c r="AB9" s="1682">
        <f t="shared" si="4"/>
        <v>1</v>
      </c>
      <c r="AC9" s="1682">
        <f t="shared" si="5"/>
        <v>1</v>
      </c>
    </row>
    <row r="10" spans="1:29" s="1700" customFormat="1" ht="27.75" thickBot="1">
      <c r="A10" s="1693"/>
      <c r="B10" s="1694" t="s">
        <v>2267</v>
      </c>
      <c r="C10" s="3173" t="s">
        <v>2966</v>
      </c>
      <c r="D10" s="1696">
        <v>100</v>
      </c>
      <c r="E10" s="1695" t="s">
        <v>2964</v>
      </c>
      <c r="F10" s="1698">
        <f>SUMIF(65:65,E10,66:66)-SUMIF(65:65,C10,66:66)+100</f>
        <v>102</v>
      </c>
      <c r="G10" s="1695" t="s">
        <v>2971</v>
      </c>
      <c r="H10" s="1696">
        <f>SUMIF(65:65,G10,66:66)-SUMIF(65:65,C10,66:66)+100</f>
        <v>104</v>
      </c>
      <c r="I10" s="1695" t="s">
        <v>2964</v>
      </c>
      <c r="J10" s="1696">
        <f>SUMIF(65:65,I10,66:66)-SUMIF(65:65,C10,66:66)+100</f>
        <v>102</v>
      </c>
      <c r="K10" s="1991">
        <v>2</v>
      </c>
      <c r="L10" s="2996"/>
      <c r="M10" s="2997"/>
      <c r="N10" s="2997"/>
      <c r="O10" s="2997"/>
      <c r="P10" s="3466"/>
      <c r="Q10" s="2064" t="str">
        <f t="shared" si="6"/>
        <v>土地使用年限（年）</v>
      </c>
      <c r="R10" s="1679" t="s">
        <v>25</v>
      </c>
      <c r="S10" s="1680">
        <f t="shared" si="0"/>
        <v>102</v>
      </c>
      <c r="T10" s="1679" t="s">
        <v>25</v>
      </c>
      <c r="U10" s="1680">
        <f t="shared" si="1"/>
        <v>104</v>
      </c>
      <c r="V10" s="1679" t="s">
        <v>25</v>
      </c>
      <c r="W10" s="1680">
        <f t="shared" si="2"/>
        <v>102</v>
      </c>
      <c r="X10" s="1681"/>
      <c r="Y10" s="3338"/>
      <c r="Z10" s="1692" t="str">
        <f t="shared" si="7"/>
        <v>土地使用年限（年）</v>
      </c>
      <c r="AA10" s="1682">
        <f t="shared" si="3"/>
        <v>0.98039215686274506</v>
      </c>
      <c r="AB10" s="1682">
        <f t="shared" si="4"/>
        <v>0.96153846153846156</v>
      </c>
      <c r="AC10" s="1682">
        <f t="shared" si="5"/>
        <v>0.98039215686274506</v>
      </c>
    </row>
    <row r="11" spans="1:29" ht="15" hidden="1">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991"/>
      <c r="L11" s="2998"/>
      <c r="M11" s="2995"/>
      <c r="N11" s="2995"/>
      <c r="O11" s="2995"/>
      <c r="P11" s="3466"/>
      <c r="Q11" s="2064" t="str">
        <f t="shared" si="6"/>
        <v>容积率</v>
      </c>
      <c r="R11" s="1679" t="s">
        <v>25</v>
      </c>
      <c r="S11" s="1680">
        <f t="shared" si="0"/>
        <v>100</v>
      </c>
      <c r="T11" s="1679" t="s">
        <v>25</v>
      </c>
      <c r="U11" s="1680">
        <f t="shared" si="1"/>
        <v>100</v>
      </c>
      <c r="V11" s="1679" t="s">
        <v>25</v>
      </c>
      <c r="W11" s="1680">
        <f t="shared" si="2"/>
        <v>100</v>
      </c>
      <c r="X11" s="1681"/>
      <c r="Y11" s="3338"/>
      <c r="Z11" s="1692" t="str">
        <f t="shared" si="7"/>
        <v>容积率</v>
      </c>
      <c r="AA11" s="1682">
        <f t="shared" si="3"/>
        <v>1</v>
      </c>
      <c r="AB11" s="1682">
        <f t="shared" si="4"/>
        <v>1</v>
      </c>
      <c r="AC11" s="1682">
        <f t="shared" si="5"/>
        <v>1</v>
      </c>
    </row>
    <row r="12" spans="1:29" s="1683" customFormat="1" ht="15" hidden="1">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4"/>
      <c r="M12" s="2967"/>
      <c r="N12" s="2967"/>
      <c r="O12" s="2967"/>
      <c r="P12" s="3466"/>
      <c r="Q12" s="2064">
        <f t="shared" si="6"/>
        <v>111</v>
      </c>
      <c r="R12" s="1679" t="s">
        <v>25</v>
      </c>
      <c r="S12" s="1680">
        <f t="shared" si="0"/>
        <v>100</v>
      </c>
      <c r="T12" s="1679" t="s">
        <v>25</v>
      </c>
      <c r="U12" s="1680">
        <f t="shared" si="1"/>
        <v>100</v>
      </c>
      <c r="V12" s="1679" t="s">
        <v>25</v>
      </c>
      <c r="W12" s="1680">
        <f t="shared" si="2"/>
        <v>100</v>
      </c>
      <c r="X12" s="1681"/>
      <c r="Y12" s="3338"/>
      <c r="Z12" s="1692">
        <f t="shared" si="7"/>
        <v>111</v>
      </c>
      <c r="AA12" s="1682">
        <f>D12/F12</f>
        <v>1</v>
      </c>
      <c r="AB12" s="1682">
        <f>D12/H12</f>
        <v>1</v>
      </c>
      <c r="AC12" s="1682">
        <f>D12/J12</f>
        <v>1</v>
      </c>
    </row>
    <row r="13" spans="1:29" ht="15" hidden="1">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9"/>
      <c r="M13" s="2995"/>
      <c r="N13" s="2995"/>
      <c r="O13" s="2995"/>
      <c r="P13" s="3466"/>
      <c r="Q13" s="2064">
        <f t="shared" si="6"/>
        <v>111</v>
      </c>
      <c r="R13" s="1679" t="s">
        <v>25</v>
      </c>
      <c r="S13" s="1680">
        <f t="shared" si="0"/>
        <v>100</v>
      </c>
      <c r="T13" s="1679" t="s">
        <v>25</v>
      </c>
      <c r="U13" s="1680">
        <f t="shared" si="1"/>
        <v>100</v>
      </c>
      <c r="V13" s="1679" t="s">
        <v>25</v>
      </c>
      <c r="W13" s="1680">
        <f t="shared" si="2"/>
        <v>100</v>
      </c>
      <c r="X13" s="1681"/>
      <c r="Y13" s="3338"/>
      <c r="Z13" s="1692">
        <f t="shared" si="7"/>
        <v>111</v>
      </c>
      <c r="AA13" s="1682">
        <f t="shared" si="3"/>
        <v>1</v>
      </c>
      <c r="AB13" s="1682">
        <f t="shared" si="4"/>
        <v>1</v>
      </c>
      <c r="AC13" s="1682">
        <f t="shared" si="5"/>
        <v>1</v>
      </c>
    </row>
    <row r="14" spans="1:29" ht="15.75" hidden="1"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9"/>
      <c r="M14" s="2995"/>
      <c r="N14" s="2995"/>
      <c r="O14" s="2995"/>
      <c r="P14" s="3466"/>
      <c r="Q14" s="2064">
        <f t="shared" si="6"/>
        <v>111</v>
      </c>
      <c r="R14" s="1679" t="s">
        <v>25</v>
      </c>
      <c r="S14" s="1680">
        <f t="shared" si="0"/>
        <v>100</v>
      </c>
      <c r="T14" s="1679" t="s">
        <v>25</v>
      </c>
      <c r="U14" s="1680">
        <f t="shared" si="1"/>
        <v>100</v>
      </c>
      <c r="V14" s="1679" t="s">
        <v>25</v>
      </c>
      <c r="W14" s="1680">
        <f t="shared" si="2"/>
        <v>100</v>
      </c>
      <c r="X14" s="1681"/>
      <c r="Y14" s="3338"/>
      <c r="Z14" s="1692">
        <f t="shared" si="7"/>
        <v>111</v>
      </c>
      <c r="AA14" s="1682">
        <f t="shared" si="3"/>
        <v>1</v>
      </c>
      <c r="AB14" s="1682">
        <f t="shared" si="4"/>
        <v>1</v>
      </c>
      <c r="AC14" s="1682">
        <f t="shared" si="5"/>
        <v>1</v>
      </c>
    </row>
    <row r="15" spans="1:29" ht="71.25">
      <c r="A15" s="1716" t="s">
        <v>2269</v>
      </c>
      <c r="B15" s="1717" t="s">
        <v>2355</v>
      </c>
      <c r="C15" s="1718" t="str">
        <f>估价对象房地状况!C4</f>
        <v>估价对象位于XX商圈，周边商业氛围成熟，人流量大，商业繁华度好</v>
      </c>
      <c r="D15" s="1719">
        <v>100</v>
      </c>
      <c r="E15" s="1720"/>
      <c r="F15" s="1721">
        <f>SUMIF(76:76,E16,77:77)-SUMIF(76:76,C16,77:77)+100</f>
        <v>102</v>
      </c>
      <c r="G15" s="1722"/>
      <c r="H15" s="1719">
        <f>SUMIF(76:76,G16,77:77)-SUMIF(76:76,C16,77:77)+100</f>
        <v>102</v>
      </c>
      <c r="I15" s="1720"/>
      <c r="J15" s="1719">
        <f>SUMIF(76:76,I16,77:77)-SUMIF(76:76,C16,77:77)+100</f>
        <v>102</v>
      </c>
      <c r="K15" s="2471">
        <v>2</v>
      </c>
      <c r="L15" s="2999"/>
      <c r="M15" s="2995"/>
      <c r="N15" s="2995"/>
      <c r="O15" s="2995"/>
      <c r="P15" s="3469" t="s">
        <v>2270</v>
      </c>
      <c r="Q15" s="2070" t="str">
        <f t="shared" si="6"/>
        <v>商业繁华度</v>
      </c>
      <c r="R15" s="1724" t="s">
        <v>25</v>
      </c>
      <c r="S15" s="1725">
        <f t="shared" si="0"/>
        <v>102</v>
      </c>
      <c r="T15" s="1724" t="s">
        <v>25</v>
      </c>
      <c r="U15" s="1725">
        <f t="shared" si="1"/>
        <v>102</v>
      </c>
      <c r="V15" s="1724" t="s">
        <v>25</v>
      </c>
      <c r="W15" s="1725">
        <f t="shared" si="2"/>
        <v>102</v>
      </c>
      <c r="X15" s="2073"/>
      <c r="Y15" s="3456" t="s">
        <v>2270</v>
      </c>
      <c r="Z15" s="2077" t="str">
        <f t="shared" si="7"/>
        <v>商业繁华度</v>
      </c>
      <c r="AA15" s="2068">
        <f t="shared" si="3"/>
        <v>0.98039215686274506</v>
      </c>
      <c r="AB15" s="2068">
        <f t="shared" si="4"/>
        <v>0.98039215686274506</v>
      </c>
      <c r="AC15" s="2068">
        <f t="shared" si="5"/>
        <v>0.98039215686274506</v>
      </c>
    </row>
    <row r="16" spans="1:29" ht="15">
      <c r="A16" s="1701"/>
      <c r="B16" s="1728"/>
      <c r="C16" s="1729" t="s">
        <v>31</v>
      </c>
      <c r="D16" s="1730"/>
      <c r="E16" s="1729" t="s">
        <v>30</v>
      </c>
      <c r="F16" s="1732"/>
      <c r="G16" s="1729" t="s">
        <v>30</v>
      </c>
      <c r="H16" s="1734"/>
      <c r="I16" s="1729" t="s">
        <v>30</v>
      </c>
      <c r="J16" s="1730"/>
      <c r="K16" s="2472"/>
      <c r="L16" s="2999"/>
      <c r="M16" s="2995"/>
      <c r="N16" s="2995"/>
      <c r="O16" s="2995"/>
      <c r="P16" s="3470"/>
      <c r="Q16" s="2070"/>
      <c r="R16" s="1724"/>
      <c r="S16" s="1725"/>
      <c r="T16" s="1724"/>
      <c r="U16" s="1725"/>
      <c r="V16" s="1724"/>
      <c r="W16" s="1725"/>
      <c r="X16" s="2073"/>
      <c r="Y16" s="3457"/>
      <c r="Z16" s="2077"/>
      <c r="AA16" s="2068">
        <v>1</v>
      </c>
      <c r="AB16" s="2068">
        <v>1</v>
      </c>
      <c r="AC16" s="2068">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v>2</v>
      </c>
      <c r="L17" s="2999"/>
      <c r="M17" s="2995"/>
      <c r="N17" s="2995"/>
      <c r="O17" s="2995"/>
      <c r="P17" s="3470"/>
      <c r="Q17" s="2070" t="str">
        <f>B17</f>
        <v>交通便捷度</v>
      </c>
      <c r="R17" s="1724" t="s">
        <v>25</v>
      </c>
      <c r="S17" s="1725">
        <f>F17</f>
        <v>100</v>
      </c>
      <c r="T17" s="1724" t="s">
        <v>25</v>
      </c>
      <c r="U17" s="1725">
        <f>H17</f>
        <v>100</v>
      </c>
      <c r="V17" s="1724" t="s">
        <v>25</v>
      </c>
      <c r="W17" s="1725">
        <f>J17</f>
        <v>100</v>
      </c>
      <c r="X17" s="2073"/>
      <c r="Y17" s="3457"/>
      <c r="Z17" s="2077" t="str">
        <f>Q17</f>
        <v>交通便捷度</v>
      </c>
      <c r="AA17" s="2068">
        <f t="shared" si="3"/>
        <v>1</v>
      </c>
      <c r="AB17" s="2068">
        <f t="shared" si="4"/>
        <v>1</v>
      </c>
      <c r="AC17" s="2068">
        <f t="shared" si="5"/>
        <v>1</v>
      </c>
    </row>
    <row r="18" spans="1:29" ht="15">
      <c r="A18" s="1701"/>
      <c r="B18" s="1742"/>
      <c r="C18" s="1729" t="s">
        <v>30</v>
      </c>
      <c r="D18" s="1734"/>
      <c r="E18" s="1729" t="s">
        <v>30</v>
      </c>
      <c r="F18" s="1739"/>
      <c r="G18" s="1729" t="s">
        <v>30</v>
      </c>
      <c r="H18" s="1730"/>
      <c r="I18" s="1729" t="s">
        <v>30</v>
      </c>
      <c r="J18" s="1730"/>
      <c r="K18" s="2472"/>
      <c r="L18" s="2999"/>
      <c r="M18" s="2995"/>
      <c r="N18" s="2995"/>
      <c r="O18" s="2995"/>
      <c r="P18" s="3470"/>
      <c r="Q18" s="2070"/>
      <c r="R18" s="1724"/>
      <c r="S18" s="1725"/>
      <c r="T18" s="1724"/>
      <c r="U18" s="1725"/>
      <c r="V18" s="1724"/>
      <c r="W18" s="1725"/>
      <c r="X18" s="2073"/>
      <c r="Y18" s="3457"/>
      <c r="Z18" s="2077"/>
      <c r="AA18" s="2068">
        <v>1</v>
      </c>
      <c r="AB18" s="2068">
        <v>1</v>
      </c>
      <c r="AC18" s="2068">
        <v>1</v>
      </c>
    </row>
    <row r="19" spans="1:29" ht="42.75">
      <c r="A19" s="1701"/>
      <c r="B19" s="1736" t="s">
        <v>2356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v>2</v>
      </c>
      <c r="L19" s="2999"/>
      <c r="M19" s="2995"/>
      <c r="N19" s="2995"/>
      <c r="O19" s="2995"/>
      <c r="P19" s="3470"/>
      <c r="Q19" s="2070" t="str">
        <f>B19</f>
        <v>公共配套设施</v>
      </c>
      <c r="R19" s="1724" t="s">
        <v>25</v>
      </c>
      <c r="S19" s="1725">
        <f>F19</f>
        <v>100</v>
      </c>
      <c r="T19" s="1724" t="s">
        <v>25</v>
      </c>
      <c r="U19" s="1725">
        <f>H19</f>
        <v>100</v>
      </c>
      <c r="V19" s="1724" t="s">
        <v>25</v>
      </c>
      <c r="W19" s="1725">
        <f>J19</f>
        <v>100</v>
      </c>
      <c r="X19" s="2073"/>
      <c r="Y19" s="3457"/>
      <c r="Z19" s="2077" t="str">
        <f>Q19</f>
        <v>公共配套设施</v>
      </c>
      <c r="AA19" s="2068">
        <f t="shared" si="3"/>
        <v>1</v>
      </c>
      <c r="AB19" s="2068">
        <f t="shared" si="4"/>
        <v>1</v>
      </c>
      <c r="AC19" s="2068">
        <f t="shared" si="5"/>
        <v>1</v>
      </c>
    </row>
    <row r="20" spans="1:29" ht="15">
      <c r="A20" s="1701"/>
      <c r="B20" s="1742"/>
      <c r="C20" s="1729" t="s">
        <v>30</v>
      </c>
      <c r="D20" s="1730"/>
      <c r="E20" s="1729" t="s">
        <v>30</v>
      </c>
      <c r="F20" s="1732"/>
      <c r="G20" s="1729" t="s">
        <v>30</v>
      </c>
      <c r="H20" s="1730"/>
      <c r="I20" s="1729" t="s">
        <v>30</v>
      </c>
      <c r="J20" s="1730"/>
      <c r="K20" s="2472"/>
      <c r="L20" s="2999"/>
      <c r="M20" s="2995"/>
      <c r="N20" s="2995"/>
      <c r="O20" s="2995"/>
      <c r="P20" s="3470"/>
      <c r="Q20" s="2070"/>
      <c r="R20" s="1724"/>
      <c r="S20" s="1725"/>
      <c r="T20" s="1724"/>
      <c r="U20" s="1725"/>
      <c r="V20" s="1724"/>
      <c r="W20" s="1725"/>
      <c r="X20" s="2073"/>
      <c r="Y20" s="3457"/>
      <c r="Z20" s="2077"/>
      <c r="AA20" s="2068">
        <v>1</v>
      </c>
      <c r="AB20" s="2068">
        <v>1</v>
      </c>
      <c r="AC20" s="2068">
        <v>1</v>
      </c>
    </row>
    <row r="21" spans="1:29" ht="28.5">
      <c r="A21" s="1701"/>
      <c r="B21" s="1749" t="s">
        <v>2357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v>2</v>
      </c>
      <c r="L21" s="2999"/>
      <c r="M21" s="2995"/>
      <c r="N21" s="2995"/>
      <c r="O21" s="2995"/>
      <c r="P21" s="3470"/>
      <c r="Q21" s="2070" t="str">
        <f>B21</f>
        <v>基础设施水平</v>
      </c>
      <c r="R21" s="1724" t="s">
        <v>25</v>
      </c>
      <c r="S21" s="1725">
        <f>F21</f>
        <v>100</v>
      </c>
      <c r="T21" s="1724" t="s">
        <v>25</v>
      </c>
      <c r="U21" s="1725">
        <f>H21</f>
        <v>100</v>
      </c>
      <c r="V21" s="1724" t="s">
        <v>25</v>
      </c>
      <c r="W21" s="1725">
        <f>J21</f>
        <v>100</v>
      </c>
      <c r="X21" s="2073"/>
      <c r="Y21" s="3457"/>
      <c r="Z21" s="2077" t="str">
        <f>Q21</f>
        <v>基础设施水平</v>
      </c>
      <c r="AA21" s="2068">
        <f t="shared" ref="AA21" si="8">D21/F21</f>
        <v>1</v>
      </c>
      <c r="AB21" s="2068">
        <f t="shared" ref="AB21" si="9">D21/H21</f>
        <v>1</v>
      </c>
      <c r="AC21" s="2068">
        <f t="shared" ref="AC21" si="10">D21/J21</f>
        <v>1</v>
      </c>
    </row>
    <row r="22" spans="1:29" ht="15">
      <c r="A22" s="1701"/>
      <c r="B22" s="1749"/>
      <c r="C22" s="1743" t="s">
        <v>2948</v>
      </c>
      <c r="D22" s="1730"/>
      <c r="E22" s="1743" t="s">
        <v>2948</v>
      </c>
      <c r="F22" s="1732"/>
      <c r="G22" s="1743" t="s">
        <v>2948</v>
      </c>
      <c r="H22" s="1730"/>
      <c r="I22" s="1743" t="s">
        <v>2948</v>
      </c>
      <c r="J22" s="1730"/>
      <c r="K22" s="2473"/>
      <c r="L22" s="2999"/>
      <c r="M22" s="2995"/>
      <c r="N22" s="2995"/>
      <c r="O22" s="2995"/>
      <c r="P22" s="3470"/>
      <c r="Q22" s="2070"/>
      <c r="R22" s="1724"/>
      <c r="S22" s="1725"/>
      <c r="T22" s="1724"/>
      <c r="U22" s="1725"/>
      <c r="V22" s="1724"/>
      <c r="W22" s="1725"/>
      <c r="X22" s="2073"/>
      <c r="Y22" s="3457"/>
      <c r="Z22" s="2077"/>
      <c r="AA22" s="2068">
        <v>1</v>
      </c>
      <c r="AB22" s="2068">
        <v>1</v>
      </c>
      <c r="AC22" s="2068">
        <v>1</v>
      </c>
    </row>
    <row r="23" spans="1:29" ht="57">
      <c r="A23" s="1701"/>
      <c r="B23" s="1736" t="s">
        <v>1708</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v>2</v>
      </c>
      <c r="L23" s="2999"/>
      <c r="M23" s="2995"/>
      <c r="N23" s="2995"/>
      <c r="O23" s="2995"/>
      <c r="P23" s="3470"/>
      <c r="Q23" s="2070" t="str">
        <f>B23</f>
        <v>自然及人文环境</v>
      </c>
      <c r="R23" s="1724" t="s">
        <v>25</v>
      </c>
      <c r="S23" s="1725">
        <f>F23</f>
        <v>100</v>
      </c>
      <c r="T23" s="1724" t="s">
        <v>25</v>
      </c>
      <c r="U23" s="1725">
        <f>H23</f>
        <v>100</v>
      </c>
      <c r="V23" s="1724" t="s">
        <v>25</v>
      </c>
      <c r="W23" s="1725">
        <f>J23</f>
        <v>100</v>
      </c>
      <c r="X23" s="2073"/>
      <c r="Y23" s="3457"/>
      <c r="Z23" s="2077" t="str">
        <f>Q23</f>
        <v>自然及人文环境</v>
      </c>
      <c r="AA23" s="2068">
        <f t="shared" si="3"/>
        <v>1</v>
      </c>
      <c r="AB23" s="2068">
        <f t="shared" si="4"/>
        <v>1</v>
      </c>
      <c r="AC23" s="2068">
        <f t="shared" si="5"/>
        <v>1</v>
      </c>
    </row>
    <row r="24" spans="1:29" ht="15">
      <c r="A24" s="1701"/>
      <c r="B24" s="1742"/>
      <c r="C24" s="1729" t="s">
        <v>30</v>
      </c>
      <c r="D24" s="1730"/>
      <c r="E24" s="1729" t="s">
        <v>30</v>
      </c>
      <c r="F24" s="1732"/>
      <c r="G24" s="1729" t="s">
        <v>30</v>
      </c>
      <c r="H24" s="1730"/>
      <c r="I24" s="1729" t="s">
        <v>30</v>
      </c>
      <c r="J24" s="1730"/>
      <c r="K24" s="2472"/>
      <c r="L24" s="2999"/>
      <c r="M24" s="2995"/>
      <c r="N24" s="2995"/>
      <c r="O24" s="2995"/>
      <c r="P24" s="3470"/>
      <c r="Q24" s="2070"/>
      <c r="R24" s="1724"/>
      <c r="S24" s="1725"/>
      <c r="T24" s="1724"/>
      <c r="U24" s="1725"/>
      <c r="V24" s="1724"/>
      <c r="W24" s="1725"/>
      <c r="X24" s="2073"/>
      <c r="Y24" s="3457"/>
      <c r="Z24" s="2077"/>
      <c r="AA24" s="2068">
        <v>1</v>
      </c>
      <c r="AB24" s="2068">
        <v>1</v>
      </c>
      <c r="AC24" s="2068">
        <v>1</v>
      </c>
    </row>
    <row r="25" spans="1:29" ht="15">
      <c r="A25" s="1701"/>
      <c r="B25" s="1694" t="s">
        <v>2358</v>
      </c>
      <c r="C25" s="1990" t="s">
        <v>2959</v>
      </c>
      <c r="D25" s="1710">
        <v>100</v>
      </c>
      <c r="E25" s="1990" t="s">
        <v>2972</v>
      </c>
      <c r="F25" s="1753">
        <f>SUMIF(86:86,E25,87:87)-SUMIF(86:86,C25,87:87)+100</f>
        <v>97</v>
      </c>
      <c r="G25" s="1990" t="s">
        <v>2972</v>
      </c>
      <c r="H25" s="1710">
        <f>SUMIF(86:86,G25,87:87)-SUMIF(86:86,C25,87:87)+100</f>
        <v>97</v>
      </c>
      <c r="I25" s="1990" t="s">
        <v>2972</v>
      </c>
      <c r="J25" s="1710">
        <f>SUMIF(86:86,I25,87:87)-SUMIF(86:86,C25,87:87)+100</f>
        <v>97</v>
      </c>
      <c r="K25" s="1991">
        <v>3</v>
      </c>
      <c r="L25" s="2999"/>
      <c r="M25" s="2995"/>
      <c r="N25" s="2995"/>
      <c r="O25" s="2995"/>
      <c r="P25" s="3470"/>
      <c r="Q25" s="2070" t="str">
        <f t="shared" ref="Q25:Q46" si="11">B25</f>
        <v>临街状况</v>
      </c>
      <c r="R25" s="1724" t="s">
        <v>25</v>
      </c>
      <c r="S25" s="1725">
        <f>F25</f>
        <v>97</v>
      </c>
      <c r="T25" s="1724" t="s">
        <v>25</v>
      </c>
      <c r="U25" s="1725">
        <f>H25</f>
        <v>97</v>
      </c>
      <c r="V25" s="1724" t="s">
        <v>25</v>
      </c>
      <c r="W25" s="1725">
        <f>J25</f>
        <v>97</v>
      </c>
      <c r="X25" s="2073"/>
      <c r="Y25" s="3457"/>
      <c r="Z25" s="2077" t="str">
        <f>Q25</f>
        <v>临街状况</v>
      </c>
      <c r="AA25" s="2068">
        <f t="shared" si="3"/>
        <v>1.0309278350515463</v>
      </c>
      <c r="AB25" s="2068">
        <f t="shared" si="4"/>
        <v>1.0309278350515463</v>
      </c>
      <c r="AC25" s="2068">
        <f t="shared" si="5"/>
        <v>1.0309278350515463</v>
      </c>
    </row>
    <row r="26" spans="1:29" ht="15">
      <c r="A26" s="1701"/>
      <c r="B26" s="1759" t="s">
        <v>2359</v>
      </c>
      <c r="C26" s="3171" t="s">
        <v>2973</v>
      </c>
      <c r="D26" s="1710">
        <v>100</v>
      </c>
      <c r="E26" s="3171" t="s">
        <v>2973</v>
      </c>
      <c r="F26" s="1753">
        <f>SUMIF(88:88,E26,89:89)-SUMIF(88:88,C26,89:89)+100</f>
        <v>100</v>
      </c>
      <c r="G26" s="3171" t="s">
        <v>2973</v>
      </c>
      <c r="H26" s="1710">
        <f>SUMIF(88:88,G26,89:89)-SUMIF(88:88,C26,89:89)+100</f>
        <v>100</v>
      </c>
      <c r="I26" s="3171" t="s">
        <v>2973</v>
      </c>
      <c r="J26" s="1710">
        <f>SUMIF(88:88,I26,89:89)-SUMIF(88:88,C26,89:89)+100</f>
        <v>100</v>
      </c>
      <c r="K26" s="1988"/>
      <c r="L26" s="2999"/>
      <c r="M26" s="2995"/>
      <c r="N26" s="2995"/>
      <c r="O26" s="2995"/>
      <c r="P26" s="3470"/>
      <c r="Q26" s="2070" t="str">
        <f t="shared" si="11"/>
        <v>平面位置/可视性</v>
      </c>
      <c r="R26" s="1724" t="s">
        <v>25</v>
      </c>
      <c r="S26" s="1725">
        <f>F26</f>
        <v>100</v>
      </c>
      <c r="T26" s="1724" t="s">
        <v>25</v>
      </c>
      <c r="U26" s="1725">
        <f>H26</f>
        <v>100</v>
      </c>
      <c r="V26" s="1724" t="s">
        <v>25</v>
      </c>
      <c r="W26" s="1725">
        <f>J26</f>
        <v>100</v>
      </c>
      <c r="X26" s="2073"/>
      <c r="Y26" s="3457"/>
      <c r="Z26" s="2077" t="str">
        <f>Q26</f>
        <v>平面位置/可视性</v>
      </c>
      <c r="AA26" s="2068">
        <f t="shared" si="3"/>
        <v>1</v>
      </c>
      <c r="AB26" s="2068">
        <f t="shared" si="4"/>
        <v>1</v>
      </c>
      <c r="AC26" s="2068">
        <f t="shared" si="5"/>
        <v>1</v>
      </c>
    </row>
    <row r="27" spans="1:29" s="1683" customFormat="1" ht="15">
      <c r="A27" s="1704"/>
      <c r="B27" s="1736" t="s">
        <v>2360</v>
      </c>
      <c r="C27" s="2475" t="s">
        <v>31</v>
      </c>
      <c r="D27" s="1755">
        <v>100</v>
      </c>
      <c r="E27" s="2475" t="s">
        <v>31</v>
      </c>
      <c r="F27" s="1757">
        <f>SUMIF(90:90,E27,91:91)-SUMIF(90:90,C27,91:91)+100</f>
        <v>100</v>
      </c>
      <c r="G27" s="2475" t="s">
        <v>31</v>
      </c>
      <c r="H27" s="1755">
        <f>SUMIF(90:90,G27,91:91)-SUMIF(90:90,C27,91:91)+100</f>
        <v>100</v>
      </c>
      <c r="I27" s="2475" t="s">
        <v>31</v>
      </c>
      <c r="J27" s="1755">
        <f>SUMIF(90:90,I27,91:91)-SUMIF(90:90,C27,91:91)+100</f>
        <v>100</v>
      </c>
      <c r="K27" s="1991">
        <v>1</v>
      </c>
      <c r="L27" s="2994"/>
      <c r="M27" s="2967"/>
      <c r="N27" s="2967"/>
      <c r="O27" s="2967"/>
      <c r="P27" s="3470"/>
      <c r="Q27" s="2064" t="str">
        <f t="shared" si="11"/>
        <v>人流量</v>
      </c>
      <c r="R27" s="1679" t="s">
        <v>25</v>
      </c>
      <c r="S27" s="1680">
        <f>F27</f>
        <v>100</v>
      </c>
      <c r="T27" s="1679" t="s">
        <v>25</v>
      </c>
      <c r="U27" s="1680">
        <f>H27</f>
        <v>100</v>
      </c>
      <c r="V27" s="1679" t="s">
        <v>25</v>
      </c>
      <c r="W27" s="1680">
        <f>J27</f>
        <v>100</v>
      </c>
      <c r="X27" s="1681"/>
      <c r="Y27" s="3457"/>
      <c r="Z27" s="1692" t="str">
        <f>Q27</f>
        <v>人流量</v>
      </c>
      <c r="AA27" s="2068">
        <f>D27/F27</f>
        <v>1</v>
      </c>
      <c r="AB27" s="2068">
        <f>D27/H27</f>
        <v>1</v>
      </c>
      <c r="AC27" s="2068">
        <f>D27/J27</f>
        <v>1</v>
      </c>
    </row>
    <row r="28" spans="1:29" ht="15.75" thickBot="1">
      <c r="A28" s="1701"/>
      <c r="B28" s="1694" t="s">
        <v>2361</v>
      </c>
      <c r="C28" s="1990" t="s">
        <v>2979</v>
      </c>
      <c r="D28" s="1710">
        <v>100</v>
      </c>
      <c r="E28" s="1990" t="s">
        <v>2962</v>
      </c>
      <c r="F28" s="1753">
        <f>SUMIF(92:92,E28,93:93)-SUMIF(92:92,C28,93:93)+100</f>
        <v>115</v>
      </c>
      <c r="G28" s="1990" t="s">
        <v>2962</v>
      </c>
      <c r="H28" s="1710">
        <f>SUMIF(92:92,G28,93:93)-SUMIF(92:92,C28,93:93)+100</f>
        <v>115</v>
      </c>
      <c r="I28" s="1990" t="s">
        <v>2962</v>
      </c>
      <c r="J28" s="1710">
        <f>SUMIF(92:92,I28,93:93)-SUMIF(92:92,C28,93:93)+100</f>
        <v>115</v>
      </c>
      <c r="K28" s="1988"/>
      <c r="L28" s="2999"/>
      <c r="M28" s="2995"/>
      <c r="N28" s="2995"/>
      <c r="O28" s="2995"/>
      <c r="P28" s="3470"/>
      <c r="Q28" s="2070" t="str">
        <f t="shared" si="11"/>
        <v>楼层</v>
      </c>
      <c r="R28" s="1724" t="s">
        <v>25</v>
      </c>
      <c r="S28" s="1725">
        <f t="shared" ref="S28:S46" si="12">F28</f>
        <v>115</v>
      </c>
      <c r="T28" s="1724" t="s">
        <v>25</v>
      </c>
      <c r="U28" s="1725">
        <f t="shared" ref="U28:U46" si="13">H28</f>
        <v>115</v>
      </c>
      <c r="V28" s="1724" t="s">
        <v>25</v>
      </c>
      <c r="W28" s="1725">
        <f t="shared" ref="W28:W46" si="14">J28</f>
        <v>115</v>
      </c>
      <c r="X28" s="2073"/>
      <c r="Y28" s="3457"/>
      <c r="Z28" s="2077" t="str">
        <f t="shared" ref="Z28:Z46" si="15">Q28</f>
        <v>楼层</v>
      </c>
      <c r="AA28" s="2068">
        <f t="shared" si="3"/>
        <v>0.86956521739130432</v>
      </c>
      <c r="AB28" s="2068">
        <f t="shared" si="4"/>
        <v>0.86956521739130432</v>
      </c>
      <c r="AC28" s="2068">
        <f t="shared" si="5"/>
        <v>0.86956521739130432</v>
      </c>
    </row>
    <row r="29" spans="1:29" ht="15" hidden="1">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9"/>
      <c r="M29" s="2995"/>
      <c r="N29" s="2995"/>
      <c r="O29" s="2995"/>
      <c r="P29" s="3470"/>
      <c r="Q29" s="2070">
        <f t="shared" si="11"/>
        <v>111</v>
      </c>
      <c r="R29" s="1724" t="s">
        <v>25</v>
      </c>
      <c r="S29" s="1725">
        <f t="shared" si="12"/>
        <v>100</v>
      </c>
      <c r="T29" s="1724" t="s">
        <v>25</v>
      </c>
      <c r="U29" s="1725">
        <f t="shared" si="13"/>
        <v>100</v>
      </c>
      <c r="V29" s="1724" t="s">
        <v>25</v>
      </c>
      <c r="W29" s="1725">
        <f t="shared" si="14"/>
        <v>100</v>
      </c>
      <c r="X29" s="2073"/>
      <c r="Y29" s="3457"/>
      <c r="Z29" s="2077">
        <f t="shared" si="15"/>
        <v>111</v>
      </c>
      <c r="AA29" s="2068">
        <f t="shared" si="3"/>
        <v>1</v>
      </c>
      <c r="AB29" s="2068">
        <f t="shared" si="4"/>
        <v>1</v>
      </c>
      <c r="AC29" s="2068">
        <f t="shared" si="5"/>
        <v>1</v>
      </c>
    </row>
    <row r="30" spans="1:29" ht="15" hidden="1">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9"/>
      <c r="M30" s="2995"/>
      <c r="N30" s="2995"/>
      <c r="O30" s="2995"/>
      <c r="P30" s="3470"/>
      <c r="Q30" s="2070">
        <f t="shared" si="11"/>
        <v>111</v>
      </c>
      <c r="R30" s="1724" t="s">
        <v>25</v>
      </c>
      <c r="S30" s="1725">
        <f t="shared" si="12"/>
        <v>100</v>
      </c>
      <c r="T30" s="1724" t="s">
        <v>25</v>
      </c>
      <c r="U30" s="1725">
        <f t="shared" si="13"/>
        <v>100</v>
      </c>
      <c r="V30" s="1724" t="s">
        <v>25</v>
      </c>
      <c r="W30" s="1725">
        <f t="shared" si="14"/>
        <v>100</v>
      </c>
      <c r="X30" s="2073"/>
      <c r="Y30" s="3457"/>
      <c r="Z30" s="2077">
        <f t="shared" si="15"/>
        <v>111</v>
      </c>
      <c r="AA30" s="2068">
        <f t="shared" si="3"/>
        <v>1</v>
      </c>
      <c r="AB30" s="2068">
        <f t="shared" si="4"/>
        <v>1</v>
      </c>
      <c r="AC30" s="2068">
        <f t="shared" si="5"/>
        <v>1</v>
      </c>
    </row>
    <row r="31" spans="1:29" ht="15.75" hidden="1"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9"/>
      <c r="M31" s="2995"/>
      <c r="N31" s="2995"/>
      <c r="O31" s="2995"/>
      <c r="P31" s="3470"/>
      <c r="Q31" s="2070">
        <f t="shared" si="11"/>
        <v>111</v>
      </c>
      <c r="R31" s="1724" t="s">
        <v>25</v>
      </c>
      <c r="S31" s="1725">
        <f t="shared" si="12"/>
        <v>100</v>
      </c>
      <c r="T31" s="1724" t="s">
        <v>25</v>
      </c>
      <c r="U31" s="1725">
        <f t="shared" si="13"/>
        <v>100</v>
      </c>
      <c r="V31" s="1724" t="s">
        <v>25</v>
      </c>
      <c r="W31" s="1725">
        <f t="shared" si="14"/>
        <v>100</v>
      </c>
      <c r="X31" s="2073"/>
      <c r="Y31" s="3457"/>
      <c r="Z31" s="2077">
        <f t="shared" si="15"/>
        <v>111</v>
      </c>
      <c r="AA31" s="2068">
        <f t="shared" si="3"/>
        <v>1</v>
      </c>
      <c r="AB31" s="2068">
        <f t="shared" si="4"/>
        <v>1</v>
      </c>
      <c r="AC31" s="2068">
        <f t="shared" si="5"/>
        <v>1</v>
      </c>
    </row>
    <row r="32" spans="1:29" ht="15">
      <c r="A32" s="1716" t="s">
        <v>2274</v>
      </c>
      <c r="B32" s="1686" t="s">
        <v>2362</v>
      </c>
      <c r="C32" s="1760" t="s">
        <v>2942</v>
      </c>
      <c r="D32" s="1761">
        <v>100</v>
      </c>
      <c r="E32" s="3165" t="s">
        <v>2930</v>
      </c>
      <c r="F32" s="1753">
        <f>SUMIF(100:100,E32,101:101)-SUMIF(100:100,C32,101:101)+100</f>
        <v>94</v>
      </c>
      <c r="G32" s="3165" t="s">
        <v>2937</v>
      </c>
      <c r="H32" s="1710">
        <f>SUMIF(100:100,G32,101:101)-SUMIF(100:100,C32,101:101)+100</f>
        <v>94</v>
      </c>
      <c r="I32" s="3165" t="s">
        <v>2930</v>
      </c>
      <c r="J32" s="1761">
        <f>SUMIF(100:100,I32,101:101)-SUMIF(100:100,C32,101:101)+100</f>
        <v>94</v>
      </c>
      <c r="K32" s="1991">
        <v>3</v>
      </c>
      <c r="L32" s="2999"/>
      <c r="M32" s="2995"/>
      <c r="N32" s="2995"/>
      <c r="O32" s="2995"/>
      <c r="P32" s="3458" t="s">
        <v>2276</v>
      </c>
      <c r="Q32" s="2070" t="str">
        <f t="shared" si="11"/>
        <v>商业类型</v>
      </c>
      <c r="R32" s="1724" t="s">
        <v>25</v>
      </c>
      <c r="S32" s="1725">
        <f t="shared" si="12"/>
        <v>94</v>
      </c>
      <c r="T32" s="1724" t="s">
        <v>25</v>
      </c>
      <c r="U32" s="1725">
        <f t="shared" si="13"/>
        <v>94</v>
      </c>
      <c r="V32" s="1724" t="s">
        <v>25</v>
      </c>
      <c r="W32" s="1725">
        <f t="shared" si="14"/>
        <v>94</v>
      </c>
      <c r="X32" s="2073"/>
      <c r="Y32" s="3461" t="s">
        <v>2276</v>
      </c>
      <c r="Z32" s="2077" t="str">
        <f t="shared" si="15"/>
        <v>商业类型</v>
      </c>
      <c r="AA32" s="2068">
        <f t="shared" si="3"/>
        <v>1.0638297872340425</v>
      </c>
      <c r="AB32" s="2068">
        <f t="shared" si="4"/>
        <v>1.0638297872340425</v>
      </c>
      <c r="AC32" s="2068">
        <f t="shared" si="5"/>
        <v>1.0638297872340425</v>
      </c>
    </row>
    <row r="33" spans="1:29" s="1770" customFormat="1" ht="15">
      <c r="A33" s="1763"/>
      <c r="B33" s="1694" t="s">
        <v>2277</v>
      </c>
      <c r="C33" s="1764">
        <v>433.5</v>
      </c>
      <c r="D33" s="1696">
        <v>100</v>
      </c>
      <c r="E33" s="1703">
        <v>68.790000000000006</v>
      </c>
      <c r="F33" s="1698">
        <f>LOOKUP(E33,103:103,104:104)-LOOKUP(C33,103:103,104:104)+100</f>
        <v>104</v>
      </c>
      <c r="G33" s="1702">
        <v>110.2</v>
      </c>
      <c r="H33" s="1696">
        <f>LOOKUP(G33,103:103,104:104)-LOOKUP(C33,103:103,104:104)+100</f>
        <v>103</v>
      </c>
      <c r="I33" s="1702">
        <v>166</v>
      </c>
      <c r="J33" s="1696">
        <f>LOOKUP(I33,103:103,104:104)-LOOKUP(C33,103:103,104:104)+100</f>
        <v>103</v>
      </c>
      <c r="K33" s="1988"/>
      <c r="L33" s="2998"/>
      <c r="M33" s="2058"/>
      <c r="N33" s="2058"/>
      <c r="O33" s="2058"/>
      <c r="P33" s="3459"/>
      <c r="Q33" s="1765" t="str">
        <f t="shared" si="11"/>
        <v>项目建筑规模</v>
      </c>
      <c r="R33" s="1766" t="s">
        <v>25</v>
      </c>
      <c r="S33" s="1767">
        <f t="shared" si="12"/>
        <v>104</v>
      </c>
      <c r="T33" s="1766" t="s">
        <v>25</v>
      </c>
      <c r="U33" s="1767">
        <f t="shared" si="13"/>
        <v>103</v>
      </c>
      <c r="V33" s="1766" t="s">
        <v>25</v>
      </c>
      <c r="W33" s="1767">
        <f t="shared" si="14"/>
        <v>103</v>
      </c>
      <c r="X33" s="1768"/>
      <c r="Y33" s="3461"/>
      <c r="Z33" s="1769" t="str">
        <f t="shared" si="15"/>
        <v>项目建筑规模</v>
      </c>
      <c r="AA33" s="2068">
        <f t="shared" si="3"/>
        <v>0.96153846153846156</v>
      </c>
      <c r="AB33" s="2068">
        <f t="shared" si="4"/>
        <v>0.970873786407767</v>
      </c>
      <c r="AC33" s="2068">
        <f t="shared" si="5"/>
        <v>0.970873786407767</v>
      </c>
    </row>
    <row r="34" spans="1:29" ht="15">
      <c r="A34" s="1771"/>
      <c r="B34" s="3174" t="s">
        <v>2278</v>
      </c>
      <c r="C34" s="1772" t="s">
        <v>2967</v>
      </c>
      <c r="D34" s="1710">
        <v>100</v>
      </c>
      <c r="E34" s="1773" t="s">
        <v>2969</v>
      </c>
      <c r="F34" s="1753">
        <f>SUMIF(105:105,E34,106:106)-SUMIF(105:105,C34,106:106)+100</f>
        <v>101</v>
      </c>
      <c r="G34" s="1772" t="s">
        <v>2969</v>
      </c>
      <c r="H34" s="1710">
        <f>SUMIF(105:105,G34,106:106)-SUMIF(105:105,C34,106:106)+100</f>
        <v>101</v>
      </c>
      <c r="I34" s="1772" t="s">
        <v>2969</v>
      </c>
      <c r="J34" s="1710">
        <f>SUMIF(105:105,I34,106:106)-SUMIF(105:105,C34,106:106)+100</f>
        <v>101</v>
      </c>
      <c r="K34" s="1991">
        <v>1</v>
      </c>
      <c r="L34" s="2999"/>
      <c r="M34" s="2995"/>
      <c r="N34" s="2995"/>
      <c r="O34" s="2995"/>
      <c r="P34" s="3459"/>
      <c r="Q34" s="2070" t="str">
        <f t="shared" si="11"/>
        <v>建筑结构</v>
      </c>
      <c r="R34" s="1724" t="s">
        <v>25</v>
      </c>
      <c r="S34" s="1725">
        <f t="shared" si="12"/>
        <v>101</v>
      </c>
      <c r="T34" s="1724" t="s">
        <v>25</v>
      </c>
      <c r="U34" s="1725">
        <f t="shared" si="13"/>
        <v>101</v>
      </c>
      <c r="V34" s="1724" t="s">
        <v>25</v>
      </c>
      <c r="W34" s="1725">
        <f t="shared" si="14"/>
        <v>101</v>
      </c>
      <c r="X34" s="2073"/>
      <c r="Y34" s="3461"/>
      <c r="Z34" s="2077" t="str">
        <f t="shared" si="15"/>
        <v>建筑结构</v>
      </c>
      <c r="AA34" s="2068">
        <f t="shared" si="3"/>
        <v>0.99009900990099009</v>
      </c>
      <c r="AB34" s="2068">
        <f t="shared" si="4"/>
        <v>0.99009900990099009</v>
      </c>
      <c r="AC34" s="2068">
        <f t="shared" si="5"/>
        <v>0.99009900990099009</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9"/>
      <c r="M35" s="2995"/>
      <c r="N35" s="2995"/>
      <c r="O35" s="2995"/>
      <c r="P35" s="3459"/>
      <c r="Q35" s="2070" t="str">
        <f t="shared" si="11"/>
        <v>公共部分装修</v>
      </c>
      <c r="R35" s="1724" t="s">
        <v>25</v>
      </c>
      <c r="S35" s="1725">
        <f t="shared" si="12"/>
        <v>100</v>
      </c>
      <c r="T35" s="1724" t="s">
        <v>25</v>
      </c>
      <c r="U35" s="1725">
        <f t="shared" si="13"/>
        <v>100</v>
      </c>
      <c r="V35" s="1724" t="s">
        <v>25</v>
      </c>
      <c r="W35" s="1725">
        <f t="shared" si="14"/>
        <v>100</v>
      </c>
      <c r="X35" s="2073"/>
      <c r="Y35" s="3461"/>
      <c r="Z35" s="2077" t="str">
        <f t="shared" si="15"/>
        <v>公共部分装修</v>
      </c>
      <c r="AA35" s="2068">
        <f t="shared" si="3"/>
        <v>1</v>
      </c>
      <c r="AB35" s="2068">
        <f t="shared" si="4"/>
        <v>1</v>
      </c>
      <c r="AC35" s="2068">
        <f t="shared" si="5"/>
        <v>1</v>
      </c>
    </row>
    <row r="36" spans="1:29" ht="15">
      <c r="A36" s="1771"/>
      <c r="B36" s="1694" t="s">
        <v>2364</v>
      </c>
      <c r="C36" s="1775">
        <f>'数据-取费表'!E20</f>
        <v>0.72</v>
      </c>
      <c r="D36" s="1710">
        <v>100</v>
      </c>
      <c r="E36" s="1775">
        <v>0.75</v>
      </c>
      <c r="F36" s="1753">
        <f>LOOKUP(E36,110:110,111:111)-LOOKUP(C36,110:110,111:111)+100</f>
        <v>100</v>
      </c>
      <c r="G36" s="1775">
        <v>0.92</v>
      </c>
      <c r="H36" s="1753">
        <f>LOOKUP(G36,110:110,111:111)-LOOKUP(C36,110:110,111:111)+100</f>
        <v>104</v>
      </c>
      <c r="I36" s="1775">
        <v>0.78</v>
      </c>
      <c r="J36" s="1710">
        <f>LOOKUP(I36,110:110,111:111)-LOOKUP(C36,110:110,111:111)+100</f>
        <v>100</v>
      </c>
      <c r="K36" s="1991">
        <v>2</v>
      </c>
      <c r="L36" s="2999"/>
      <c r="M36" s="2995"/>
      <c r="N36" s="2995"/>
      <c r="O36" s="2995"/>
      <c r="P36" s="3459"/>
      <c r="Q36" s="2070" t="str">
        <f t="shared" si="11"/>
        <v>成新度</v>
      </c>
      <c r="R36" s="1724" t="s">
        <v>25</v>
      </c>
      <c r="S36" s="1725">
        <f t="shared" si="12"/>
        <v>100</v>
      </c>
      <c r="T36" s="1724" t="s">
        <v>25</v>
      </c>
      <c r="U36" s="1725">
        <f t="shared" si="13"/>
        <v>104</v>
      </c>
      <c r="V36" s="1724" t="s">
        <v>25</v>
      </c>
      <c r="W36" s="1725">
        <f t="shared" si="14"/>
        <v>100</v>
      </c>
      <c r="X36" s="2073"/>
      <c r="Y36" s="3461"/>
      <c r="Z36" s="2077" t="str">
        <f t="shared" si="15"/>
        <v>成新度</v>
      </c>
      <c r="AA36" s="2068">
        <f t="shared" si="3"/>
        <v>1</v>
      </c>
      <c r="AB36" s="2068">
        <f t="shared" si="4"/>
        <v>0.96153846153846156</v>
      </c>
      <c r="AC36" s="2068">
        <f t="shared" si="5"/>
        <v>1</v>
      </c>
    </row>
    <row r="37" spans="1:29" s="1683"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4"/>
      <c r="M37" s="2967"/>
      <c r="N37" s="2967"/>
      <c r="O37" s="2967"/>
      <c r="P37" s="3459"/>
      <c r="Q37" s="2064" t="str">
        <f t="shared" si="11"/>
        <v>市政基础设施</v>
      </c>
      <c r="R37" s="1679" t="s">
        <v>25</v>
      </c>
      <c r="S37" s="1680">
        <f t="shared" si="12"/>
        <v>100</v>
      </c>
      <c r="T37" s="1679" t="s">
        <v>25</v>
      </c>
      <c r="U37" s="1680">
        <f t="shared" si="13"/>
        <v>100</v>
      </c>
      <c r="V37" s="1679" t="s">
        <v>25</v>
      </c>
      <c r="W37" s="1680">
        <f t="shared" si="14"/>
        <v>100</v>
      </c>
      <c r="X37" s="1681"/>
      <c r="Y37" s="3461"/>
      <c r="Z37" s="1692" t="str">
        <f t="shared" si="15"/>
        <v>市政基础设施</v>
      </c>
      <c r="AA37" s="1682">
        <f t="shared" si="3"/>
        <v>1</v>
      </c>
      <c r="AB37" s="1682">
        <f t="shared" si="4"/>
        <v>1</v>
      </c>
      <c r="AC37" s="1682">
        <f t="shared" si="5"/>
        <v>1</v>
      </c>
    </row>
    <row r="38" spans="1:29" ht="15">
      <c r="A38" s="1771"/>
      <c r="B38" s="1694" t="s">
        <v>2366</v>
      </c>
      <c r="C38" s="3166" t="s">
        <v>2965</v>
      </c>
      <c r="D38" s="1710">
        <v>100</v>
      </c>
      <c r="E38" s="3166" t="s">
        <v>2931</v>
      </c>
      <c r="F38" s="1753">
        <f>SUMIF(114:114,E38,115:115)-SUMIF(114:114,C38,115:115)+100</f>
        <v>100</v>
      </c>
      <c r="G38" s="3166" t="s">
        <v>2931</v>
      </c>
      <c r="H38" s="1710">
        <f>SUMIF(114:114,G38,115:115)-SUMIF(114:114,C38,115:115)+100</f>
        <v>100</v>
      </c>
      <c r="I38" s="3166" t="s">
        <v>2931</v>
      </c>
      <c r="J38" s="1710">
        <f>SUMIF(114:114,I38,115:115)-SUMIF(114:114,C38,115:115)+100</f>
        <v>100</v>
      </c>
      <c r="K38" s="1991">
        <v>2</v>
      </c>
      <c r="L38" s="2999"/>
      <c r="M38" s="2995"/>
      <c r="N38" s="2995"/>
      <c r="O38" s="2995"/>
      <c r="P38" s="3459" t="s">
        <v>2276</v>
      </c>
      <c r="Q38" s="2070" t="str">
        <f t="shared" si="11"/>
        <v>业态</v>
      </c>
      <c r="R38" s="1724" t="s">
        <v>25</v>
      </c>
      <c r="S38" s="1725">
        <f t="shared" si="12"/>
        <v>100</v>
      </c>
      <c r="T38" s="1724" t="s">
        <v>25</v>
      </c>
      <c r="U38" s="1725">
        <f t="shared" si="13"/>
        <v>100</v>
      </c>
      <c r="V38" s="1724" t="s">
        <v>25</v>
      </c>
      <c r="W38" s="1725">
        <f t="shared" si="14"/>
        <v>100</v>
      </c>
      <c r="X38" s="2073"/>
      <c r="Y38" s="3461" t="s">
        <v>2276</v>
      </c>
      <c r="Z38" s="2077" t="str">
        <f t="shared" si="15"/>
        <v>业态</v>
      </c>
      <c r="AA38" s="2068">
        <f t="shared" si="3"/>
        <v>1</v>
      </c>
      <c r="AB38" s="2068">
        <f t="shared" si="4"/>
        <v>1</v>
      </c>
      <c r="AC38" s="2068">
        <f t="shared" si="5"/>
        <v>1</v>
      </c>
    </row>
    <row r="39" spans="1:29" ht="15">
      <c r="A39" s="1771"/>
      <c r="B39" s="1694" t="s">
        <v>2367</v>
      </c>
      <c r="C39" s="3166" t="s">
        <v>2935</v>
      </c>
      <c r="D39" s="1710">
        <v>100</v>
      </c>
      <c r="E39" s="3166" t="s">
        <v>2932</v>
      </c>
      <c r="F39" s="1753">
        <f>SUMIF(116:116,E39,117:117)-SUMIF(116:116,C39,117:117)+100</f>
        <v>100</v>
      </c>
      <c r="G39" s="3166" t="s">
        <v>2935</v>
      </c>
      <c r="H39" s="1710">
        <f>SUMIF(116:116,G39,117:117)-SUMIF(116:116,C39,117:117)+100</f>
        <v>100</v>
      </c>
      <c r="I39" s="3166" t="s">
        <v>2935</v>
      </c>
      <c r="J39" s="1710">
        <f>SUMIF(116:116,I39,117:117)-SUMIF(116:116,C39,117:117)+100</f>
        <v>100</v>
      </c>
      <c r="K39" s="1991">
        <v>2</v>
      </c>
      <c r="L39" s="2999"/>
      <c r="M39" s="2995"/>
      <c r="N39" s="2995"/>
      <c r="O39" s="2995"/>
      <c r="P39" s="3459"/>
      <c r="Q39" s="2070" t="str">
        <f t="shared" si="11"/>
        <v>层高</v>
      </c>
      <c r="R39" s="1724" t="s">
        <v>25</v>
      </c>
      <c r="S39" s="1725">
        <f t="shared" si="12"/>
        <v>100</v>
      </c>
      <c r="T39" s="1724" t="s">
        <v>25</v>
      </c>
      <c r="U39" s="1725">
        <f t="shared" si="13"/>
        <v>100</v>
      </c>
      <c r="V39" s="1724" t="s">
        <v>25</v>
      </c>
      <c r="W39" s="1725">
        <f t="shared" si="14"/>
        <v>100</v>
      </c>
      <c r="X39" s="2073"/>
      <c r="Y39" s="3461"/>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9"/>
      <c r="M40" s="2995"/>
      <c r="N40" s="2995"/>
      <c r="O40" s="2995"/>
      <c r="P40" s="3459"/>
      <c r="Q40" s="2070" t="str">
        <f t="shared" si="11"/>
        <v>单套建筑面积</v>
      </c>
      <c r="R40" s="1724" t="s">
        <v>25</v>
      </c>
      <c r="S40" s="1725">
        <f t="shared" si="12"/>
        <v>100</v>
      </c>
      <c r="T40" s="1724" t="s">
        <v>25</v>
      </c>
      <c r="U40" s="1725">
        <f t="shared" si="13"/>
        <v>100</v>
      </c>
      <c r="V40" s="1724" t="s">
        <v>25</v>
      </c>
      <c r="W40" s="1725">
        <f t="shared" si="14"/>
        <v>100</v>
      </c>
      <c r="X40" s="2073"/>
      <c r="Y40" s="3461"/>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8"/>
      <c r="M41" s="2058"/>
      <c r="N41" s="2058"/>
      <c r="O41" s="2058"/>
      <c r="P41" s="3459"/>
      <c r="Q41" s="1765" t="str">
        <f t="shared" si="11"/>
        <v>进深比</v>
      </c>
      <c r="R41" s="1766" t="s">
        <v>25</v>
      </c>
      <c r="S41" s="1767">
        <f t="shared" si="12"/>
        <v>100</v>
      </c>
      <c r="T41" s="1766" t="s">
        <v>25</v>
      </c>
      <c r="U41" s="1767">
        <f t="shared" si="13"/>
        <v>100</v>
      </c>
      <c r="V41" s="1766" t="s">
        <v>25</v>
      </c>
      <c r="W41" s="1767">
        <f t="shared" si="14"/>
        <v>100</v>
      </c>
      <c r="X41" s="1768"/>
      <c r="Y41" s="3461"/>
      <c r="Z41" s="1769" t="str">
        <f t="shared" si="15"/>
        <v>进深比</v>
      </c>
      <c r="AA41" s="2068">
        <f t="shared" si="3"/>
        <v>1</v>
      </c>
      <c r="AB41" s="2068">
        <f t="shared" si="4"/>
        <v>1</v>
      </c>
      <c r="AC41" s="2068">
        <f t="shared" si="5"/>
        <v>1</v>
      </c>
    </row>
    <row r="42" spans="1:29" ht="15">
      <c r="A42" s="1771"/>
      <c r="B42" s="1694" t="s">
        <v>2370</v>
      </c>
      <c r="C42" s="3166" t="s">
        <v>2938</v>
      </c>
      <c r="D42" s="1710">
        <v>100</v>
      </c>
      <c r="E42" s="3166" t="s">
        <v>2933</v>
      </c>
      <c r="F42" s="1753">
        <f>SUMIF(122:122,E42,123:123)-SUMIF(122:122,C42,123:123)+100</f>
        <v>100</v>
      </c>
      <c r="G42" s="3166" t="s">
        <v>2933</v>
      </c>
      <c r="H42" s="1710">
        <f>SUMIF(122:122,G42,123:123)-SUMIF(122:122,C42,123:123)+100</f>
        <v>100</v>
      </c>
      <c r="I42" s="3166" t="s">
        <v>2933</v>
      </c>
      <c r="J42" s="1710">
        <f>SUMIF(122:122,I42,123:123)-SUMIF(122:122,C42,123:123)+100</f>
        <v>100</v>
      </c>
      <c r="K42" s="1991">
        <v>2</v>
      </c>
      <c r="L42" s="2999"/>
      <c r="M42" s="2995"/>
      <c r="N42" s="2995"/>
      <c r="O42" s="2995"/>
      <c r="P42" s="3459"/>
      <c r="Q42" s="2070" t="str">
        <f t="shared" si="11"/>
        <v>内部装修</v>
      </c>
      <c r="R42" s="1724" t="s">
        <v>25</v>
      </c>
      <c r="S42" s="1725">
        <f t="shared" si="12"/>
        <v>100</v>
      </c>
      <c r="T42" s="1724" t="s">
        <v>25</v>
      </c>
      <c r="U42" s="1725">
        <f t="shared" si="13"/>
        <v>100</v>
      </c>
      <c r="V42" s="1724" t="s">
        <v>25</v>
      </c>
      <c r="W42" s="1725">
        <f t="shared" si="14"/>
        <v>100</v>
      </c>
      <c r="X42" s="2073"/>
      <c r="Y42" s="3461"/>
      <c r="Z42" s="2077" t="str">
        <f t="shared" si="15"/>
        <v>内部装修</v>
      </c>
      <c r="AA42" s="2068">
        <f t="shared" si="3"/>
        <v>1</v>
      </c>
      <c r="AB42" s="2068">
        <f t="shared" si="4"/>
        <v>1</v>
      </c>
      <c r="AC42" s="2068">
        <f t="shared" si="5"/>
        <v>1</v>
      </c>
    </row>
    <row r="43" spans="1:29" ht="15.75" thickBot="1">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9"/>
      <c r="M43" s="2995"/>
      <c r="N43" s="2995"/>
      <c r="O43" s="2995"/>
      <c r="P43" s="3459"/>
      <c r="Q43" s="2070" t="str">
        <f t="shared" si="11"/>
        <v>内部装修维护情况</v>
      </c>
      <c r="R43" s="1724" t="s">
        <v>25</v>
      </c>
      <c r="S43" s="1725">
        <f t="shared" si="12"/>
        <v>100</v>
      </c>
      <c r="T43" s="1724" t="s">
        <v>25</v>
      </c>
      <c r="U43" s="1725">
        <f t="shared" si="13"/>
        <v>100</v>
      </c>
      <c r="V43" s="1724" t="s">
        <v>25</v>
      </c>
      <c r="W43" s="1725">
        <f t="shared" si="14"/>
        <v>100</v>
      </c>
      <c r="X43" s="2073"/>
      <c r="Y43" s="3461"/>
      <c r="Z43" s="2077" t="str">
        <f t="shared" si="15"/>
        <v>内部装修维护情况</v>
      </c>
      <c r="AA43" s="2068">
        <f t="shared" si="3"/>
        <v>1</v>
      </c>
      <c r="AB43" s="2068">
        <f t="shared" si="4"/>
        <v>1</v>
      </c>
      <c r="AC43" s="2068">
        <f t="shared" si="5"/>
        <v>1</v>
      </c>
    </row>
    <row r="44" spans="1:29" s="1683" customFormat="1" ht="15" hidden="1">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4"/>
      <c r="M44" s="2967"/>
      <c r="N44" s="2967"/>
      <c r="O44" s="2967"/>
      <c r="P44" s="3459"/>
      <c r="Q44" s="2064">
        <f t="shared" si="11"/>
        <v>111</v>
      </c>
      <c r="R44" s="1679" t="s">
        <v>25</v>
      </c>
      <c r="S44" s="1680">
        <f t="shared" si="12"/>
        <v>100</v>
      </c>
      <c r="T44" s="1679" t="s">
        <v>25</v>
      </c>
      <c r="U44" s="1680">
        <f t="shared" si="13"/>
        <v>100</v>
      </c>
      <c r="V44" s="1679" t="s">
        <v>25</v>
      </c>
      <c r="W44" s="1680">
        <f t="shared" si="14"/>
        <v>100</v>
      </c>
      <c r="X44" s="1681"/>
      <c r="Y44" s="3461"/>
      <c r="Z44" s="1692">
        <f t="shared" si="15"/>
        <v>111</v>
      </c>
      <c r="AA44" s="1682">
        <f t="shared" si="3"/>
        <v>1</v>
      </c>
      <c r="AB44" s="1682">
        <f t="shared" si="4"/>
        <v>1</v>
      </c>
      <c r="AC44" s="1682">
        <f t="shared" si="5"/>
        <v>1</v>
      </c>
    </row>
    <row r="45" spans="1:29" ht="15" hidden="1">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9"/>
      <c r="M45" s="2995"/>
      <c r="N45" s="2995"/>
      <c r="O45" s="2995"/>
      <c r="P45" s="3459"/>
      <c r="Q45" s="2070">
        <f t="shared" si="11"/>
        <v>111</v>
      </c>
      <c r="R45" s="1724" t="s">
        <v>25</v>
      </c>
      <c r="S45" s="1725">
        <f t="shared" si="12"/>
        <v>100</v>
      </c>
      <c r="T45" s="1724" t="s">
        <v>25</v>
      </c>
      <c r="U45" s="1725">
        <f t="shared" si="13"/>
        <v>100</v>
      </c>
      <c r="V45" s="1724" t="s">
        <v>25</v>
      </c>
      <c r="W45" s="1725">
        <f t="shared" si="14"/>
        <v>100</v>
      </c>
      <c r="X45" s="2073"/>
      <c r="Y45" s="3461"/>
      <c r="Z45" s="2077">
        <f t="shared" si="15"/>
        <v>111</v>
      </c>
      <c r="AA45" s="2068">
        <f t="shared" si="3"/>
        <v>1</v>
      </c>
      <c r="AB45" s="2068">
        <f t="shared" si="4"/>
        <v>1</v>
      </c>
      <c r="AC45" s="2068">
        <f t="shared" si="5"/>
        <v>1</v>
      </c>
    </row>
    <row r="46" spans="1:29" ht="15.75" hidden="1"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9"/>
      <c r="M46" s="2995"/>
      <c r="N46" s="2995"/>
      <c r="O46" s="2995"/>
      <c r="P46" s="3460"/>
      <c r="Q46" s="2070">
        <f t="shared" si="11"/>
        <v>111</v>
      </c>
      <c r="R46" s="1724" t="s">
        <v>25</v>
      </c>
      <c r="S46" s="1725">
        <f t="shared" si="12"/>
        <v>100</v>
      </c>
      <c r="T46" s="1724" t="s">
        <v>25</v>
      </c>
      <c r="U46" s="1725">
        <f t="shared" si="13"/>
        <v>100</v>
      </c>
      <c r="V46" s="1724" t="s">
        <v>25</v>
      </c>
      <c r="W46" s="1725">
        <f t="shared" si="14"/>
        <v>100</v>
      </c>
      <c r="X46" s="2073"/>
      <c r="Y46" s="3462"/>
      <c r="Z46" s="2077">
        <f t="shared" si="15"/>
        <v>111</v>
      </c>
      <c r="AA46" s="2068">
        <f t="shared" si="3"/>
        <v>1</v>
      </c>
      <c r="AB46" s="2068">
        <f t="shared" si="4"/>
        <v>1</v>
      </c>
      <c r="AC46" s="2068">
        <f t="shared" si="5"/>
        <v>1</v>
      </c>
    </row>
    <row r="47" spans="1:29" ht="15">
      <c r="A47" s="1780" t="s">
        <v>2288</v>
      </c>
      <c r="B47" s="1781"/>
      <c r="C47" s="1782" t="s">
        <v>1</v>
      </c>
      <c r="D47" s="1783"/>
      <c r="E47" s="1784">
        <v>30237</v>
      </c>
      <c r="F47" s="1785"/>
      <c r="G47" s="1786">
        <v>30399</v>
      </c>
      <c r="H47" s="1787"/>
      <c r="I47" s="1784">
        <v>30120</v>
      </c>
      <c r="J47" s="1787"/>
      <c r="K47" s="2012"/>
      <c r="L47" s="3000"/>
      <c r="N47" s="2995"/>
      <c r="P47" s="3467" t="str">
        <f>A47</f>
        <v>成交单价（元/平方米）</v>
      </c>
      <c r="Q47" s="3467"/>
      <c r="R47" s="3468">
        <f>E47</f>
        <v>30237</v>
      </c>
      <c r="S47" s="3468"/>
      <c r="T47" s="3468">
        <f>G47</f>
        <v>30399</v>
      </c>
      <c r="U47" s="3468"/>
      <c r="V47" s="3468">
        <f>I47</f>
        <v>30120</v>
      </c>
      <c r="W47" s="3468"/>
      <c r="X47" s="1790"/>
      <c r="Y47" s="2072"/>
      <c r="Z47" s="1790"/>
      <c r="AA47" s="1790"/>
      <c r="AB47" s="1790"/>
      <c r="AC47" s="1790"/>
    </row>
    <row r="48" spans="1:29" ht="15.75" thickBot="1">
      <c r="A48" s="1792" t="s">
        <v>2371</v>
      </c>
      <c r="B48" s="1793"/>
      <c r="C48" s="1794">
        <f>R49</f>
        <v>26062</v>
      </c>
      <c r="D48" s="1795" t="s">
        <v>2743</v>
      </c>
      <c r="E48" s="1796">
        <f>R48</f>
        <v>26387</v>
      </c>
      <c r="F48" s="1797"/>
      <c r="G48" s="1794">
        <f>T48</f>
        <v>25260</v>
      </c>
      <c r="H48" s="1797"/>
      <c r="I48" s="1796">
        <f>V48</f>
        <v>26540</v>
      </c>
      <c r="J48" s="1797"/>
      <c r="K48" s="2509">
        <f>F48+H48+J48</f>
        <v>0</v>
      </c>
      <c r="L48" s="3000"/>
      <c r="N48" s="2995"/>
      <c r="P48" s="3467" t="str">
        <f>A48</f>
        <v>比较价值（元/平方米）</v>
      </c>
      <c r="Q48" s="3467"/>
      <c r="R48" s="3468">
        <f>IF(E1="售价",ROUND(PRODUCT(R47,AA7:AA46),0),ROUND(PRODUCT(R47,AA7:AA46),1))</f>
        <v>26387</v>
      </c>
      <c r="S48" s="3468"/>
      <c r="T48" s="3468">
        <f>IF(E1="售价",ROUND(PRODUCT(T47,AB7:AB46),0),ROUND(PRODUCT(T47,AB7:AB46),1))</f>
        <v>25260</v>
      </c>
      <c r="U48" s="3468"/>
      <c r="V48" s="3468">
        <f>IF(E1="售价",ROUND(PRODUCT(V47,AC7:AC46),0),ROUND(PRODUCT(V47,AC7:AC46),1))</f>
        <v>26540</v>
      </c>
      <c r="W48" s="3468"/>
      <c r="X48" s="1790"/>
      <c r="Y48" s="1790"/>
      <c r="Z48" s="1790"/>
      <c r="AA48" s="1790"/>
      <c r="AB48" s="1790"/>
      <c r="AC48" s="1790"/>
    </row>
    <row r="49" spans="1:29" ht="15.75" thickBot="1">
      <c r="A49" s="1798" t="s">
        <v>2372</v>
      </c>
      <c r="B49" s="1799"/>
      <c r="C49" s="1801">
        <f>R49</f>
        <v>26062</v>
      </c>
      <c r="D49" s="1801"/>
      <c r="E49" s="1801"/>
      <c r="F49" s="1801"/>
      <c r="G49" s="1801"/>
      <c r="H49" s="1801"/>
      <c r="I49" s="1801"/>
      <c r="J49" s="1801"/>
      <c r="K49" s="2017"/>
      <c r="L49" s="3000"/>
      <c r="N49" s="2995"/>
      <c r="P49" s="3473" t="str">
        <f>A49</f>
        <v>估价对象XX用房的比较价值（楼面单价，元/平方米）</v>
      </c>
      <c r="Q49" s="3474"/>
      <c r="R49" s="3475">
        <f>IF(E1="售价",ROUND(IF(D48="简单平均",AVERAGE(R48:V48),R48*F48+T48*H48+V48*J48),0),ROUND(IF(D48="简单平均",AVERAGE(R48:V48),R48*F48+T48*H48+V48*J48),1))</f>
        <v>26062</v>
      </c>
      <c r="S49" s="3475"/>
      <c r="T49" s="3475"/>
      <c r="U49" s="3475"/>
      <c r="V49" s="3475"/>
      <c r="W49" s="3475"/>
      <c r="X49" s="1790"/>
      <c r="Y49" s="1790"/>
      <c r="Z49" s="1790"/>
      <c r="AA49" s="1790"/>
      <c r="AB49" s="1790"/>
      <c r="AC49" s="1790"/>
    </row>
    <row r="50" spans="1:29">
      <c r="G50" s="3004"/>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f>IF(E47&lt;E48,E48/E47-1,E47/E48-1)</f>
        <v>0.14590518058134694</v>
      </c>
      <c r="F52" s="1808" t="str">
        <f>IF(OR(E52&gt;=0.3,E52&lt;=-0.3),"超过30%","")</f>
        <v/>
      </c>
      <c r="G52" s="1807">
        <f>IF(G47&lt;G48,G48/G47-1,G47/G48-1)</f>
        <v>0.2034441805225653</v>
      </c>
      <c r="H52" s="1808" t="str">
        <f>IF(OR(G52&gt;=0.3,G52&lt;=-0.3),"超过30%","")</f>
        <v/>
      </c>
      <c r="I52" s="1807">
        <f>IF(I47&lt;I48,I48/I47-1,I47/I48-1)</f>
        <v>0.13489073097211746</v>
      </c>
      <c r="J52" s="1808" t="str">
        <f>IF(OR(I52&gt;=0.3,I52&lt;=-0.3),"超过30%","")</f>
        <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f>IF(E48&lt;G48,G48/E48-1,E48/G48-1)</f>
        <v>4.4615993665874987E-2</v>
      </c>
      <c r="F53" s="1808" t="str">
        <f>IF(OR(E53&gt;=0.2,E53&lt;=-0.2),"超过20%","")</f>
        <v/>
      </c>
      <c r="G53" s="1807">
        <f>IF(G48&lt;I48,I48/G48-1,G48/I48-1)</f>
        <v>5.0673000791765732E-2</v>
      </c>
      <c r="H53" s="1808" t="str">
        <f>IF(OR(G53&gt;=0.2,G53&lt;=-0.2),"超过20%","")</f>
        <v/>
      </c>
      <c r="I53" s="1807">
        <f>IF(I48&lt;E48,E48/I48-1,I48/E48-1)</f>
        <v>5.7983097737521749E-3</v>
      </c>
      <c r="J53" s="1808" t="str">
        <f>IF(OR(I53&gt;=0.2,I53&lt;=-0.2),"超过20%","")</f>
        <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f>IF(E47&lt;G47,G47/E47-1,E47/G47-1)</f>
        <v>5.3576743724574882E-3</v>
      </c>
      <c r="F54" s="1808" t="str">
        <f>IF(OR(E54&gt;=0.3,E54&lt;=-0.3),"超过30%","")</f>
        <v/>
      </c>
      <c r="G54" s="1807">
        <f>IF(G47&lt;I47,I47/G47-1,G47/I47-1)</f>
        <v>9.2629482071713287E-3</v>
      </c>
      <c r="H54" s="1808" t="str">
        <f>IF(OR(G54&gt;=0.3,G54&lt;=-0.3),"超过30%","")</f>
        <v/>
      </c>
      <c r="I54" s="1807">
        <f>IF(I47&lt;E47,E47/I47-1,I47/E47-1)</f>
        <v>3.8844621513944855E-3</v>
      </c>
      <c r="J54" s="1808" t="str">
        <f>IF(OR(I54&gt;=0.3,I54&lt;=-0.3),"超过30%","")</f>
        <v/>
      </c>
      <c r="K54" s="3007"/>
      <c r="L54" s="3001"/>
      <c r="P54" s="2479"/>
      <c r="Q54" s="1810"/>
      <c r="R54" s="1810"/>
      <c r="S54" s="1810"/>
      <c r="T54" s="1810"/>
      <c r="U54" s="1810"/>
      <c r="V54" s="1810"/>
      <c r="W54" s="1810"/>
      <c r="X54" s="1810"/>
      <c r="Y54" s="1810"/>
      <c r="Z54" s="1810"/>
      <c r="AA54" s="1810"/>
      <c r="AB54" s="1810"/>
      <c r="AC54" s="1810"/>
    </row>
    <row r="55" spans="1:29" s="1812" customFormat="1">
      <c r="B55" s="3005"/>
      <c r="C55" s="3006"/>
      <c r="K55" s="3007"/>
      <c r="L55" s="3001"/>
      <c r="P55" s="2479"/>
      <c r="Q55" s="1810"/>
      <c r="R55" s="1810"/>
      <c r="S55" s="1810"/>
      <c r="T55" s="1810"/>
      <c r="U55" s="1810"/>
      <c r="V55" s="1810"/>
      <c r="W55" s="1810"/>
      <c r="X55" s="1810"/>
      <c r="Y55" s="1810"/>
      <c r="Z55" s="1810"/>
      <c r="AA55" s="1810"/>
      <c r="AB55" s="1810"/>
      <c r="AC55" s="1810"/>
    </row>
    <row r="56" spans="1:29">
      <c r="B56" s="3005"/>
      <c r="C56" s="3006"/>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3"/>
      <c r="O57" s="3003"/>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v>100</v>
      </c>
      <c r="E59" s="1830"/>
      <c r="F59" s="1830"/>
      <c r="G59" s="1830"/>
      <c r="H59" s="1830"/>
      <c r="I59" s="1830"/>
      <c r="J59" s="1830"/>
      <c r="K59" s="1830"/>
      <c r="L59" s="1830"/>
      <c r="M59" s="1831"/>
      <c r="N59" s="1830"/>
      <c r="O59" s="1831"/>
      <c r="P59" s="1832"/>
    </row>
    <row r="60" spans="1:29" s="1683"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3" customFormat="1" ht="15">
      <c r="A61" s="1838" t="s">
        <v>2260</v>
      </c>
      <c r="B61" s="1828"/>
      <c r="C61" s="1839" t="s">
        <v>2261</v>
      </c>
      <c r="D61" s="409"/>
      <c r="E61" s="409"/>
      <c r="F61" s="409"/>
      <c r="G61" s="409"/>
      <c r="H61" s="409"/>
      <c r="I61" s="409"/>
      <c r="J61" s="409"/>
      <c r="K61" s="409"/>
      <c r="L61" s="409"/>
      <c r="M61" s="1840"/>
      <c r="N61" s="3012"/>
      <c r="O61" s="3012"/>
      <c r="P61" s="1842"/>
      <c r="Q61" s="1820"/>
    </row>
    <row r="62" spans="1:29" s="1683" customFormat="1" ht="15.75" thickBot="1">
      <c r="A62" s="1838"/>
      <c r="B62" s="1828"/>
      <c r="C62" s="1843">
        <v>100</v>
      </c>
      <c r="D62" s="1830"/>
      <c r="E62" s="1830"/>
      <c r="F62" s="1830"/>
      <c r="G62" s="1830"/>
      <c r="H62" s="1830"/>
      <c r="I62" s="1830"/>
      <c r="J62" s="1830"/>
      <c r="K62" s="1830"/>
      <c r="L62" s="1830"/>
      <c r="M62" s="1844"/>
      <c r="N62" s="3012"/>
      <c r="O62" s="3012"/>
      <c r="P62" s="1832"/>
      <c r="Q62" s="1820"/>
    </row>
    <row r="63" spans="1:29">
      <c r="A63" s="1845" t="s">
        <v>2299</v>
      </c>
      <c r="B63" s="1846" t="s">
        <v>2264</v>
      </c>
      <c r="C63" s="1847" t="str">
        <f>C9</f>
        <v>商业</v>
      </c>
      <c r="D63" s="1848"/>
      <c r="E63" s="1848"/>
      <c r="F63" s="1848"/>
      <c r="G63" s="1848"/>
      <c r="H63" s="1848"/>
      <c r="I63" s="1848"/>
      <c r="J63" s="1848"/>
      <c r="K63" s="417"/>
      <c r="L63" s="417"/>
      <c r="M63" s="1849"/>
      <c r="N63" s="3013"/>
      <c r="O63" s="3013"/>
      <c r="P63" s="1851"/>
      <c r="Q63" s="1820"/>
    </row>
    <row r="64" spans="1:29" ht="15.75" thickBot="1">
      <c r="A64" s="1852"/>
      <c r="B64" s="1853"/>
      <c r="C64" s="1854">
        <v>100</v>
      </c>
      <c r="D64" s="1854"/>
      <c r="E64" s="1854"/>
      <c r="F64" s="1854"/>
      <c r="G64" s="1854"/>
      <c r="H64" s="1854"/>
      <c r="I64" s="1854"/>
      <c r="J64" s="1854"/>
      <c r="K64" s="1854"/>
      <c r="L64" s="1854"/>
      <c r="M64" s="1855"/>
      <c r="N64" s="3014"/>
      <c r="O64" s="3014"/>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3"/>
      <c r="O65" s="3013"/>
      <c r="P65" s="1851"/>
      <c r="Q65" s="1820"/>
    </row>
    <row r="66" spans="1:17" ht="15.75" thickBot="1">
      <c r="A66" s="1852"/>
      <c r="B66" s="1860"/>
      <c r="C66" s="1861" t="s">
        <v>36</v>
      </c>
      <c r="D66" s="1861" t="s">
        <v>37</v>
      </c>
      <c r="E66" s="1861" t="s">
        <v>38</v>
      </c>
      <c r="F66" s="1861">
        <v>100</v>
      </c>
      <c r="G66" s="1861">
        <f>F66-$K10</f>
        <v>98</v>
      </c>
      <c r="H66" s="1861">
        <f>G66-$K10</f>
        <v>96</v>
      </c>
      <c r="I66" s="1861">
        <f>H66-$K10</f>
        <v>94</v>
      </c>
      <c r="J66" s="1861"/>
      <c r="K66" s="1861"/>
      <c r="L66" s="1861"/>
      <c r="M66" s="1862"/>
      <c r="N66" s="3014"/>
      <c r="O66" s="3014"/>
      <c r="P66" s="1851"/>
      <c r="Q66" s="1820"/>
    </row>
    <row r="67" spans="1:17" ht="15.75" thickTop="1">
      <c r="A67" s="1852"/>
      <c r="B67" s="1863" t="s">
        <v>2268</v>
      </c>
      <c r="C67" s="1864" t="str">
        <f>C68&amp;"（含）"&amp;"-"&amp;D68</f>
        <v>0（含）-1</v>
      </c>
      <c r="D67" s="1864" t="str">
        <f t="shared" ref="D67:L67" si="17">D68&amp;"（含）"&amp;"-"&amp;E68</f>
        <v>1（含）-2</v>
      </c>
      <c r="E67" s="1864" t="str">
        <f t="shared" si="17"/>
        <v>2（含）-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4"/>
      <c r="O67" s="3014"/>
      <c r="P67" s="1851"/>
      <c r="Q67" s="1820"/>
    </row>
    <row r="68" spans="1:17" ht="15">
      <c r="A68" s="1852"/>
      <c r="B68" s="1865"/>
      <c r="C68" s="1866">
        <v>0</v>
      </c>
      <c r="D68" s="1866">
        <v>1</v>
      </c>
      <c r="E68" s="1866">
        <v>2</v>
      </c>
      <c r="F68" s="1866"/>
      <c r="G68" s="1866"/>
      <c r="H68" s="1866"/>
      <c r="I68" s="1866"/>
      <c r="J68" s="1866"/>
      <c r="K68" s="438"/>
      <c r="L68" s="438"/>
      <c r="M68" s="1867"/>
      <c r="N68" s="3013"/>
      <c r="O68" s="3013"/>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4"/>
      <c r="O69" s="3014"/>
      <c r="P69" s="1851"/>
      <c r="Q69" s="1820"/>
    </row>
    <row r="70" spans="1:17" s="1770" customFormat="1" ht="15.75" thickTop="1">
      <c r="A70" s="1868"/>
      <c r="B70" s="1857">
        <f>B12</f>
        <v>111</v>
      </c>
      <c r="C70" s="468"/>
      <c r="D70" s="468"/>
      <c r="E70" s="468"/>
      <c r="F70" s="468"/>
      <c r="G70" s="468"/>
      <c r="H70" s="443"/>
      <c r="I70" s="443"/>
      <c r="J70" s="443"/>
      <c r="K70" s="443"/>
      <c r="L70" s="443"/>
      <c r="M70" s="1869"/>
      <c r="N70" s="3015"/>
      <c r="O70" s="3015"/>
      <c r="P70" s="1871"/>
      <c r="Q70" s="1872"/>
    </row>
    <row r="71" spans="1:17" s="1770" customFormat="1" ht="15.75" thickBot="1">
      <c r="A71" s="1868"/>
      <c r="B71" s="1860"/>
      <c r="C71" s="1873"/>
      <c r="D71" s="1854"/>
      <c r="E71" s="1854"/>
      <c r="F71" s="1854"/>
      <c r="G71" s="1854"/>
      <c r="H71" s="1854"/>
      <c r="I71" s="1854"/>
      <c r="J71" s="1854"/>
      <c r="K71" s="1854"/>
      <c r="L71" s="1854"/>
      <c r="M71" s="1855"/>
      <c r="N71" s="3014"/>
      <c r="O71" s="3014"/>
      <c r="P71" s="1871"/>
      <c r="Q71" s="1872"/>
    </row>
    <row r="72" spans="1:17" s="1770" customFormat="1" ht="15.75" thickTop="1">
      <c r="A72" s="1868"/>
      <c r="B72" s="1857">
        <f>B13</f>
        <v>111</v>
      </c>
      <c r="C72" s="468"/>
      <c r="D72" s="468"/>
      <c r="E72" s="468"/>
      <c r="F72" s="468"/>
      <c r="G72" s="468"/>
      <c r="H72" s="443"/>
      <c r="I72" s="443"/>
      <c r="J72" s="443"/>
      <c r="K72" s="443"/>
      <c r="L72" s="443"/>
      <c r="M72" s="1869"/>
      <c r="N72" s="3015"/>
      <c r="O72" s="3015"/>
      <c r="P72" s="1874"/>
      <c r="Q72" s="1875"/>
    </row>
    <row r="73" spans="1:17" s="1770" customFormat="1" ht="15.75" thickBot="1">
      <c r="A73" s="1868"/>
      <c r="B73" s="1860"/>
      <c r="C73" s="1873"/>
      <c r="D73" s="1854"/>
      <c r="E73" s="1854"/>
      <c r="F73" s="1854"/>
      <c r="G73" s="1873"/>
      <c r="H73" s="1876"/>
      <c r="I73" s="1876"/>
      <c r="J73" s="1876"/>
      <c r="K73" s="1876"/>
      <c r="L73" s="1876"/>
      <c r="M73" s="1877"/>
      <c r="N73" s="3015"/>
      <c r="O73" s="3015"/>
      <c r="P73" s="1871"/>
      <c r="Q73" s="1872"/>
    </row>
    <row r="74" spans="1:17" s="1770" customFormat="1" ht="15.75" thickTop="1">
      <c r="A74" s="1868"/>
      <c r="B74" s="1863">
        <f>B14</f>
        <v>111</v>
      </c>
      <c r="C74" s="468"/>
      <c r="D74" s="468"/>
      <c r="E74" s="468"/>
      <c r="F74" s="468"/>
      <c r="G74" s="409"/>
      <c r="H74" s="453"/>
      <c r="I74" s="453"/>
      <c r="J74" s="453"/>
      <c r="K74" s="453"/>
      <c r="L74" s="453"/>
      <c r="M74" s="1878"/>
      <c r="N74" s="3015"/>
      <c r="O74" s="3015"/>
      <c r="P74" s="1871"/>
      <c r="Q74" s="1872"/>
    </row>
    <row r="75" spans="1:17" s="1770" customFormat="1" ht="15.75" thickBot="1">
      <c r="A75" s="1879"/>
      <c r="B75" s="1880"/>
      <c r="C75" s="1881"/>
      <c r="D75" s="1881"/>
      <c r="E75" s="1881"/>
      <c r="F75" s="1881"/>
      <c r="G75" s="1881"/>
      <c r="H75" s="1882"/>
      <c r="I75" s="1882"/>
      <c r="J75" s="1882"/>
      <c r="K75" s="1882"/>
      <c r="L75" s="1882"/>
      <c r="M75" s="1883"/>
      <c r="N75" s="3015"/>
      <c r="O75" s="3015"/>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3"/>
      <c r="O76" s="3013"/>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3014"/>
      <c r="O77" s="3014"/>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3"/>
      <c r="O78" s="3013"/>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3014"/>
      <c r="O79" s="3014"/>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3"/>
      <c r="O80" s="3013"/>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3014"/>
      <c r="O81" s="3014"/>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4"/>
      <c r="O82" s="3014"/>
      <c r="P82" s="1851"/>
      <c r="Q82" s="1820"/>
    </row>
    <row r="83" spans="1:17" ht="15.75" thickBot="1">
      <c r="A83" s="1852"/>
      <c r="B83" s="1863"/>
      <c r="C83" s="1861">
        <v>100</v>
      </c>
      <c r="D83" s="1861">
        <f>C83-$K21</f>
        <v>98</v>
      </c>
      <c r="E83" s="1861">
        <f>D83-$K21</f>
        <v>96</v>
      </c>
      <c r="F83" s="1861">
        <f>E83-$K21</f>
        <v>94</v>
      </c>
      <c r="G83" s="1861">
        <f>F83-$K21</f>
        <v>92</v>
      </c>
      <c r="H83" s="1887"/>
      <c r="I83" s="1887"/>
      <c r="J83" s="1887"/>
      <c r="K83" s="1887"/>
      <c r="L83" s="1887"/>
      <c r="M83" s="1734"/>
      <c r="N83" s="3014"/>
      <c r="O83" s="3014"/>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3"/>
      <c r="O84" s="3013"/>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3014"/>
      <c r="O85" s="3014"/>
      <c r="P85" s="1851"/>
      <c r="Q85" s="1820"/>
    </row>
    <row r="86" spans="1:17" s="1683" customFormat="1" ht="15.75" thickTop="1">
      <c r="A86" s="1888"/>
      <c r="B86" s="1857" t="s">
        <v>2377</v>
      </c>
      <c r="C86" s="3159" t="s">
        <v>2957</v>
      </c>
      <c r="D86" s="3159" t="s">
        <v>2958</v>
      </c>
      <c r="E86" s="3159" t="s">
        <v>2960</v>
      </c>
      <c r="F86" s="3159" t="s">
        <v>2961</v>
      </c>
      <c r="G86" s="468"/>
      <c r="H86" s="468"/>
      <c r="I86" s="468"/>
      <c r="J86" s="468"/>
      <c r="K86" s="468"/>
      <c r="L86" s="468"/>
      <c r="M86" s="1889"/>
      <c r="N86" s="3012"/>
      <c r="O86" s="3012"/>
      <c r="P86" s="1851"/>
      <c r="Q86" s="1820"/>
    </row>
    <row r="87" spans="1:17" s="1683" customFormat="1" ht="15.75" thickBot="1">
      <c r="A87" s="1888"/>
      <c r="B87" s="1860"/>
      <c r="C87" s="1890">
        <v>100</v>
      </c>
      <c r="D87" s="1861">
        <f t="shared" ref="D87:M87" si="19">C87-$K25</f>
        <v>97</v>
      </c>
      <c r="E87" s="1861">
        <f t="shared" si="19"/>
        <v>94</v>
      </c>
      <c r="F87" s="1861">
        <f t="shared" si="19"/>
        <v>91</v>
      </c>
      <c r="G87" s="1861">
        <f t="shared" si="19"/>
        <v>88</v>
      </c>
      <c r="H87" s="1861">
        <f t="shared" si="19"/>
        <v>85</v>
      </c>
      <c r="I87" s="1861">
        <f t="shared" si="19"/>
        <v>82</v>
      </c>
      <c r="J87" s="1861">
        <f t="shared" si="19"/>
        <v>79</v>
      </c>
      <c r="K87" s="1861">
        <f t="shared" si="19"/>
        <v>76</v>
      </c>
      <c r="L87" s="1861">
        <f t="shared" si="19"/>
        <v>73</v>
      </c>
      <c r="M87" s="1861">
        <f t="shared" si="19"/>
        <v>70</v>
      </c>
      <c r="N87" s="3014"/>
      <c r="O87" s="3014"/>
      <c r="P87" s="1851"/>
      <c r="Q87" s="1820"/>
    </row>
    <row r="88" spans="1:17" s="1683" customFormat="1" ht="15.75" thickTop="1">
      <c r="A88" s="1888"/>
      <c r="B88" s="1857" t="str">
        <f>B26</f>
        <v>平面位置/可视性</v>
      </c>
      <c r="C88" s="3169" t="s">
        <v>2308</v>
      </c>
      <c r="D88" s="3169" t="s">
        <v>2309</v>
      </c>
      <c r="E88" s="3169" t="s">
        <v>2310</v>
      </c>
      <c r="F88" s="3169" t="s">
        <v>2311</v>
      </c>
      <c r="G88" s="3169" t="s">
        <v>2312</v>
      </c>
      <c r="H88" s="468"/>
      <c r="I88" s="468"/>
      <c r="J88" s="468"/>
      <c r="K88" s="468"/>
      <c r="L88" s="468"/>
      <c r="M88" s="1889"/>
      <c r="N88" s="3012"/>
      <c r="O88" s="3012"/>
      <c r="P88" s="1851"/>
      <c r="Q88" s="1820"/>
    </row>
    <row r="89" spans="1:17" s="1683" customFormat="1" ht="15.75" thickBot="1">
      <c r="A89" s="1888"/>
      <c r="B89" s="1860"/>
      <c r="C89" s="1873">
        <v>100</v>
      </c>
      <c r="D89" s="1854">
        <v>97</v>
      </c>
      <c r="E89" s="1873">
        <v>94</v>
      </c>
      <c r="F89" s="1854">
        <v>91</v>
      </c>
      <c r="G89" s="1873">
        <v>88</v>
      </c>
      <c r="H89" s="1854"/>
      <c r="I89" s="1854"/>
      <c r="J89" s="1854"/>
      <c r="K89" s="1854"/>
      <c r="L89" s="1854"/>
      <c r="M89" s="1854"/>
      <c r="N89" s="3014"/>
      <c r="O89" s="3014"/>
      <c r="P89" s="1851"/>
      <c r="Q89" s="1820"/>
    </row>
    <row r="90" spans="1:17" s="1770" customFormat="1" ht="15.75" thickTop="1">
      <c r="A90" s="1868"/>
      <c r="B90" s="1857" t="str">
        <f>B27</f>
        <v>人流量</v>
      </c>
      <c r="C90" s="3170" t="s">
        <v>2955</v>
      </c>
      <c r="D90" s="3170" t="s">
        <v>2956</v>
      </c>
      <c r="E90" s="3169" t="s">
        <v>2310</v>
      </c>
      <c r="F90" s="3169" t="s">
        <v>2311</v>
      </c>
      <c r="G90" s="3169" t="s">
        <v>2312</v>
      </c>
      <c r="H90" s="443"/>
      <c r="I90" s="443"/>
      <c r="J90" s="443"/>
      <c r="K90" s="443"/>
      <c r="L90" s="443"/>
      <c r="M90" s="1869"/>
      <c r="N90" s="3015"/>
      <c r="O90" s="3015"/>
      <c r="P90" s="1871"/>
      <c r="Q90" s="1872"/>
    </row>
    <row r="91" spans="1:17" s="1770" customFormat="1" ht="15.75" thickBot="1">
      <c r="A91" s="1868"/>
      <c r="B91" s="1860"/>
      <c r="C91" s="1890">
        <v>100</v>
      </c>
      <c r="D91" s="1861">
        <f>C91-$K27</f>
        <v>99</v>
      </c>
      <c r="E91" s="1861">
        <f t="shared" ref="E91:M91" si="20">D91-$K27</f>
        <v>98</v>
      </c>
      <c r="F91" s="1861">
        <f t="shared" si="20"/>
        <v>97</v>
      </c>
      <c r="G91" s="1861">
        <f t="shared" si="20"/>
        <v>96</v>
      </c>
      <c r="H91" s="1861">
        <f t="shared" si="20"/>
        <v>95</v>
      </c>
      <c r="I91" s="1861">
        <f t="shared" si="20"/>
        <v>94</v>
      </c>
      <c r="J91" s="1861">
        <f t="shared" si="20"/>
        <v>93</v>
      </c>
      <c r="K91" s="1861">
        <f t="shared" si="20"/>
        <v>92</v>
      </c>
      <c r="L91" s="1861">
        <f t="shared" si="20"/>
        <v>91</v>
      </c>
      <c r="M91" s="1861">
        <f t="shared" si="20"/>
        <v>90</v>
      </c>
      <c r="N91" s="3015"/>
      <c r="O91" s="3015"/>
      <c r="P91" s="1871"/>
      <c r="Q91" s="1872"/>
    </row>
    <row r="92" spans="1:17" ht="15.75" thickTop="1">
      <c r="A92" s="1852"/>
      <c r="B92" s="1857" t="str">
        <f>B28</f>
        <v>楼层</v>
      </c>
      <c r="C92" s="468" t="s">
        <v>2954</v>
      </c>
      <c r="D92" s="468" t="s">
        <v>2976</v>
      </c>
      <c r="E92" s="468" t="s">
        <v>2977</v>
      </c>
      <c r="F92" s="468" t="s">
        <v>2978</v>
      </c>
      <c r="G92" s="468"/>
      <c r="H92" s="468"/>
      <c r="I92" s="468"/>
      <c r="J92" s="468"/>
      <c r="K92" s="468"/>
      <c r="L92" s="468"/>
      <c r="M92" s="1889"/>
      <c r="N92" s="3013"/>
      <c r="O92" s="3013"/>
      <c r="P92" s="1851"/>
      <c r="Q92" s="1820"/>
    </row>
    <row r="93" spans="1:17" ht="15.75" thickBot="1">
      <c r="A93" s="1852"/>
      <c r="B93" s="1860"/>
      <c r="C93" s="1854">
        <v>100</v>
      </c>
      <c r="D93" s="1854">
        <v>95</v>
      </c>
      <c r="E93" s="1854">
        <v>90</v>
      </c>
      <c r="F93" s="1854">
        <v>85</v>
      </c>
      <c r="G93" s="1854"/>
      <c r="H93" s="1854"/>
      <c r="I93" s="1854"/>
      <c r="J93" s="1854"/>
      <c r="K93" s="1854"/>
      <c r="L93" s="1854"/>
      <c r="M93" s="1855"/>
      <c r="N93" s="3014"/>
      <c r="O93" s="3014"/>
      <c r="P93" s="1851"/>
      <c r="Q93" s="1820"/>
    </row>
    <row r="94" spans="1:17" ht="15.75" thickTop="1">
      <c r="A94" s="1852"/>
      <c r="B94" s="1857">
        <f>B29</f>
        <v>111</v>
      </c>
      <c r="C94" s="468"/>
      <c r="D94" s="468"/>
      <c r="E94" s="468"/>
      <c r="F94" s="468"/>
      <c r="G94" s="1576"/>
      <c r="H94" s="1576"/>
      <c r="I94" s="1576"/>
      <c r="J94" s="1576"/>
      <c r="K94" s="473"/>
      <c r="L94" s="473"/>
      <c r="M94" s="1892"/>
      <c r="N94" s="3013"/>
      <c r="O94" s="3013"/>
      <c r="P94" s="1851"/>
      <c r="Q94" s="1820"/>
    </row>
    <row r="95" spans="1:17" ht="15.75" thickBot="1">
      <c r="A95" s="1852"/>
      <c r="B95" s="1860"/>
      <c r="C95" s="1873"/>
      <c r="D95" s="1854"/>
      <c r="E95" s="1854"/>
      <c r="F95" s="1854"/>
      <c r="G95" s="1854"/>
      <c r="H95" s="1854"/>
      <c r="I95" s="1854"/>
      <c r="J95" s="1854"/>
      <c r="K95" s="1854"/>
      <c r="L95" s="1854"/>
      <c r="M95" s="1855"/>
      <c r="N95" s="3014"/>
      <c r="O95" s="3014"/>
      <c r="P95" s="1851"/>
      <c r="Q95" s="1820"/>
    </row>
    <row r="96" spans="1:17" ht="15.75" thickTop="1">
      <c r="A96" s="1852"/>
      <c r="B96" s="1857">
        <f>B30</f>
        <v>111</v>
      </c>
      <c r="C96" s="468"/>
      <c r="D96" s="468"/>
      <c r="E96" s="468"/>
      <c r="F96" s="468"/>
      <c r="G96" s="1576"/>
      <c r="H96" s="1576"/>
      <c r="I96" s="1576"/>
      <c r="J96" s="1576"/>
      <c r="K96" s="473"/>
      <c r="L96" s="473"/>
      <c r="M96" s="1892"/>
      <c r="N96" s="3013"/>
      <c r="O96" s="3013"/>
      <c r="P96" s="1851"/>
      <c r="Q96" s="1820"/>
    </row>
    <row r="97" spans="1:17" ht="15.75" thickBot="1">
      <c r="A97" s="1852"/>
      <c r="B97" s="1860"/>
      <c r="C97" s="1873"/>
      <c r="D97" s="1854"/>
      <c r="E97" s="1854"/>
      <c r="F97" s="1854"/>
      <c r="G97" s="1854"/>
      <c r="H97" s="1854"/>
      <c r="I97" s="1854"/>
      <c r="J97" s="1854"/>
      <c r="K97" s="1854"/>
      <c r="L97" s="1854"/>
      <c r="M97" s="1855"/>
      <c r="N97" s="3014"/>
      <c r="O97" s="3014"/>
      <c r="P97" s="1851"/>
      <c r="Q97" s="1820"/>
    </row>
    <row r="98" spans="1:17" ht="15.75" thickTop="1">
      <c r="A98" s="1852"/>
      <c r="B98" s="1863">
        <f>B31</f>
        <v>111</v>
      </c>
      <c r="C98" s="468"/>
      <c r="D98" s="468"/>
      <c r="E98" s="468"/>
      <c r="F98" s="468"/>
      <c r="G98" s="1893"/>
      <c r="H98" s="1893"/>
      <c r="I98" s="1893"/>
      <c r="J98" s="1893"/>
      <c r="K98" s="477"/>
      <c r="L98" s="477"/>
      <c r="M98" s="1894"/>
      <c r="N98" s="3013"/>
      <c r="O98" s="3013"/>
      <c r="P98" s="1851"/>
      <c r="Q98" s="1820"/>
    </row>
    <row r="99" spans="1:17" ht="15.75" thickBot="1">
      <c r="A99" s="1895"/>
      <c r="B99" s="1880"/>
      <c r="C99" s="1881"/>
      <c r="D99" s="1881"/>
      <c r="E99" s="1881"/>
      <c r="F99" s="1881"/>
      <c r="G99" s="1896"/>
      <c r="H99" s="1896"/>
      <c r="I99" s="1896"/>
      <c r="J99" s="1896"/>
      <c r="K99" s="1896"/>
      <c r="L99" s="1896"/>
      <c r="M99" s="1897"/>
      <c r="N99" s="3014"/>
      <c r="O99" s="3014"/>
      <c r="P99" s="1851"/>
      <c r="Q99" s="1820"/>
    </row>
    <row r="100" spans="1:17">
      <c r="A100" s="1845" t="s">
        <v>2274</v>
      </c>
      <c r="B100" s="1846" t="s">
        <v>2378</v>
      </c>
      <c r="C100" s="3167" t="s">
        <v>2940</v>
      </c>
      <c r="D100" s="3167" t="s">
        <v>2941</v>
      </c>
      <c r="E100" s="3167" t="s">
        <v>2943</v>
      </c>
      <c r="F100" s="3167" t="s">
        <v>2944</v>
      </c>
      <c r="G100" s="3167" t="s">
        <v>2930</v>
      </c>
      <c r="H100" s="1848"/>
      <c r="I100" s="1848"/>
      <c r="J100" s="1848"/>
      <c r="K100" s="417"/>
      <c r="L100" s="417"/>
      <c r="M100" s="1849"/>
      <c r="N100" s="3013"/>
      <c r="O100" s="3013"/>
      <c r="P100" s="1851"/>
      <c r="Q100" s="1820"/>
    </row>
    <row r="101" spans="1:17" ht="15.75" thickBot="1">
      <c r="A101" s="1852"/>
      <c r="B101" s="1860"/>
      <c r="C101" s="1861">
        <v>100</v>
      </c>
      <c r="D101" s="1861">
        <f t="shared" ref="D101:M101" si="21">C101-$K32</f>
        <v>97</v>
      </c>
      <c r="E101" s="1861">
        <f t="shared" si="21"/>
        <v>94</v>
      </c>
      <c r="F101" s="1861">
        <f t="shared" si="21"/>
        <v>91</v>
      </c>
      <c r="G101" s="1861">
        <f t="shared" si="21"/>
        <v>88</v>
      </c>
      <c r="H101" s="1861">
        <f t="shared" si="21"/>
        <v>85</v>
      </c>
      <c r="I101" s="1861">
        <f t="shared" si="21"/>
        <v>82</v>
      </c>
      <c r="J101" s="1861">
        <f t="shared" si="21"/>
        <v>79</v>
      </c>
      <c r="K101" s="1861">
        <f t="shared" si="21"/>
        <v>76</v>
      </c>
      <c r="L101" s="1861">
        <f t="shared" si="21"/>
        <v>73</v>
      </c>
      <c r="M101" s="1862">
        <f t="shared" si="21"/>
        <v>70</v>
      </c>
      <c r="N101" s="3014"/>
      <c r="O101" s="3014"/>
      <c r="P101" s="1851"/>
      <c r="Q101" s="1820"/>
    </row>
    <row r="102" spans="1:17" ht="15.75" thickTop="1">
      <c r="A102" s="1852"/>
      <c r="B102" s="1857" t="s">
        <v>2324</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500(含)-600</v>
      </c>
      <c r="I102" s="579" t="str">
        <f t="shared" si="22"/>
        <v>600(含)-</v>
      </c>
      <c r="J102" s="579" t="str">
        <f t="shared" si="22"/>
        <v>(含)-</v>
      </c>
      <c r="K102" s="579" t="str">
        <f t="shared" si="22"/>
        <v>(含)-</v>
      </c>
      <c r="L102" s="579" t="str">
        <f t="shared" si="22"/>
        <v>(含)-</v>
      </c>
      <c r="M102" s="2059" t="str">
        <f>M103&amp;"(含)"&amp;"-"&amp;P103</f>
        <v>(含)-</v>
      </c>
      <c r="N102" s="3012"/>
      <c r="O102" s="3012"/>
      <c r="P102" s="1851"/>
      <c r="Q102" s="1820"/>
    </row>
    <row r="103" spans="1:17" s="1770" customFormat="1">
      <c r="A103" s="1898"/>
      <c r="B103" s="1899"/>
      <c r="C103" s="1900">
        <v>0</v>
      </c>
      <c r="D103" s="1900">
        <v>100</v>
      </c>
      <c r="E103" s="1900">
        <v>200</v>
      </c>
      <c r="F103" s="1900">
        <v>300</v>
      </c>
      <c r="G103" s="1900">
        <v>400</v>
      </c>
      <c r="H103" s="1900">
        <v>500</v>
      </c>
      <c r="I103" s="1900">
        <v>600</v>
      </c>
      <c r="J103" s="485"/>
      <c r="K103" s="485"/>
      <c r="L103" s="485"/>
      <c r="M103" s="1901"/>
      <c r="N103" s="3015"/>
      <c r="O103" s="3015"/>
      <c r="P103" s="1871"/>
      <c r="Q103" s="1872"/>
    </row>
    <row r="104" spans="1:17" s="1770" customFormat="1" ht="15.75" thickBot="1">
      <c r="A104" s="1868"/>
      <c r="B104" s="1860"/>
      <c r="C104" s="1873">
        <v>100</v>
      </c>
      <c r="D104" s="1854">
        <v>99</v>
      </c>
      <c r="E104" s="1873">
        <v>98</v>
      </c>
      <c r="F104" s="1854">
        <v>97</v>
      </c>
      <c r="G104" s="1873">
        <v>96</v>
      </c>
      <c r="H104" s="1854">
        <v>95</v>
      </c>
      <c r="I104" s="1873">
        <v>94</v>
      </c>
      <c r="J104" s="1854"/>
      <c r="K104" s="1854"/>
      <c r="L104" s="1854"/>
      <c r="M104" s="1855"/>
      <c r="N104" s="3014"/>
      <c r="O104" s="3014"/>
      <c r="P104" s="1871"/>
      <c r="Q104" s="1872"/>
    </row>
    <row r="105" spans="1:17" ht="15" thickTop="1">
      <c r="A105" s="1902"/>
      <c r="B105" s="1857" t="s">
        <v>2325</v>
      </c>
      <c r="C105" s="3159" t="s">
        <v>2970</v>
      </c>
      <c r="D105" s="3159" t="s">
        <v>2968</v>
      </c>
      <c r="E105" s="1576"/>
      <c r="F105" s="1576"/>
      <c r="G105" s="1576"/>
      <c r="H105" s="1576"/>
      <c r="I105" s="1576"/>
      <c r="J105" s="1576"/>
      <c r="K105" s="473"/>
      <c r="L105" s="473"/>
      <c r="M105" s="1892"/>
      <c r="N105" s="3013"/>
      <c r="O105" s="3013"/>
      <c r="P105" s="1851"/>
      <c r="Q105" s="1820"/>
    </row>
    <row r="106" spans="1:17" ht="15.75" thickBot="1">
      <c r="A106" s="1852"/>
      <c r="B106" s="1860"/>
      <c r="C106" s="1861">
        <v>100</v>
      </c>
      <c r="D106" s="1861">
        <f t="shared" ref="D106:M106" si="23">C106-$K34</f>
        <v>99</v>
      </c>
      <c r="E106" s="1861">
        <f t="shared" si="23"/>
        <v>98</v>
      </c>
      <c r="F106" s="1861">
        <f t="shared" si="23"/>
        <v>97</v>
      </c>
      <c r="G106" s="1861">
        <f t="shared" si="23"/>
        <v>96</v>
      </c>
      <c r="H106" s="1861">
        <f t="shared" si="23"/>
        <v>95</v>
      </c>
      <c r="I106" s="1861">
        <f t="shared" si="23"/>
        <v>94</v>
      </c>
      <c r="J106" s="1861">
        <f t="shared" si="23"/>
        <v>93</v>
      </c>
      <c r="K106" s="1861">
        <f t="shared" si="23"/>
        <v>92</v>
      </c>
      <c r="L106" s="1861">
        <f t="shared" si="23"/>
        <v>91</v>
      </c>
      <c r="M106" s="1862">
        <f t="shared" si="23"/>
        <v>90</v>
      </c>
      <c r="N106" s="3014"/>
      <c r="O106" s="3014"/>
      <c r="P106" s="1851"/>
      <c r="Q106" s="1820"/>
    </row>
    <row r="107" spans="1:17" ht="15" thickTop="1">
      <c r="A107" s="1902"/>
      <c r="B107" s="1857" t="s">
        <v>2327</v>
      </c>
      <c r="C107" s="3159" t="s">
        <v>2945</v>
      </c>
      <c r="D107" s="3159" t="s">
        <v>2933</v>
      </c>
      <c r="E107" s="3159" t="s">
        <v>2946</v>
      </c>
      <c r="F107" s="3168" t="s">
        <v>2947</v>
      </c>
      <c r="G107" s="1576"/>
      <c r="H107" s="1576"/>
      <c r="I107" s="1576"/>
      <c r="J107" s="1576"/>
      <c r="K107" s="473"/>
      <c r="L107" s="473"/>
      <c r="M107" s="1892"/>
      <c r="N107" s="3013"/>
      <c r="O107" s="3013"/>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4"/>
      <c r="O108" s="3014"/>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3"/>
      <c r="O109" s="3013"/>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3"/>
      <c r="O110" s="3013"/>
      <c r="P110" s="1851"/>
      <c r="Q110" s="1820"/>
    </row>
    <row r="111" spans="1:17" ht="15.75" thickBot="1">
      <c r="A111" s="1852"/>
      <c r="B111" s="1860"/>
      <c r="C111" s="1890">
        <v>100</v>
      </c>
      <c r="D111" s="1861">
        <f>C111+$K36</f>
        <v>102</v>
      </c>
      <c r="E111" s="1861">
        <f t="shared" ref="E111:M111" si="25">D111+$K36</f>
        <v>104</v>
      </c>
      <c r="F111" s="1861">
        <f t="shared" si="25"/>
        <v>106</v>
      </c>
      <c r="G111" s="1861">
        <f t="shared" si="25"/>
        <v>108</v>
      </c>
      <c r="H111" s="1861">
        <f t="shared" si="25"/>
        <v>110</v>
      </c>
      <c r="I111" s="1861">
        <f t="shared" si="25"/>
        <v>112</v>
      </c>
      <c r="J111" s="1861">
        <f t="shared" si="25"/>
        <v>114</v>
      </c>
      <c r="K111" s="1861">
        <f t="shared" si="25"/>
        <v>116</v>
      </c>
      <c r="L111" s="1861">
        <f t="shared" si="25"/>
        <v>118</v>
      </c>
      <c r="M111" s="1861">
        <f t="shared" si="25"/>
        <v>120</v>
      </c>
      <c r="N111" s="3014"/>
      <c r="O111" s="3014"/>
      <c r="P111" s="1851"/>
      <c r="Q111" s="1820"/>
    </row>
    <row r="112" spans="1:17" s="1770" customFormat="1" ht="15" thickTop="1">
      <c r="A112" s="1898"/>
      <c r="B112" s="1857" t="s">
        <v>2330</v>
      </c>
      <c r="C112" s="3159" t="s">
        <v>2949</v>
      </c>
      <c r="D112" s="3159" t="s">
        <v>2950</v>
      </c>
      <c r="E112" s="3159" t="s">
        <v>2951</v>
      </c>
      <c r="F112" s="468"/>
      <c r="G112" s="468"/>
      <c r="H112" s="1576"/>
      <c r="I112" s="1576"/>
      <c r="J112" s="1576"/>
      <c r="K112" s="473"/>
      <c r="L112" s="473"/>
      <c r="M112" s="1892"/>
      <c r="N112" s="3015"/>
      <c r="O112" s="3015"/>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5"/>
      <c r="O113" s="3015"/>
      <c r="P113" s="1871"/>
      <c r="Q113" s="1872"/>
    </row>
    <row r="114" spans="1:17" ht="15" thickTop="1">
      <c r="A114" s="1902"/>
      <c r="B114" s="1857" t="s">
        <v>2379</v>
      </c>
      <c r="C114" s="3159" t="s">
        <v>2939</v>
      </c>
      <c r="D114" s="3159" t="s">
        <v>2931</v>
      </c>
      <c r="E114" s="1576"/>
      <c r="F114" s="1576"/>
      <c r="G114" s="1576"/>
      <c r="H114" s="1576"/>
      <c r="I114" s="1576"/>
      <c r="J114" s="1576"/>
      <c r="K114" s="473"/>
      <c r="L114" s="473"/>
      <c r="M114" s="1892"/>
      <c r="N114" s="3013"/>
      <c r="O114" s="3013"/>
      <c r="P114" s="1851"/>
      <c r="Q114" s="1820"/>
    </row>
    <row r="115" spans="1:17" ht="15.75" thickBot="1">
      <c r="A115" s="1852"/>
      <c r="B115" s="1860"/>
      <c r="C115" s="1861">
        <v>100</v>
      </c>
      <c r="D115" s="1861">
        <f t="shared" ref="D115:M115" si="27">C115-$K38</f>
        <v>98</v>
      </c>
      <c r="E115" s="1861">
        <f t="shared" si="27"/>
        <v>96</v>
      </c>
      <c r="F115" s="1861">
        <f t="shared" si="27"/>
        <v>94</v>
      </c>
      <c r="G115" s="1861">
        <f t="shared" si="27"/>
        <v>92</v>
      </c>
      <c r="H115" s="1861">
        <f t="shared" si="27"/>
        <v>90</v>
      </c>
      <c r="I115" s="1861">
        <f t="shared" si="27"/>
        <v>88</v>
      </c>
      <c r="J115" s="1861">
        <f t="shared" si="27"/>
        <v>86</v>
      </c>
      <c r="K115" s="1861">
        <f t="shared" si="27"/>
        <v>84</v>
      </c>
      <c r="L115" s="1861">
        <f t="shared" si="27"/>
        <v>82</v>
      </c>
      <c r="M115" s="1862">
        <f t="shared" si="27"/>
        <v>80</v>
      </c>
      <c r="N115" s="3014"/>
      <c r="O115" s="3014"/>
      <c r="P115" s="1851"/>
      <c r="Q115" s="1820"/>
    </row>
    <row r="116" spans="1:17" ht="15" thickTop="1">
      <c r="A116" s="1902"/>
      <c r="B116" s="1857" t="s">
        <v>2380</v>
      </c>
      <c r="C116" s="3159" t="s">
        <v>2935</v>
      </c>
      <c r="D116" s="3159" t="s">
        <v>2952</v>
      </c>
      <c r="E116" s="468"/>
      <c r="F116" s="468"/>
      <c r="G116" s="468"/>
      <c r="H116" s="1576"/>
      <c r="I116" s="1576"/>
      <c r="J116" s="1576"/>
      <c r="K116" s="473"/>
      <c r="L116" s="473"/>
      <c r="M116" s="1892"/>
      <c r="N116" s="3013"/>
      <c r="O116" s="3013"/>
      <c r="P116" s="1851"/>
      <c r="Q116" s="1820"/>
    </row>
    <row r="117" spans="1:17" ht="15.75" thickBot="1">
      <c r="A117" s="1852"/>
      <c r="B117" s="1860"/>
      <c r="C117" s="1861">
        <v>100</v>
      </c>
      <c r="D117" s="1861">
        <f>C117-$K39</f>
        <v>98</v>
      </c>
      <c r="E117" s="1861">
        <f>D117-$K39</f>
        <v>96</v>
      </c>
      <c r="F117" s="1861">
        <f>E117-$K39</f>
        <v>94</v>
      </c>
      <c r="G117" s="1861">
        <f>F117-$K39</f>
        <v>92</v>
      </c>
      <c r="H117" s="1861"/>
      <c r="I117" s="1861"/>
      <c r="J117" s="1861"/>
      <c r="K117" s="1861"/>
      <c r="L117" s="1861"/>
      <c r="M117" s="1862"/>
      <c r="N117" s="3014"/>
      <c r="O117" s="3014"/>
      <c r="P117" s="1851"/>
      <c r="Q117" s="1820"/>
    </row>
    <row r="118" spans="1:17" ht="15" thickTop="1">
      <c r="A118" s="1902"/>
      <c r="B118" s="1857" t="s">
        <v>2381</v>
      </c>
      <c r="C118" s="2484"/>
      <c r="D118" s="2484"/>
      <c r="E118" s="2484"/>
      <c r="F118" s="2484"/>
      <c r="G118" s="2484"/>
      <c r="H118" s="443"/>
      <c r="I118" s="443"/>
      <c r="J118" s="443"/>
      <c r="K118" s="443"/>
      <c r="L118" s="443"/>
      <c r="M118" s="1869"/>
      <c r="N118" s="3013"/>
      <c r="O118" s="3013"/>
      <c r="P118" s="1851"/>
      <c r="Q118" s="1820"/>
    </row>
    <row r="119" spans="1:17" ht="15.75" thickBot="1">
      <c r="A119" s="1852"/>
      <c r="B119" s="1860"/>
      <c r="C119" s="1873"/>
      <c r="D119" s="1854"/>
      <c r="E119" s="1854"/>
      <c r="F119" s="1854"/>
      <c r="G119" s="1854"/>
      <c r="H119" s="1854"/>
      <c r="I119" s="1854"/>
      <c r="J119" s="1854"/>
      <c r="K119" s="1854"/>
      <c r="L119" s="1854"/>
      <c r="M119" s="1855"/>
      <c r="N119" s="3014"/>
      <c r="O119" s="3014"/>
      <c r="P119" s="1851"/>
      <c r="Q119" s="1820"/>
    </row>
    <row r="120" spans="1:17" s="1770" customFormat="1" ht="15" thickTop="1">
      <c r="A120" s="1898"/>
      <c r="B120" s="1857" t="s">
        <v>2382</v>
      </c>
      <c r="C120" s="3168" t="s">
        <v>2953</v>
      </c>
      <c r="D120" s="1576"/>
      <c r="E120" s="1576"/>
      <c r="F120" s="1576"/>
      <c r="G120" s="443"/>
      <c r="H120" s="443"/>
      <c r="I120" s="443"/>
      <c r="J120" s="443"/>
      <c r="K120" s="443"/>
      <c r="L120" s="443"/>
      <c r="M120" s="1869"/>
      <c r="N120" s="3015"/>
      <c r="O120" s="3015"/>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5"/>
      <c r="O121" s="3015"/>
      <c r="P121" s="1871"/>
      <c r="Q121" s="1872"/>
    </row>
    <row r="122" spans="1:17" ht="15" thickTop="1">
      <c r="A122" s="1902"/>
      <c r="B122" s="1857" t="s">
        <v>2332</v>
      </c>
      <c r="C122" s="3159" t="s">
        <v>2945</v>
      </c>
      <c r="D122" s="3159" t="s">
        <v>2933</v>
      </c>
      <c r="E122" s="3159" t="s">
        <v>2946</v>
      </c>
      <c r="F122" s="3168" t="s">
        <v>2947</v>
      </c>
      <c r="G122" s="1576"/>
      <c r="H122" s="1576"/>
      <c r="I122" s="1576"/>
      <c r="J122" s="1576"/>
      <c r="K122" s="473"/>
      <c r="L122" s="473"/>
      <c r="M122" s="1892"/>
      <c r="N122" s="3013"/>
      <c r="O122" s="3013"/>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2">
        <f t="shared" si="29"/>
        <v>80</v>
      </c>
      <c r="N123" s="3014"/>
      <c r="O123" s="3014"/>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3"/>
      <c r="O124" s="3013"/>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4"/>
      <c r="O125" s="3014"/>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5"/>
      <c r="O126" s="3015"/>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5"/>
      <c r="O127" s="3015"/>
      <c r="P127" s="1871"/>
      <c r="Q127" s="1872"/>
    </row>
    <row r="128" spans="1:17" ht="15" thickTop="1">
      <c r="A128" s="1902"/>
      <c r="B128" s="1857">
        <f>B45</f>
        <v>111</v>
      </c>
      <c r="C128" s="468"/>
      <c r="D128" s="468"/>
      <c r="E128" s="468"/>
      <c r="F128" s="468"/>
      <c r="G128" s="1576"/>
      <c r="H128" s="1576"/>
      <c r="I128" s="1576"/>
      <c r="J128" s="1576"/>
      <c r="K128" s="473"/>
      <c r="L128" s="473"/>
      <c r="M128" s="1892"/>
      <c r="N128" s="3013"/>
      <c r="O128" s="3013"/>
      <c r="P128" s="1851"/>
      <c r="Q128" s="1820"/>
    </row>
    <row r="129" spans="1:17" ht="15.75" thickBot="1">
      <c r="A129" s="1852"/>
      <c r="B129" s="1860"/>
      <c r="C129" s="1873"/>
      <c r="D129" s="1854"/>
      <c r="E129" s="1854"/>
      <c r="F129" s="1854"/>
      <c r="G129" s="1854"/>
      <c r="H129" s="1854"/>
      <c r="I129" s="1854"/>
      <c r="J129" s="1854"/>
      <c r="K129" s="1854"/>
      <c r="L129" s="1854"/>
      <c r="M129" s="1855"/>
      <c r="N129" s="3014"/>
      <c r="O129" s="3014"/>
      <c r="P129" s="1851"/>
      <c r="Q129" s="1820"/>
    </row>
    <row r="130" spans="1:17" ht="15" thickTop="1">
      <c r="A130" s="1902"/>
      <c r="B130" s="1863">
        <f>B46</f>
        <v>111</v>
      </c>
      <c r="C130" s="468"/>
      <c r="D130" s="468"/>
      <c r="E130" s="468"/>
      <c r="F130" s="468"/>
      <c r="G130" s="1893"/>
      <c r="H130" s="1893"/>
      <c r="I130" s="1893"/>
      <c r="J130" s="1893"/>
      <c r="K130" s="409"/>
      <c r="L130" s="409"/>
      <c r="M130" s="1894"/>
      <c r="N130" s="3013"/>
      <c r="O130" s="3013"/>
      <c r="P130" s="1851"/>
      <c r="Q130" s="1820"/>
    </row>
    <row r="131" spans="1:17" ht="15.75" thickBot="1">
      <c r="A131" s="1895"/>
      <c r="B131" s="1880"/>
      <c r="C131" s="1881"/>
      <c r="D131" s="1881"/>
      <c r="E131" s="1881"/>
      <c r="F131" s="1881"/>
      <c r="G131" s="1896"/>
      <c r="H131" s="1896"/>
      <c r="I131" s="1896"/>
      <c r="J131" s="1896"/>
      <c r="K131" s="1896"/>
      <c r="L131" s="1896"/>
      <c r="M131" s="1897"/>
      <c r="N131" s="3014"/>
      <c r="O131" s="3014"/>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K38" sqref="K38"/>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t="s">
        <v>2746</v>
      </c>
      <c r="D1" s="1636"/>
      <c r="E1" s="1639" t="s">
        <v>2744</v>
      </c>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1914</v>
      </c>
      <c r="B2" s="1648">
        <f>IF(D2="——",IF(C2="元",ROUND(C50*D3,0),ROUND(C50*D3/10000,0)),IF(C2="元",ROUND(C50*D3,0),ROUND(C50*D3/10000,0))-E2)</f>
        <v>5619</v>
      </c>
      <c r="C2" s="1649" t="str">
        <f>'数据-取费表'!B3</f>
        <v>万元</v>
      </c>
      <c r="D2" s="1650" t="s">
        <v>1241</v>
      </c>
      <c r="E2" s="2486" t="e">
        <f ca="1">SUMIF(INDIRECT("'"&amp;G2&amp;"'"&amp;"!A:A"),"承租人权益价值",INDIRECT("'"&amp;G2&amp;"'"&amp;"!c:c"))</f>
        <v>#REF!</v>
      </c>
      <c r="F2" s="1652" t="str">
        <f>C2</f>
        <v>万元</v>
      </c>
      <c r="G2" s="1653"/>
      <c r="H2" s="3009"/>
      <c r="I2" s="3009"/>
      <c r="J2" s="3009"/>
      <c r="K2" s="3009"/>
      <c r="L2" s="3011"/>
      <c r="M2" s="3009"/>
      <c r="N2" s="3009"/>
      <c r="O2" s="3009"/>
      <c r="P2" s="1955"/>
      <c r="Q2" s="1955"/>
      <c r="R2" s="1955"/>
      <c r="S2" s="1955"/>
      <c r="T2" s="1955"/>
      <c r="U2" s="1955"/>
      <c r="V2" s="1955"/>
      <c r="W2" s="1955"/>
      <c r="X2" s="1955"/>
      <c r="Y2" s="1955"/>
      <c r="Z2" s="1955"/>
      <c r="AA2" s="1955"/>
      <c r="AB2" s="2487"/>
      <c r="AC2" s="1963"/>
    </row>
    <row r="3" spans="1:29" s="1958" customFormat="1" ht="28.5" customHeight="1" thickBot="1">
      <c r="A3" s="1657" t="s">
        <v>1915</v>
      </c>
      <c r="B3" s="1961">
        <f>ROUND(IF(D2="——",C50,IF(C2="万元",B2*10000/D3,B2/D3)),0)</f>
        <v>32760</v>
      </c>
      <c r="C3" s="1658" t="s">
        <v>2244</v>
      </c>
      <c r="D3" s="1658">
        <f>IF(C1="仅计算典型户型",'数据-取费表'!E5,'数据-取费表'!B5)</f>
        <v>1715.28</v>
      </c>
      <c r="F3" s="3008"/>
      <c r="G3" s="3009"/>
      <c r="H3" s="3009"/>
      <c r="I3" s="3009"/>
      <c r="J3" s="3009"/>
      <c r="K3" s="3010"/>
      <c r="L3" s="3011"/>
      <c r="M3" s="3009"/>
      <c r="N3" s="3009"/>
      <c r="O3" s="3009"/>
      <c r="P3" s="3016"/>
      <c r="Q3" s="1950"/>
      <c r="R3" s="1950"/>
      <c r="S3" s="1950"/>
      <c r="T3" s="1950"/>
      <c r="U3" s="1950"/>
      <c r="V3" s="1950"/>
      <c r="W3" s="1950"/>
      <c r="X3" s="1955"/>
      <c r="Y3" s="1950"/>
      <c r="Z3" s="1950"/>
      <c r="AA3" s="1950"/>
      <c r="AB3" s="2488"/>
      <c r="AC3" s="1963"/>
    </row>
    <row r="4" spans="1:29" ht="15">
      <c r="A4" s="1661" t="s">
        <v>2245</v>
      </c>
      <c r="B4" s="1662"/>
      <c r="C4" s="3431" t="s">
        <v>2246</v>
      </c>
      <c r="D4" s="3432"/>
      <c r="E4" s="3433" t="s">
        <v>2247</v>
      </c>
      <c r="F4" s="3434"/>
      <c r="G4" s="3431" t="s">
        <v>2248</v>
      </c>
      <c r="H4" s="3432"/>
      <c r="I4" s="3431" t="s">
        <v>2249</v>
      </c>
      <c r="J4" s="3432"/>
      <c r="K4" s="1964" t="s">
        <v>2250</v>
      </c>
      <c r="L4" s="2994"/>
      <c r="M4" s="2995"/>
      <c r="N4" s="2995"/>
      <c r="O4" s="2995"/>
      <c r="P4" s="3435" t="s">
        <v>2251</v>
      </c>
      <c r="Q4" s="3436"/>
      <c r="R4" s="3441" t="s">
        <v>2247</v>
      </c>
      <c r="S4" s="3442"/>
      <c r="T4" s="3441" t="s">
        <v>2248</v>
      </c>
      <c r="U4" s="3442"/>
      <c r="V4" s="3447" t="s">
        <v>2249</v>
      </c>
      <c r="W4" s="3447"/>
      <c r="X4" s="2073"/>
      <c r="Y4" s="3441" t="s">
        <v>2251</v>
      </c>
      <c r="Z4" s="3442"/>
      <c r="AA4" s="3428" t="s">
        <v>2247</v>
      </c>
      <c r="AB4" s="3428" t="s">
        <v>2248</v>
      </c>
      <c r="AC4" s="3428" t="s">
        <v>2249</v>
      </c>
    </row>
    <row r="5" spans="1:29" ht="15">
      <c r="A5" s="1666"/>
      <c r="B5" s="1667"/>
      <c r="C5" s="3476" t="s">
        <v>2907</v>
      </c>
      <c r="D5" s="3451"/>
      <c r="E5" s="3448" t="str">
        <f>C5</f>
        <v>甘家口大厦</v>
      </c>
      <c r="F5" s="3449"/>
      <c r="G5" s="3450" t="str">
        <f>E5</f>
        <v>甘家口大厦</v>
      </c>
      <c r="H5" s="3451"/>
      <c r="I5" s="3450" t="str">
        <f>G5</f>
        <v>甘家口大厦</v>
      </c>
      <c r="J5" s="3451"/>
      <c r="K5" s="1964"/>
      <c r="L5" s="2994"/>
      <c r="M5" s="2995"/>
      <c r="N5" s="2995"/>
      <c r="O5" s="2995"/>
      <c r="P5" s="3437"/>
      <c r="Q5" s="3438"/>
      <c r="R5" s="3443"/>
      <c r="S5" s="3444"/>
      <c r="T5" s="3443"/>
      <c r="U5" s="3444"/>
      <c r="V5" s="3447"/>
      <c r="W5" s="3447"/>
      <c r="X5" s="2073"/>
      <c r="Y5" s="3443"/>
      <c r="Z5" s="3444"/>
      <c r="AA5" s="3429"/>
      <c r="AB5" s="3429"/>
      <c r="AC5" s="3429"/>
    </row>
    <row r="6" spans="1:29" ht="15.75" thickBot="1">
      <c r="A6" s="1669"/>
      <c r="B6" s="1670"/>
      <c r="C6" s="3452" t="s">
        <v>2256</v>
      </c>
      <c r="D6" s="3453"/>
      <c r="E6" s="3454" t="s">
        <v>2256</v>
      </c>
      <c r="F6" s="3455"/>
      <c r="G6" s="3452" t="s">
        <v>2256</v>
      </c>
      <c r="H6" s="3453"/>
      <c r="I6" s="3452" t="s">
        <v>2256</v>
      </c>
      <c r="J6" s="3453"/>
      <c r="K6" s="1964" t="s">
        <v>2257</v>
      </c>
      <c r="L6" s="2994"/>
      <c r="M6" s="2995"/>
      <c r="N6" s="2995"/>
      <c r="O6" s="2995"/>
      <c r="P6" s="3439"/>
      <c r="Q6" s="3440"/>
      <c r="R6" s="3443"/>
      <c r="S6" s="3444"/>
      <c r="T6" s="3445"/>
      <c r="U6" s="3446"/>
      <c r="V6" s="3447"/>
      <c r="W6" s="3447"/>
      <c r="X6" s="2073"/>
      <c r="Y6" s="3445"/>
      <c r="Z6" s="3446"/>
      <c r="AA6" s="3430"/>
      <c r="AB6" s="3430"/>
      <c r="AC6" s="3430"/>
    </row>
    <row r="7" spans="1:29" s="1683" customFormat="1" ht="15.75" thickBot="1">
      <c r="A7" s="1671" t="s">
        <v>2258</v>
      </c>
      <c r="B7" s="1672"/>
      <c r="C7" s="1673">
        <f>'数据-取费表'!B2</f>
        <v>44270</v>
      </c>
      <c r="D7" s="1674">
        <v>100</v>
      </c>
      <c r="E7" s="1675">
        <f>C7</f>
        <v>44270</v>
      </c>
      <c r="F7" s="1676">
        <f>SUMIF(59:59,YEAR(E7)&amp;"-"&amp;MONTH(E7),60:60)</f>
        <v>100</v>
      </c>
      <c r="G7" s="1965">
        <f>E7</f>
        <v>44270</v>
      </c>
      <c r="H7" s="1674">
        <f>SUMIF(59:59,YEAR(G7)&amp;"-"&amp;MONTH(G7),60:60)</f>
        <v>100</v>
      </c>
      <c r="I7" s="1965">
        <f>G7</f>
        <v>44270</v>
      </c>
      <c r="J7" s="1674">
        <f>SUMIF(59:59,YEAR(I7)&amp;"-"&amp;MONTH(I7),60:60)</f>
        <v>100</v>
      </c>
      <c r="K7" s="1966"/>
      <c r="L7" s="2994"/>
      <c r="M7" s="2967"/>
      <c r="N7" s="2967"/>
      <c r="O7" s="2967"/>
      <c r="P7" s="3463" t="s">
        <v>2259</v>
      </c>
      <c r="Q7" s="3465"/>
      <c r="R7" s="1679" t="s">
        <v>25</v>
      </c>
      <c r="S7" s="1680">
        <f t="shared" ref="S7:S15" si="0">F7</f>
        <v>100</v>
      </c>
      <c r="T7" s="1679" t="s">
        <v>25</v>
      </c>
      <c r="U7" s="1680">
        <f t="shared" ref="U7:U15" si="1">H7</f>
        <v>100</v>
      </c>
      <c r="V7" s="1679" t="s">
        <v>25</v>
      </c>
      <c r="W7" s="1680">
        <f t="shared" ref="W7:W15" si="2">J7</f>
        <v>100</v>
      </c>
      <c r="X7" s="1681"/>
      <c r="Y7" s="3463" t="s">
        <v>2259</v>
      </c>
      <c r="Z7" s="3464"/>
      <c r="AA7" s="1682">
        <f>D7/F7</f>
        <v>1</v>
      </c>
      <c r="AB7" s="1682">
        <f>D7/H7</f>
        <v>1</v>
      </c>
      <c r="AC7" s="1682">
        <f>D7/J7</f>
        <v>1</v>
      </c>
    </row>
    <row r="8" spans="1:29" s="1683" customFormat="1" ht="15.75" thickBot="1">
      <c r="A8" s="1671" t="s">
        <v>2260</v>
      </c>
      <c r="B8" s="1672"/>
      <c r="C8" s="1684" t="s">
        <v>2261</v>
      </c>
      <c r="D8" s="1674">
        <v>100</v>
      </c>
      <c r="E8" s="1684" t="s">
        <v>2882</v>
      </c>
      <c r="F8" s="1676">
        <f>SUMIF(62:62,E8,63:63)-SUMIF(62:62,C8,63:63)+100</f>
        <v>100</v>
      </c>
      <c r="G8" s="1684" t="s">
        <v>2882</v>
      </c>
      <c r="H8" s="1674">
        <f>SUMIF(62:62,G8,63:63)-SUMIF(62:62,C8,63:63)+100</f>
        <v>100</v>
      </c>
      <c r="I8" s="1684" t="s">
        <v>2882</v>
      </c>
      <c r="J8" s="1674">
        <f>SUMIF(62:62,I8,63:63)-SUMIF(62:62,C8,63:63)+100</f>
        <v>100</v>
      </c>
      <c r="K8" s="1966"/>
      <c r="L8" s="2994"/>
      <c r="M8" s="2967"/>
      <c r="N8" s="2967"/>
      <c r="O8" s="2967"/>
      <c r="P8" s="3463" t="s">
        <v>2262</v>
      </c>
      <c r="Q8" s="3464"/>
      <c r="R8" s="1679" t="s">
        <v>25</v>
      </c>
      <c r="S8" s="1680">
        <f t="shared" si="0"/>
        <v>100</v>
      </c>
      <c r="T8" s="1679" t="s">
        <v>25</v>
      </c>
      <c r="U8" s="1680">
        <f t="shared" si="1"/>
        <v>100</v>
      </c>
      <c r="V8" s="1679" t="s">
        <v>25</v>
      </c>
      <c r="W8" s="1680">
        <f t="shared" si="2"/>
        <v>100</v>
      </c>
      <c r="X8" s="1681"/>
      <c r="Y8" s="3463" t="s">
        <v>2262</v>
      </c>
      <c r="Z8" s="3464"/>
      <c r="AA8" s="1682">
        <f t="shared" ref="AA8:AA47" si="3">D8/F8</f>
        <v>1</v>
      </c>
      <c r="AB8" s="1682">
        <f t="shared" ref="AB8:AB47" si="4">D8/H8</f>
        <v>1</v>
      </c>
      <c r="AC8" s="1682">
        <f t="shared" ref="AC8:AC47" si="5">D8/J8</f>
        <v>1</v>
      </c>
    </row>
    <row r="9" spans="1:29" s="1683"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4"/>
      <c r="M9" s="2967"/>
      <c r="N9" s="2967"/>
      <c r="O9" s="2967"/>
      <c r="P9" s="3467" t="s">
        <v>2265</v>
      </c>
      <c r="Q9" s="2912" t="str">
        <f t="shared" ref="Q9:Q15" si="6">B9</f>
        <v>用途</v>
      </c>
      <c r="R9" s="1679" t="s">
        <v>25</v>
      </c>
      <c r="S9" s="1680">
        <f t="shared" si="0"/>
        <v>100</v>
      </c>
      <c r="T9" s="1679" t="s">
        <v>25</v>
      </c>
      <c r="U9" s="1680">
        <f t="shared" si="1"/>
        <v>100</v>
      </c>
      <c r="V9" s="1679" t="s">
        <v>25</v>
      </c>
      <c r="W9" s="1680">
        <f t="shared" si="2"/>
        <v>100</v>
      </c>
      <c r="X9" s="1681"/>
      <c r="Y9" s="3338" t="s">
        <v>2266</v>
      </c>
      <c r="Z9" s="1692" t="str">
        <f t="shared" ref="Z9:Z15" si="7">Q9</f>
        <v>用途</v>
      </c>
      <c r="AA9" s="1682">
        <f t="shared" si="3"/>
        <v>1</v>
      </c>
      <c r="AB9" s="1682">
        <f t="shared" si="4"/>
        <v>1</v>
      </c>
      <c r="AC9" s="1682">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6"/>
      <c r="M10" s="2997"/>
      <c r="N10" s="2997"/>
      <c r="O10" s="2997"/>
      <c r="P10" s="3467"/>
      <c r="Q10" s="2912" t="str">
        <f t="shared" si="6"/>
        <v>土地使用年限（年）</v>
      </c>
      <c r="R10" s="1679" t="s">
        <v>25</v>
      </c>
      <c r="S10" s="1680">
        <f t="shared" si="0"/>
        <v>100</v>
      </c>
      <c r="T10" s="1679" t="s">
        <v>25</v>
      </c>
      <c r="U10" s="1680">
        <f t="shared" si="1"/>
        <v>100</v>
      </c>
      <c r="V10" s="1679" t="s">
        <v>25</v>
      </c>
      <c r="W10" s="1680">
        <f t="shared" si="2"/>
        <v>100</v>
      </c>
      <c r="X10" s="1681"/>
      <c r="Y10" s="3338"/>
      <c r="Z10" s="1692" t="str">
        <f t="shared" si="7"/>
        <v>土地使用年限（年）</v>
      </c>
      <c r="AA10" s="1682">
        <f t="shared" si="3"/>
        <v>1</v>
      </c>
      <c r="AB10" s="1682">
        <f t="shared" si="4"/>
        <v>1</v>
      </c>
      <c r="AC10" s="1682">
        <f t="shared" si="5"/>
        <v>1</v>
      </c>
    </row>
    <row r="11" spans="1:29" ht="15">
      <c r="A11" s="1701"/>
      <c r="B11" s="1694" t="s">
        <v>2268</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8"/>
      <c r="M11" s="2995"/>
      <c r="N11" s="2995"/>
      <c r="O11" s="2995"/>
      <c r="P11" s="3467"/>
      <c r="Q11" s="2912" t="str">
        <f t="shared" si="6"/>
        <v>容积率</v>
      </c>
      <c r="R11" s="1679" t="s">
        <v>25</v>
      </c>
      <c r="S11" s="1680">
        <f t="shared" si="0"/>
        <v>100</v>
      </c>
      <c r="T11" s="1679" t="s">
        <v>25</v>
      </c>
      <c r="U11" s="1680">
        <f t="shared" si="1"/>
        <v>100</v>
      </c>
      <c r="V11" s="1679" t="s">
        <v>25</v>
      </c>
      <c r="W11" s="1680">
        <f t="shared" si="2"/>
        <v>100</v>
      </c>
      <c r="X11" s="1681"/>
      <c r="Y11" s="3338"/>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4"/>
      <c r="M12" s="2967"/>
      <c r="N12" s="2967"/>
      <c r="O12" s="2967"/>
      <c r="P12" s="3467"/>
      <c r="Q12" s="2912">
        <f t="shared" si="6"/>
        <v>111</v>
      </c>
      <c r="R12" s="1679" t="s">
        <v>25</v>
      </c>
      <c r="S12" s="1680">
        <f t="shared" si="0"/>
        <v>100</v>
      </c>
      <c r="T12" s="1679" t="s">
        <v>25</v>
      </c>
      <c r="U12" s="1680">
        <f t="shared" si="1"/>
        <v>100</v>
      </c>
      <c r="V12" s="1679" t="s">
        <v>25</v>
      </c>
      <c r="W12" s="1680">
        <f t="shared" si="2"/>
        <v>100</v>
      </c>
      <c r="X12" s="1681"/>
      <c r="Y12" s="3338"/>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9"/>
      <c r="M13" s="2995"/>
      <c r="N13" s="2995"/>
      <c r="O13" s="2995"/>
      <c r="P13" s="3467"/>
      <c r="Q13" s="2912">
        <f t="shared" si="6"/>
        <v>111</v>
      </c>
      <c r="R13" s="1679" t="s">
        <v>25</v>
      </c>
      <c r="S13" s="1680">
        <f t="shared" si="0"/>
        <v>100</v>
      </c>
      <c r="T13" s="1679" t="s">
        <v>25</v>
      </c>
      <c r="U13" s="1680">
        <f t="shared" si="1"/>
        <v>100</v>
      </c>
      <c r="V13" s="1679" t="s">
        <v>25</v>
      </c>
      <c r="W13" s="1680">
        <f t="shared" si="2"/>
        <v>100</v>
      </c>
      <c r="X13" s="1681"/>
      <c r="Y13" s="3338"/>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9"/>
      <c r="M14" s="2995"/>
      <c r="N14" s="2995"/>
      <c r="O14" s="2995"/>
      <c r="P14" s="3467"/>
      <c r="Q14" s="2912">
        <f t="shared" si="6"/>
        <v>111</v>
      </c>
      <c r="R14" s="1679" t="s">
        <v>25</v>
      </c>
      <c r="S14" s="1680">
        <f t="shared" si="0"/>
        <v>100</v>
      </c>
      <c r="T14" s="1679" t="s">
        <v>25</v>
      </c>
      <c r="U14" s="1680">
        <f t="shared" si="1"/>
        <v>100</v>
      </c>
      <c r="V14" s="1679" t="s">
        <v>25</v>
      </c>
      <c r="W14" s="1680">
        <f t="shared" si="2"/>
        <v>100</v>
      </c>
      <c r="X14" s="1681"/>
      <c r="Y14" s="3338"/>
      <c r="Z14" s="1692">
        <f t="shared" si="7"/>
        <v>111</v>
      </c>
      <c r="AA14" s="1682">
        <f t="shared" si="3"/>
        <v>1</v>
      </c>
      <c r="AB14" s="1682">
        <f t="shared" si="4"/>
        <v>1</v>
      </c>
      <c r="AC14" s="1682">
        <f t="shared" si="5"/>
        <v>1</v>
      </c>
    </row>
    <row r="15" spans="1:29" ht="71.25">
      <c r="A15" s="1716" t="s">
        <v>2269</v>
      </c>
      <c r="B15" s="2491" t="s">
        <v>2384</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c r="L15" s="2999"/>
      <c r="M15" s="2995"/>
      <c r="N15" s="2995"/>
      <c r="O15" s="2995"/>
      <c r="P15" s="3456" t="s">
        <v>2270</v>
      </c>
      <c r="Q15" s="2913" t="str">
        <f t="shared" si="6"/>
        <v>办公集聚程度</v>
      </c>
      <c r="R15" s="1724" t="s">
        <v>25</v>
      </c>
      <c r="S15" s="1725">
        <f t="shared" si="0"/>
        <v>100</v>
      </c>
      <c r="T15" s="1724" t="s">
        <v>25</v>
      </c>
      <c r="U15" s="1725">
        <f t="shared" si="1"/>
        <v>100</v>
      </c>
      <c r="V15" s="1724" t="s">
        <v>25</v>
      </c>
      <c r="W15" s="1725">
        <f t="shared" si="2"/>
        <v>100</v>
      </c>
      <c r="X15" s="2073"/>
      <c r="Y15" s="3456"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2999"/>
      <c r="M16" s="2995"/>
      <c r="N16" s="2995"/>
      <c r="O16" s="2995"/>
      <c r="P16" s="3457"/>
      <c r="Q16" s="2913"/>
      <c r="R16" s="1724"/>
      <c r="S16" s="1725"/>
      <c r="T16" s="1724"/>
      <c r="U16" s="1725"/>
      <c r="V16" s="1724"/>
      <c r="W16" s="1725"/>
      <c r="X16" s="2073"/>
      <c r="Y16" s="3457"/>
      <c r="Z16" s="2077"/>
      <c r="AA16" s="2068">
        <v>1</v>
      </c>
      <c r="AB16" s="2068">
        <v>1</v>
      </c>
      <c r="AC16" s="2068">
        <v>1</v>
      </c>
    </row>
    <row r="17" spans="1:29" ht="85.5">
      <c r="A17" s="1701"/>
      <c r="B17" s="2493" t="s">
        <v>1706</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c r="L17" s="2999"/>
      <c r="M17" s="2995"/>
      <c r="N17" s="2995"/>
      <c r="O17" s="2995"/>
      <c r="P17" s="3457"/>
      <c r="Q17" s="2913" t="str">
        <f>B17</f>
        <v>交通便捷度</v>
      </c>
      <c r="R17" s="1724" t="s">
        <v>25</v>
      </c>
      <c r="S17" s="1725">
        <f>F17</f>
        <v>100</v>
      </c>
      <c r="T17" s="1724" t="s">
        <v>25</v>
      </c>
      <c r="U17" s="1725">
        <f>H17</f>
        <v>100</v>
      </c>
      <c r="V17" s="1724" t="s">
        <v>25</v>
      </c>
      <c r="W17" s="1725">
        <f>J17</f>
        <v>100</v>
      </c>
      <c r="X17" s="2073"/>
      <c r="Y17" s="3457"/>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2999"/>
      <c r="M18" s="2995"/>
      <c r="N18" s="2995"/>
      <c r="O18" s="2995"/>
      <c r="P18" s="3457"/>
      <c r="Q18" s="2913"/>
      <c r="R18" s="1724"/>
      <c r="S18" s="1725"/>
      <c r="T18" s="1724"/>
      <c r="U18" s="1725"/>
      <c r="V18" s="1724"/>
      <c r="W18" s="1725"/>
      <c r="X18" s="2073"/>
      <c r="Y18" s="3457"/>
      <c r="Z18" s="2077"/>
      <c r="AA18" s="2068">
        <v>1</v>
      </c>
      <c r="AB18" s="2068">
        <v>1</v>
      </c>
      <c r="AC18" s="2068">
        <v>1</v>
      </c>
    </row>
    <row r="19" spans="1:29" ht="42.75">
      <c r="A19" s="1701"/>
      <c r="B19" s="2493" t="s">
        <v>2385</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c r="L19" s="2999"/>
      <c r="M19" s="2995"/>
      <c r="N19" s="2995"/>
      <c r="O19" s="2995"/>
      <c r="P19" s="3457"/>
      <c r="Q19" s="2913" t="str">
        <f>B19</f>
        <v>公共配套设施</v>
      </c>
      <c r="R19" s="1724" t="s">
        <v>25</v>
      </c>
      <c r="S19" s="1725">
        <f>F19</f>
        <v>100</v>
      </c>
      <c r="T19" s="1724" t="s">
        <v>25</v>
      </c>
      <c r="U19" s="1725">
        <f>H19</f>
        <v>100</v>
      </c>
      <c r="V19" s="1724" t="s">
        <v>25</v>
      </c>
      <c r="W19" s="1725">
        <f>J19</f>
        <v>100</v>
      </c>
      <c r="X19" s="2073"/>
      <c r="Y19" s="3457"/>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2999"/>
      <c r="M20" s="2995"/>
      <c r="N20" s="2995"/>
      <c r="O20" s="2995"/>
      <c r="P20" s="3457"/>
      <c r="Q20" s="2913"/>
      <c r="R20" s="1724"/>
      <c r="S20" s="1725"/>
      <c r="T20" s="1724"/>
      <c r="U20" s="1725"/>
      <c r="V20" s="1724"/>
      <c r="W20" s="1725"/>
      <c r="X20" s="2073"/>
      <c r="Y20" s="3457"/>
      <c r="Z20" s="2077"/>
      <c r="AA20" s="2068">
        <v>1</v>
      </c>
      <c r="AB20" s="2068">
        <v>1</v>
      </c>
      <c r="AC20" s="2068">
        <v>1</v>
      </c>
    </row>
    <row r="21" spans="1:29" ht="28.5">
      <c r="A21" s="1701"/>
      <c r="B21" s="2495" t="s">
        <v>2386</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c r="L21" s="2999"/>
      <c r="M21" s="2995"/>
      <c r="N21" s="2995"/>
      <c r="O21" s="2995"/>
      <c r="P21" s="3457"/>
      <c r="Q21" s="2913" t="str">
        <f>B21</f>
        <v>基础设施水平</v>
      </c>
      <c r="R21" s="1724" t="s">
        <v>25</v>
      </c>
      <c r="S21" s="1725">
        <f>F21</f>
        <v>100</v>
      </c>
      <c r="T21" s="1724" t="s">
        <v>25</v>
      </c>
      <c r="U21" s="1725">
        <f>H21</f>
        <v>100</v>
      </c>
      <c r="V21" s="1724" t="s">
        <v>25</v>
      </c>
      <c r="W21" s="1725">
        <f>J21</f>
        <v>100</v>
      </c>
      <c r="X21" s="2073"/>
      <c r="Y21" s="3457"/>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2999"/>
      <c r="M22" s="2995"/>
      <c r="N22" s="2995"/>
      <c r="O22" s="2995"/>
      <c r="P22" s="3457"/>
      <c r="Q22" s="2913"/>
      <c r="R22" s="1724"/>
      <c r="S22" s="1725"/>
      <c r="T22" s="1724"/>
      <c r="U22" s="1725"/>
      <c r="V22" s="1724"/>
      <c r="W22" s="1725"/>
      <c r="X22" s="2073"/>
      <c r="Y22" s="3457"/>
      <c r="Z22" s="2077"/>
      <c r="AA22" s="2068">
        <v>1</v>
      </c>
      <c r="AB22" s="2068">
        <v>1</v>
      </c>
      <c r="AC22" s="2068">
        <v>1</v>
      </c>
    </row>
    <row r="23" spans="1:29" ht="57">
      <c r="A23" s="1701"/>
      <c r="B23" s="2493" t="s">
        <v>2387</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c r="L23" s="2999"/>
      <c r="M23" s="2995"/>
      <c r="N23" s="2995"/>
      <c r="O23" s="2995"/>
      <c r="P23" s="3457"/>
      <c r="Q23" s="2913" t="str">
        <f>B23</f>
        <v>环境质量</v>
      </c>
      <c r="R23" s="1724" t="s">
        <v>25</v>
      </c>
      <c r="S23" s="1725">
        <f>F23</f>
        <v>100</v>
      </c>
      <c r="T23" s="1724" t="s">
        <v>25</v>
      </c>
      <c r="U23" s="1725">
        <f>H23</f>
        <v>100</v>
      </c>
      <c r="V23" s="1724" t="s">
        <v>25</v>
      </c>
      <c r="W23" s="1725">
        <f>J23</f>
        <v>100</v>
      </c>
      <c r="X23" s="2073"/>
      <c r="Y23" s="3457"/>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2999"/>
      <c r="M24" s="2995"/>
      <c r="N24" s="2995"/>
      <c r="O24" s="2995"/>
      <c r="P24" s="3457"/>
      <c r="Q24" s="2913"/>
      <c r="R24" s="1724"/>
      <c r="S24" s="1725"/>
      <c r="T24" s="1724"/>
      <c r="U24" s="1725"/>
      <c r="V24" s="1724"/>
      <c r="W24" s="1725"/>
      <c r="X24" s="2073"/>
      <c r="Y24" s="3457"/>
      <c r="Z24" s="2077"/>
      <c r="AA24" s="2068">
        <v>1</v>
      </c>
      <c r="AB24" s="2068">
        <v>1</v>
      </c>
      <c r="AC24" s="2068">
        <v>1</v>
      </c>
    </row>
    <row r="25" spans="1:29" ht="27">
      <c r="A25" s="1666"/>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2999"/>
      <c r="M25" s="2995"/>
      <c r="N25" s="2995"/>
      <c r="O25" s="2995"/>
      <c r="P25" s="3457"/>
      <c r="Q25" s="2913" t="str">
        <f>B25</f>
        <v>毗邻道路的类型与等级</v>
      </c>
      <c r="R25" s="1724" t="s">
        <v>25</v>
      </c>
      <c r="S25" s="1725">
        <f>F25</f>
        <v>100</v>
      </c>
      <c r="T25" s="1724" t="s">
        <v>25</v>
      </c>
      <c r="U25" s="1725">
        <f>H25</f>
        <v>100</v>
      </c>
      <c r="V25" s="1724" t="s">
        <v>25</v>
      </c>
      <c r="W25" s="1725">
        <f>J25</f>
        <v>100</v>
      </c>
      <c r="X25" s="2073"/>
      <c r="Y25" s="3457"/>
      <c r="Z25" s="2077" t="str">
        <f>Q25</f>
        <v>毗邻道路的类型与等级</v>
      </c>
      <c r="AA25" s="2068">
        <f t="shared" si="3"/>
        <v>1</v>
      </c>
      <c r="AB25" s="2068">
        <f t="shared" si="4"/>
        <v>1</v>
      </c>
      <c r="AC25" s="2068">
        <f t="shared" si="5"/>
        <v>1</v>
      </c>
    </row>
    <row r="26" spans="1:29" ht="15">
      <c r="A26" s="1666"/>
      <c r="B26" s="2494"/>
      <c r="C26" s="1982"/>
      <c r="D26" s="1710"/>
      <c r="E26" s="1990"/>
      <c r="F26" s="1710"/>
      <c r="G26" s="1982"/>
      <c r="H26" s="1710"/>
      <c r="I26" s="1990"/>
      <c r="J26" s="1710"/>
      <c r="K26" s="2472"/>
      <c r="L26" s="2999"/>
      <c r="M26" s="2995"/>
      <c r="N26" s="2995"/>
      <c r="O26" s="2995"/>
      <c r="P26" s="3457"/>
      <c r="Q26" s="2913"/>
      <c r="R26" s="1724"/>
      <c r="S26" s="1725"/>
      <c r="T26" s="1724"/>
      <c r="U26" s="1725"/>
      <c r="V26" s="1724"/>
      <c r="W26" s="1725"/>
      <c r="X26" s="2073"/>
      <c r="Y26" s="3457"/>
      <c r="Z26" s="2077"/>
      <c r="AA26" s="2068">
        <v>1</v>
      </c>
      <c r="AB26" s="2068">
        <v>1</v>
      </c>
      <c r="AC26" s="2068">
        <v>1</v>
      </c>
    </row>
    <row r="27" spans="1:29" ht="15">
      <c r="A27" s="1701"/>
      <c r="B27" s="2494" t="s">
        <v>2361</v>
      </c>
      <c r="C27" s="3158" t="s">
        <v>2905</v>
      </c>
      <c r="D27" s="1710">
        <v>100</v>
      </c>
      <c r="E27" s="3157" t="s">
        <v>2905</v>
      </c>
      <c r="F27" s="1710">
        <f>SUMIF(89:89,E27,90:90)-SUMIF(89:89,C27,90:90)+100</f>
        <v>100</v>
      </c>
      <c r="G27" s="3158" t="s">
        <v>2906</v>
      </c>
      <c r="H27" s="1710">
        <f>SUMIF(89:89,G27,90:90)-SUMIF(89:89,C27,90:90)+100</f>
        <v>102</v>
      </c>
      <c r="I27" s="3157" t="s">
        <v>2905</v>
      </c>
      <c r="J27" s="1710">
        <f>SUMIF(89:89,I27,90:90)-SUMIF(89:89,C27,90:90)+100</f>
        <v>100</v>
      </c>
      <c r="K27" s="1991">
        <v>2</v>
      </c>
      <c r="L27" s="2999"/>
      <c r="M27" s="2995"/>
      <c r="N27" s="2995"/>
      <c r="O27" s="2995"/>
      <c r="P27" s="3457"/>
      <c r="Q27" s="2913" t="str">
        <f t="shared" ref="Q27:Q47" si="11">B27</f>
        <v>楼层</v>
      </c>
      <c r="R27" s="1724" t="s">
        <v>25</v>
      </c>
      <c r="S27" s="1725">
        <f>F27</f>
        <v>100</v>
      </c>
      <c r="T27" s="1724" t="s">
        <v>25</v>
      </c>
      <c r="U27" s="1725">
        <f>H27</f>
        <v>102</v>
      </c>
      <c r="V27" s="1724" t="s">
        <v>25</v>
      </c>
      <c r="W27" s="1725">
        <f>J27</f>
        <v>100</v>
      </c>
      <c r="X27" s="2073"/>
      <c r="Y27" s="3457"/>
      <c r="Z27" s="2077" t="str">
        <f>Q27</f>
        <v>楼层</v>
      </c>
      <c r="AA27" s="2068">
        <f t="shared" si="3"/>
        <v>1</v>
      </c>
      <c r="AB27" s="2068">
        <f t="shared" si="4"/>
        <v>0.98039215686274506</v>
      </c>
      <c r="AC27" s="2068">
        <f t="shared" si="5"/>
        <v>1</v>
      </c>
    </row>
    <row r="28" spans="1:29" s="1683"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4"/>
      <c r="M28" s="2967"/>
      <c r="N28" s="2967"/>
      <c r="O28" s="2967"/>
      <c r="P28" s="3457"/>
      <c r="Q28" s="2912" t="str">
        <f t="shared" si="11"/>
        <v>朝向</v>
      </c>
      <c r="R28" s="1679" t="s">
        <v>25</v>
      </c>
      <c r="S28" s="1680">
        <f>F28</f>
        <v>100</v>
      </c>
      <c r="T28" s="1679" t="s">
        <v>25</v>
      </c>
      <c r="U28" s="1680">
        <f>H28</f>
        <v>100</v>
      </c>
      <c r="V28" s="1679" t="s">
        <v>25</v>
      </c>
      <c r="W28" s="1680">
        <f>J28</f>
        <v>100</v>
      </c>
      <c r="X28" s="1681"/>
      <c r="Y28" s="3457"/>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9"/>
      <c r="M29" s="2995"/>
      <c r="N29" s="2995"/>
      <c r="O29" s="2995"/>
      <c r="P29" s="3457"/>
      <c r="Q29" s="2913">
        <f t="shared" si="11"/>
        <v>111</v>
      </c>
      <c r="R29" s="1724" t="s">
        <v>25</v>
      </c>
      <c r="S29" s="1725">
        <f t="shared" ref="S29:S47" si="12">F29</f>
        <v>100</v>
      </c>
      <c r="T29" s="1724" t="s">
        <v>25</v>
      </c>
      <c r="U29" s="1725">
        <f t="shared" ref="U29:U47" si="13">H29</f>
        <v>100</v>
      </c>
      <c r="V29" s="1724" t="s">
        <v>25</v>
      </c>
      <c r="W29" s="1725">
        <f t="shared" ref="W29:W47" si="14">J29</f>
        <v>100</v>
      </c>
      <c r="X29" s="2073"/>
      <c r="Y29" s="3457"/>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9"/>
      <c r="M30" s="2995"/>
      <c r="N30" s="2995"/>
      <c r="O30" s="2995"/>
      <c r="P30" s="3457"/>
      <c r="Q30" s="2913">
        <f t="shared" si="11"/>
        <v>111</v>
      </c>
      <c r="R30" s="1724" t="s">
        <v>25</v>
      </c>
      <c r="S30" s="1725">
        <f t="shared" si="12"/>
        <v>100</v>
      </c>
      <c r="T30" s="1724" t="s">
        <v>25</v>
      </c>
      <c r="U30" s="1725">
        <f t="shared" si="13"/>
        <v>100</v>
      </c>
      <c r="V30" s="1724" t="s">
        <v>25</v>
      </c>
      <c r="W30" s="1725">
        <f t="shared" si="14"/>
        <v>100</v>
      </c>
      <c r="X30" s="2073"/>
      <c r="Y30" s="3457"/>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9"/>
      <c r="M31" s="2995"/>
      <c r="N31" s="2995"/>
      <c r="O31" s="2995"/>
      <c r="P31" s="3457"/>
      <c r="Q31" s="2913">
        <f t="shared" si="11"/>
        <v>111</v>
      </c>
      <c r="R31" s="1724" t="s">
        <v>25</v>
      </c>
      <c r="S31" s="1725">
        <f t="shared" si="12"/>
        <v>100</v>
      </c>
      <c r="T31" s="1724" t="s">
        <v>25</v>
      </c>
      <c r="U31" s="1725">
        <f t="shared" si="13"/>
        <v>100</v>
      </c>
      <c r="V31" s="1724" t="s">
        <v>25</v>
      </c>
      <c r="W31" s="1725">
        <f t="shared" si="14"/>
        <v>100</v>
      </c>
      <c r="X31" s="2073"/>
      <c r="Y31" s="3457"/>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9"/>
      <c r="M32" s="2995"/>
      <c r="N32" s="2995"/>
      <c r="O32" s="2995"/>
      <c r="P32" s="3457"/>
      <c r="Q32" s="2913">
        <f t="shared" si="11"/>
        <v>111</v>
      </c>
      <c r="R32" s="1724" t="s">
        <v>25</v>
      </c>
      <c r="S32" s="1725">
        <f t="shared" si="12"/>
        <v>100</v>
      </c>
      <c r="T32" s="1724" t="s">
        <v>25</v>
      </c>
      <c r="U32" s="1725">
        <f t="shared" si="13"/>
        <v>100</v>
      </c>
      <c r="V32" s="1724" t="s">
        <v>25</v>
      </c>
      <c r="W32" s="1725">
        <f t="shared" si="14"/>
        <v>100</v>
      </c>
      <c r="X32" s="2073"/>
      <c r="Y32" s="3457"/>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2999"/>
      <c r="M33" s="2995"/>
      <c r="N33" s="2995"/>
      <c r="O33" s="2995"/>
      <c r="P33" s="3478" t="s">
        <v>2276</v>
      </c>
      <c r="Q33" s="2913" t="str">
        <f t="shared" si="11"/>
        <v>建筑类型</v>
      </c>
      <c r="R33" s="1724" t="s">
        <v>25</v>
      </c>
      <c r="S33" s="1725">
        <f t="shared" si="12"/>
        <v>100</v>
      </c>
      <c r="T33" s="1724" t="s">
        <v>25</v>
      </c>
      <c r="U33" s="1725">
        <f t="shared" si="13"/>
        <v>100</v>
      </c>
      <c r="V33" s="1724" t="s">
        <v>25</v>
      </c>
      <c r="W33" s="1725">
        <f t="shared" si="14"/>
        <v>100</v>
      </c>
      <c r="X33" s="2073"/>
      <c r="Y33" s="3461" t="s">
        <v>2276</v>
      </c>
      <c r="Z33" s="2077" t="str">
        <f t="shared" si="15"/>
        <v>建筑类型</v>
      </c>
      <c r="AA33" s="2068">
        <f t="shared" si="3"/>
        <v>1</v>
      </c>
      <c r="AB33" s="2068">
        <f t="shared" si="4"/>
        <v>1</v>
      </c>
      <c r="AC33" s="2068">
        <f t="shared" si="5"/>
        <v>1</v>
      </c>
    </row>
    <row r="34" spans="1:29" s="1770" customFormat="1" ht="15">
      <c r="A34" s="1763"/>
      <c r="B34" s="1694" t="s">
        <v>2277</v>
      </c>
      <c r="C34" s="1764">
        <v>366</v>
      </c>
      <c r="D34" s="1696">
        <v>100</v>
      </c>
      <c r="E34" s="1703">
        <v>500</v>
      </c>
      <c r="F34" s="1698">
        <f>LOOKUP(E34,104:104,105:105)-LOOKUP(C34,104:104,105:105)+100</f>
        <v>98</v>
      </c>
      <c r="G34" s="1702">
        <v>510</v>
      </c>
      <c r="H34" s="1696">
        <f>LOOKUP(G34,104:104,105:105)-LOOKUP(C34,104:104,105:105)+100</f>
        <v>98</v>
      </c>
      <c r="I34" s="1702">
        <v>505</v>
      </c>
      <c r="J34" s="1696">
        <f>LOOKUP(I34,104:104,105:105)-LOOKUP(C34,104:104,105:105)+100</f>
        <v>98</v>
      </c>
      <c r="K34" s="1988"/>
      <c r="L34" s="2998"/>
      <c r="M34" s="2058"/>
      <c r="N34" s="2058"/>
      <c r="O34" s="2058"/>
      <c r="P34" s="3461"/>
      <c r="Q34" s="1765" t="str">
        <f t="shared" si="11"/>
        <v>项目建筑规模</v>
      </c>
      <c r="R34" s="1766" t="s">
        <v>25</v>
      </c>
      <c r="S34" s="1767">
        <f t="shared" si="12"/>
        <v>98</v>
      </c>
      <c r="T34" s="1766" t="s">
        <v>25</v>
      </c>
      <c r="U34" s="1767">
        <f t="shared" si="13"/>
        <v>98</v>
      </c>
      <c r="V34" s="1766" t="s">
        <v>25</v>
      </c>
      <c r="W34" s="1767">
        <f t="shared" si="14"/>
        <v>98</v>
      </c>
      <c r="X34" s="1768"/>
      <c r="Y34" s="3461"/>
      <c r="Z34" s="1769" t="str">
        <f t="shared" si="15"/>
        <v>项目建筑规模</v>
      </c>
      <c r="AA34" s="2068">
        <f t="shared" si="3"/>
        <v>1.0204081632653061</v>
      </c>
      <c r="AB34" s="2068">
        <f t="shared" si="4"/>
        <v>1.0204081632653061</v>
      </c>
      <c r="AC34" s="2068">
        <f t="shared" si="5"/>
        <v>1.0204081632653061</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2999"/>
      <c r="M35" s="2995"/>
      <c r="N35" s="2995"/>
      <c r="O35" s="2995"/>
      <c r="P35" s="3461"/>
      <c r="Q35" s="2913" t="str">
        <f t="shared" si="11"/>
        <v>建筑结构</v>
      </c>
      <c r="R35" s="1724" t="s">
        <v>25</v>
      </c>
      <c r="S35" s="1725">
        <f t="shared" si="12"/>
        <v>100</v>
      </c>
      <c r="T35" s="1724" t="s">
        <v>25</v>
      </c>
      <c r="U35" s="1725">
        <f t="shared" si="13"/>
        <v>100</v>
      </c>
      <c r="V35" s="1724" t="s">
        <v>25</v>
      </c>
      <c r="W35" s="1725">
        <f t="shared" si="14"/>
        <v>100</v>
      </c>
      <c r="X35" s="2073"/>
      <c r="Y35" s="3461"/>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2999"/>
      <c r="M36" s="2995"/>
      <c r="N36" s="2995"/>
      <c r="O36" s="2995"/>
      <c r="P36" s="3461"/>
      <c r="Q36" s="2913" t="str">
        <f t="shared" si="11"/>
        <v>公共部分装修</v>
      </c>
      <c r="R36" s="1724" t="s">
        <v>25</v>
      </c>
      <c r="S36" s="1725">
        <f t="shared" si="12"/>
        <v>100</v>
      </c>
      <c r="T36" s="1724" t="s">
        <v>25</v>
      </c>
      <c r="U36" s="1725">
        <f t="shared" si="13"/>
        <v>100</v>
      </c>
      <c r="V36" s="1724" t="s">
        <v>25</v>
      </c>
      <c r="W36" s="1725">
        <f t="shared" si="14"/>
        <v>100</v>
      </c>
      <c r="X36" s="2073"/>
      <c r="Y36" s="3461"/>
      <c r="Z36" s="2077" t="str">
        <f t="shared" si="15"/>
        <v>公共部分装修</v>
      </c>
      <c r="AA36" s="2068">
        <f t="shared" si="3"/>
        <v>1</v>
      </c>
      <c r="AB36" s="2068">
        <f t="shared" si="4"/>
        <v>1</v>
      </c>
      <c r="AC36" s="2068">
        <f t="shared" si="5"/>
        <v>1</v>
      </c>
    </row>
    <row r="37" spans="1:29" ht="15">
      <c r="A37" s="1771"/>
      <c r="B37" s="1694" t="s">
        <v>2364</v>
      </c>
      <c r="C37" s="1775">
        <v>0.75</v>
      </c>
      <c r="D37" s="1710">
        <v>100</v>
      </c>
      <c r="E37" s="1775">
        <v>0.75</v>
      </c>
      <c r="F37" s="1753">
        <f>LOOKUP(E37,111:111,112:112)-LOOKUP(C37,111:111,112:112)+100</f>
        <v>100</v>
      </c>
      <c r="G37" s="1775">
        <v>0.75</v>
      </c>
      <c r="H37" s="1753">
        <f>LOOKUP(G37,111:111,112:112)-LOOKUP(C37,111:111,112:112)+100</f>
        <v>100</v>
      </c>
      <c r="I37" s="1775">
        <v>0.75</v>
      </c>
      <c r="J37" s="1710">
        <f>LOOKUP(I37,111:111,112:112)-LOOKUP(C37,111:111,112:112)+100</f>
        <v>100</v>
      </c>
      <c r="K37" s="1991"/>
      <c r="L37" s="2999"/>
      <c r="M37" s="2995"/>
      <c r="N37" s="2995"/>
      <c r="O37" s="2995"/>
      <c r="P37" s="3461"/>
      <c r="Q37" s="2913" t="str">
        <f t="shared" si="11"/>
        <v>成新度</v>
      </c>
      <c r="R37" s="1724" t="s">
        <v>25</v>
      </c>
      <c r="S37" s="1725">
        <f t="shared" si="12"/>
        <v>100</v>
      </c>
      <c r="T37" s="1724" t="s">
        <v>25</v>
      </c>
      <c r="U37" s="1725">
        <f t="shared" si="13"/>
        <v>100</v>
      </c>
      <c r="V37" s="1724" t="s">
        <v>25</v>
      </c>
      <c r="W37" s="1725">
        <f t="shared" si="14"/>
        <v>100</v>
      </c>
      <c r="X37" s="2073"/>
      <c r="Y37" s="3461"/>
      <c r="Z37" s="2077" t="str">
        <f t="shared" si="15"/>
        <v>成新度</v>
      </c>
      <c r="AA37" s="2068">
        <f t="shared" si="3"/>
        <v>1</v>
      </c>
      <c r="AB37" s="2068">
        <f t="shared" si="4"/>
        <v>1</v>
      </c>
      <c r="AC37" s="2068">
        <f t="shared" si="5"/>
        <v>1</v>
      </c>
    </row>
    <row r="38" spans="1:29" s="1683"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4"/>
      <c r="M38" s="2967"/>
      <c r="N38" s="2967"/>
      <c r="O38" s="2967"/>
      <c r="P38" s="3461"/>
      <c r="Q38" s="2912" t="str">
        <f t="shared" si="11"/>
        <v>写字楼等级</v>
      </c>
      <c r="R38" s="1679" t="s">
        <v>25</v>
      </c>
      <c r="S38" s="1680">
        <f t="shared" si="12"/>
        <v>100</v>
      </c>
      <c r="T38" s="1679" t="s">
        <v>25</v>
      </c>
      <c r="U38" s="1680">
        <f t="shared" si="13"/>
        <v>100</v>
      </c>
      <c r="V38" s="1679" t="s">
        <v>25</v>
      </c>
      <c r="W38" s="1680">
        <f t="shared" si="14"/>
        <v>100</v>
      </c>
      <c r="X38" s="1681"/>
      <c r="Y38" s="3461"/>
      <c r="Z38" s="1692" t="str">
        <f t="shared" si="15"/>
        <v>写字楼等级</v>
      </c>
      <c r="AA38" s="1682">
        <f t="shared" si="3"/>
        <v>1</v>
      </c>
      <c r="AB38" s="1682">
        <f t="shared" si="4"/>
        <v>1</v>
      </c>
      <c r="AC38" s="1682">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2999"/>
      <c r="M39" s="2995"/>
      <c r="N39" s="2995"/>
      <c r="O39" s="2995"/>
      <c r="P39" s="3461" t="s">
        <v>2276</v>
      </c>
      <c r="Q39" s="2913" t="str">
        <f t="shared" si="11"/>
        <v>物业管理</v>
      </c>
      <c r="R39" s="1724" t="s">
        <v>25</v>
      </c>
      <c r="S39" s="1725">
        <f t="shared" si="12"/>
        <v>100</v>
      </c>
      <c r="T39" s="1724" t="s">
        <v>25</v>
      </c>
      <c r="U39" s="1725">
        <f t="shared" si="13"/>
        <v>100</v>
      </c>
      <c r="V39" s="1724" t="s">
        <v>25</v>
      </c>
      <c r="W39" s="1725">
        <f t="shared" si="14"/>
        <v>100</v>
      </c>
      <c r="X39" s="2073"/>
      <c r="Y39" s="3461"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2999"/>
      <c r="M40" s="2995"/>
      <c r="N40" s="2995"/>
      <c r="O40" s="2995"/>
      <c r="P40" s="3461"/>
      <c r="Q40" s="2913" t="str">
        <f t="shared" si="11"/>
        <v>市政基础设施</v>
      </c>
      <c r="R40" s="1724" t="s">
        <v>25</v>
      </c>
      <c r="S40" s="1725">
        <f t="shared" si="12"/>
        <v>100</v>
      </c>
      <c r="T40" s="1724" t="s">
        <v>25</v>
      </c>
      <c r="U40" s="1725">
        <f t="shared" si="13"/>
        <v>100</v>
      </c>
      <c r="V40" s="1724" t="s">
        <v>25</v>
      </c>
      <c r="W40" s="1725">
        <f t="shared" si="14"/>
        <v>100</v>
      </c>
      <c r="X40" s="2073"/>
      <c r="Y40" s="3461"/>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2999"/>
      <c r="M41" s="2995"/>
      <c r="N41" s="2995"/>
      <c r="O41" s="2995"/>
      <c r="P41" s="3461"/>
      <c r="Q41" s="2913" t="str">
        <f t="shared" si="11"/>
        <v>层高</v>
      </c>
      <c r="R41" s="1724" t="s">
        <v>25</v>
      </c>
      <c r="S41" s="1725">
        <f t="shared" si="12"/>
        <v>100</v>
      </c>
      <c r="T41" s="1724" t="s">
        <v>25</v>
      </c>
      <c r="U41" s="1725">
        <f t="shared" si="13"/>
        <v>100</v>
      </c>
      <c r="V41" s="1724" t="s">
        <v>25</v>
      </c>
      <c r="W41" s="1725">
        <f t="shared" si="14"/>
        <v>100</v>
      </c>
      <c r="X41" s="2073"/>
      <c r="Y41" s="3461"/>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8"/>
      <c r="M42" s="2058"/>
      <c r="N42" s="2058"/>
      <c r="O42" s="2058"/>
      <c r="P42" s="3461"/>
      <c r="Q42" s="1765" t="str">
        <f t="shared" si="11"/>
        <v>单套建筑面积</v>
      </c>
      <c r="R42" s="1766" t="s">
        <v>25</v>
      </c>
      <c r="S42" s="1767">
        <f t="shared" si="12"/>
        <v>100</v>
      </c>
      <c r="T42" s="1766" t="s">
        <v>25</v>
      </c>
      <c r="U42" s="1767">
        <f t="shared" si="13"/>
        <v>100</v>
      </c>
      <c r="V42" s="1766" t="s">
        <v>25</v>
      </c>
      <c r="W42" s="1767">
        <f t="shared" si="14"/>
        <v>100</v>
      </c>
      <c r="X42" s="1768"/>
      <c r="Y42" s="3461"/>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2999"/>
      <c r="M43" s="2995"/>
      <c r="N43" s="2995"/>
      <c r="O43" s="2995"/>
      <c r="P43" s="3461"/>
      <c r="Q43" s="2913" t="str">
        <f t="shared" si="11"/>
        <v>内部装修</v>
      </c>
      <c r="R43" s="1724" t="s">
        <v>25</v>
      </c>
      <c r="S43" s="1725">
        <f t="shared" si="12"/>
        <v>100</v>
      </c>
      <c r="T43" s="1724" t="s">
        <v>25</v>
      </c>
      <c r="U43" s="1725">
        <f t="shared" si="13"/>
        <v>100</v>
      </c>
      <c r="V43" s="1724" t="s">
        <v>25</v>
      </c>
      <c r="W43" s="1725">
        <f t="shared" si="14"/>
        <v>100</v>
      </c>
      <c r="X43" s="2073"/>
      <c r="Y43" s="3461"/>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2999"/>
      <c r="M44" s="2995"/>
      <c r="N44" s="2995"/>
      <c r="O44" s="2995"/>
      <c r="P44" s="3461"/>
      <c r="Q44" s="2913" t="str">
        <f t="shared" si="11"/>
        <v>内部装修维护情况</v>
      </c>
      <c r="R44" s="1724" t="s">
        <v>25</v>
      </c>
      <c r="S44" s="1725">
        <f t="shared" si="12"/>
        <v>100</v>
      </c>
      <c r="T44" s="1724" t="s">
        <v>25</v>
      </c>
      <c r="U44" s="1725">
        <f t="shared" si="13"/>
        <v>100</v>
      </c>
      <c r="V44" s="1724" t="s">
        <v>25</v>
      </c>
      <c r="W44" s="1725">
        <f t="shared" si="14"/>
        <v>100</v>
      </c>
      <c r="X44" s="2073"/>
      <c r="Y44" s="3461"/>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4"/>
      <c r="M45" s="2967"/>
      <c r="N45" s="2967"/>
      <c r="O45" s="2967"/>
      <c r="P45" s="3461"/>
      <c r="Q45" s="2912">
        <f t="shared" si="11"/>
        <v>111</v>
      </c>
      <c r="R45" s="1679" t="s">
        <v>25</v>
      </c>
      <c r="S45" s="1680">
        <f t="shared" si="12"/>
        <v>100</v>
      </c>
      <c r="T45" s="1679" t="s">
        <v>25</v>
      </c>
      <c r="U45" s="1680">
        <f t="shared" si="13"/>
        <v>100</v>
      </c>
      <c r="V45" s="1679" t="s">
        <v>25</v>
      </c>
      <c r="W45" s="1680">
        <f t="shared" si="14"/>
        <v>100</v>
      </c>
      <c r="X45" s="1681"/>
      <c r="Y45" s="3461"/>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9"/>
      <c r="M46" s="2995"/>
      <c r="N46" s="2995"/>
      <c r="O46" s="2995"/>
      <c r="P46" s="3461"/>
      <c r="Q46" s="2913">
        <f t="shared" si="11"/>
        <v>111</v>
      </c>
      <c r="R46" s="1724" t="s">
        <v>25</v>
      </c>
      <c r="S46" s="1725">
        <f t="shared" si="12"/>
        <v>100</v>
      </c>
      <c r="T46" s="1724" t="s">
        <v>25</v>
      </c>
      <c r="U46" s="1725">
        <f t="shared" si="13"/>
        <v>100</v>
      </c>
      <c r="V46" s="1724" t="s">
        <v>25</v>
      </c>
      <c r="W46" s="1725">
        <f t="shared" si="14"/>
        <v>100</v>
      </c>
      <c r="X46" s="2073"/>
      <c r="Y46" s="3461"/>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9"/>
      <c r="M47" s="2995"/>
      <c r="N47" s="2995"/>
      <c r="O47" s="2995"/>
      <c r="P47" s="3462"/>
      <c r="Q47" s="2913">
        <f t="shared" si="11"/>
        <v>111</v>
      </c>
      <c r="R47" s="1724" t="s">
        <v>25</v>
      </c>
      <c r="S47" s="1725">
        <f t="shared" si="12"/>
        <v>100</v>
      </c>
      <c r="T47" s="1724" t="s">
        <v>25</v>
      </c>
      <c r="U47" s="1725">
        <f t="shared" si="13"/>
        <v>100</v>
      </c>
      <c r="V47" s="1724" t="s">
        <v>25</v>
      </c>
      <c r="W47" s="1725">
        <f t="shared" si="14"/>
        <v>100</v>
      </c>
      <c r="X47" s="2073"/>
      <c r="Y47" s="3462"/>
      <c r="Z47" s="2077">
        <f t="shared" si="15"/>
        <v>111</v>
      </c>
      <c r="AA47" s="2068">
        <f t="shared" si="3"/>
        <v>1</v>
      </c>
      <c r="AB47" s="2068">
        <f t="shared" si="4"/>
        <v>1</v>
      </c>
      <c r="AC47" s="2068">
        <f t="shared" si="5"/>
        <v>1</v>
      </c>
    </row>
    <row r="48" spans="1:29" ht="15">
      <c r="A48" s="1780" t="s">
        <v>2288</v>
      </c>
      <c r="B48" s="1781"/>
      <c r="C48" s="1782" t="s">
        <v>1</v>
      </c>
      <c r="D48" s="1783"/>
      <c r="E48" s="1784">
        <v>30000</v>
      </c>
      <c r="F48" s="1785"/>
      <c r="G48" s="1786">
        <v>35000</v>
      </c>
      <c r="H48" s="1787"/>
      <c r="I48" s="1784">
        <v>32000</v>
      </c>
      <c r="J48" s="1787"/>
      <c r="K48" s="2012"/>
      <c r="L48" s="3000"/>
      <c r="M48" s="2995"/>
      <c r="N48" s="2995"/>
      <c r="O48" s="2995"/>
      <c r="P48" s="3467" t="str">
        <f>A48</f>
        <v>成交单价（元/平方米）</v>
      </c>
      <c r="Q48" s="3467"/>
      <c r="R48" s="3468">
        <f>E48</f>
        <v>30000</v>
      </c>
      <c r="S48" s="3468"/>
      <c r="T48" s="3468">
        <f>G48</f>
        <v>35000</v>
      </c>
      <c r="U48" s="3468"/>
      <c r="V48" s="3468">
        <f>I48</f>
        <v>32000</v>
      </c>
      <c r="W48" s="3468"/>
      <c r="X48" s="1790"/>
      <c r="Y48" s="2072"/>
      <c r="Z48" s="1790"/>
      <c r="AA48" s="1790"/>
      <c r="AB48" s="1790"/>
      <c r="AC48" s="1790"/>
    </row>
    <row r="49" spans="1:29" ht="15.75" thickBot="1">
      <c r="A49" s="1792" t="s">
        <v>2371</v>
      </c>
      <c r="B49" s="1793"/>
      <c r="C49" s="1794">
        <f>R50</f>
        <v>32760</v>
      </c>
      <c r="D49" s="1795" t="s">
        <v>2743</v>
      </c>
      <c r="E49" s="1796">
        <f>R49</f>
        <v>30612</v>
      </c>
      <c r="F49" s="1797"/>
      <c r="G49" s="1794">
        <f>T49</f>
        <v>35014</v>
      </c>
      <c r="H49" s="1797"/>
      <c r="I49" s="1796">
        <f>V49</f>
        <v>32653</v>
      </c>
      <c r="J49" s="1797"/>
      <c r="K49" s="2509">
        <f>F49+H49+J49</f>
        <v>0</v>
      </c>
      <c r="L49" s="3000"/>
      <c r="M49" s="2995"/>
      <c r="N49" s="2995"/>
      <c r="O49" s="2995"/>
      <c r="P49" s="3467" t="str">
        <f>A49</f>
        <v>比较价值（元/平方米）</v>
      </c>
      <c r="Q49" s="3467"/>
      <c r="R49" s="3468">
        <f>IF(E1="售价",ROUND(PRODUCT(R48,AA7:AA47),0),ROUND(PRODUCT(R48,AA7:AA47),1))</f>
        <v>30612</v>
      </c>
      <c r="S49" s="3468"/>
      <c r="T49" s="3468">
        <f>IF(E1="售价",ROUND(PRODUCT(T48,AB7:AB47),0),ROUND(PRODUCT(T48,AB7:AB47),1))</f>
        <v>35014</v>
      </c>
      <c r="U49" s="3468"/>
      <c r="V49" s="3468">
        <f>IF(E1="售价",ROUND(PRODUCT(V48,AC7:AC47),0),ROUND(PRODUCT(V48,AC7:AC47),1))</f>
        <v>32653</v>
      </c>
      <c r="W49" s="3468"/>
      <c r="X49" s="1790"/>
      <c r="Y49" s="1790"/>
      <c r="Z49" s="1790"/>
      <c r="AA49" s="1790"/>
      <c r="AB49" s="1790"/>
      <c r="AC49" s="1790"/>
    </row>
    <row r="50" spans="1:29" ht="15.75" thickBot="1">
      <c r="A50" s="1798" t="s">
        <v>2394</v>
      </c>
      <c r="B50" s="1799"/>
      <c r="C50" s="1801">
        <f>R50</f>
        <v>32760</v>
      </c>
      <c r="D50" s="1801"/>
      <c r="E50" s="1801"/>
      <c r="F50" s="1801"/>
      <c r="G50" s="1801"/>
      <c r="H50" s="1801"/>
      <c r="I50" s="1801"/>
      <c r="J50" s="1801"/>
      <c r="K50" s="2017"/>
      <c r="L50" s="3000"/>
      <c r="M50" s="2995"/>
      <c r="N50" s="2995"/>
      <c r="O50" s="2995"/>
      <c r="P50" s="3473" t="str">
        <f>A50</f>
        <v>估价对象XX用房的比较价值（楼面单价，元/平方米）</v>
      </c>
      <c r="Q50" s="3474"/>
      <c r="R50" s="3475">
        <f>IF(E1="售价",ROUND(IF(D49="简单平均",AVERAGE(R49:V49),R49*F49+T49*H49+V49*J49),0),ROUND(IF(D49="简单平均",AVERAGE(R49:V49),R49*F49+T49*H49+V49*J49),1))</f>
        <v>32760</v>
      </c>
      <c r="S50" s="3475"/>
      <c r="T50" s="3475"/>
      <c r="U50" s="3475"/>
      <c r="V50" s="3475"/>
      <c r="W50" s="3475"/>
      <c r="X50" s="1790"/>
      <c r="Y50" s="1790"/>
      <c r="Z50" s="1790"/>
      <c r="AA50" s="1790"/>
      <c r="AB50" s="1790"/>
      <c r="AC50" s="1790"/>
    </row>
    <row r="51" spans="1:29">
      <c r="G51" s="3004"/>
    </row>
    <row r="53" spans="1:29" ht="13.5" customHeight="1">
      <c r="C53" s="383" t="s">
        <v>2373</v>
      </c>
      <c r="D53" s="1806"/>
      <c r="E53" s="1807">
        <f>IF(E48&lt;E49,E49/E48-1,E48/E49-1)</f>
        <v>2.0399999999999974E-2</v>
      </c>
      <c r="F53" s="1808" t="str">
        <f>IF(OR(E53&gt;=0.3,E53&lt;=-0.3),"超过30%","")</f>
        <v/>
      </c>
      <c r="G53" s="1807">
        <f>IF(G48&lt;G49,G49/G48-1,G48/G49-1)</f>
        <v>3.9999999999995595E-4</v>
      </c>
      <c r="H53" s="1808" t="str">
        <f>IF(OR(G53&gt;=0.3,G53&lt;=-0.3),"超过30%","")</f>
        <v/>
      </c>
      <c r="I53" s="1807">
        <f>IF(I48&lt;I49,I49/I48-1,I48/I49-1)</f>
        <v>2.0406249999999959E-2</v>
      </c>
      <c r="J53" s="1808" t="str">
        <f>IF(OR(I53&gt;=0.3,I53&lt;=-0.3),"超过30%","")</f>
        <v/>
      </c>
    </row>
    <row r="54" spans="1:29" ht="13.5" customHeight="1">
      <c r="C54" s="383" t="s">
        <v>2374</v>
      </c>
      <c r="D54" s="1809"/>
      <c r="E54" s="1807">
        <f>IF(E49&lt;G49,G49/E49-1,E49/G49-1)</f>
        <v>0.14379981706520328</v>
      </c>
      <c r="F54" s="1808" t="str">
        <f>IF(OR(E54&gt;=0.2,E54&lt;=-0.2),"超过20%","")</f>
        <v/>
      </c>
      <c r="G54" s="1807">
        <f>IF(G49&lt;I49,I49/G49-1,G49/I49-1)</f>
        <v>7.230576057330107E-2</v>
      </c>
      <c r="H54" s="1808" t="str">
        <f>IF(OR(G54&gt;=0.2,G54&lt;=-0.2),"超过20%","")</f>
        <v/>
      </c>
      <c r="I54" s="1807">
        <f>IF(I49&lt;E49,E49/I49-1,I49/E49-1)</f>
        <v>6.6673200052267179E-2</v>
      </c>
      <c r="J54" s="1808" t="str">
        <f>IF(OR(I54&gt;=0.2,I54&lt;=-0.2),"超过20%","")</f>
        <v/>
      </c>
    </row>
    <row r="55" spans="1:29" s="1812" customFormat="1" ht="13.5" customHeight="1">
      <c r="C55" s="383" t="s">
        <v>2375</v>
      </c>
      <c r="D55" s="1809"/>
      <c r="E55" s="1807">
        <f>IF(E48&lt;G48,G48/E48-1,E48/G48-1)</f>
        <v>0.16666666666666674</v>
      </c>
      <c r="F55" s="1808" t="str">
        <f>IF(OR(E55&gt;=0.3,E55&lt;=-0.3),"超过30%","")</f>
        <v/>
      </c>
      <c r="G55" s="1807">
        <f>IF(G48&lt;I48,I48/G48-1,G48/I48-1)</f>
        <v>9.375E-2</v>
      </c>
      <c r="H55" s="1808" t="str">
        <f>IF(OR(G55&gt;=0.3,G55&lt;=-0.3),"超过30%","")</f>
        <v/>
      </c>
      <c r="I55" s="1807">
        <f>IF(I48&lt;E48,E48/I48-1,I48/E48-1)</f>
        <v>6.6666666666666652E-2</v>
      </c>
      <c r="J55" s="1808" t="str">
        <f>IF(OR(I55&gt;=0.3,I55&lt;=-0.3),"超过30%","")</f>
        <v/>
      </c>
      <c r="K55" s="3007"/>
      <c r="L55" s="3001"/>
    </row>
    <row r="56" spans="1:29" s="1812" customFormat="1">
      <c r="B56" s="3005"/>
      <c r="C56" s="3006"/>
      <c r="K56" s="3007"/>
      <c r="L56" s="3001"/>
    </row>
    <row r="57" spans="1:29">
      <c r="B57" s="3005"/>
      <c r="C57" s="3006"/>
    </row>
    <row r="58" spans="1:29" ht="21.75" thickBot="1">
      <c r="A58" s="1815" t="s">
        <v>2376</v>
      </c>
      <c r="B58" s="1790"/>
      <c r="C58" s="1816"/>
      <c r="D58" s="1816"/>
      <c r="E58" s="1816"/>
      <c r="F58" s="1816"/>
      <c r="G58" s="1816"/>
      <c r="H58" s="1816"/>
      <c r="I58" s="1816"/>
      <c r="J58" s="1816"/>
      <c r="K58" s="1817"/>
      <c r="L58" s="1818"/>
      <c r="M58" s="1816"/>
      <c r="N58" s="3003"/>
      <c r="O58" s="3003"/>
      <c r="P58" s="2044"/>
      <c r="Q58" s="1820"/>
    </row>
    <row r="59" spans="1:29" s="1826" customFormat="1" ht="15">
      <c r="A59" s="1821" t="s">
        <v>2258</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3" customFormat="1" ht="15">
      <c r="A62" s="1838" t="s">
        <v>2260</v>
      </c>
      <c r="B62" s="1828"/>
      <c r="C62" s="1839" t="s">
        <v>2261</v>
      </c>
      <c r="D62" s="409"/>
      <c r="E62" s="409"/>
      <c r="F62" s="409"/>
      <c r="G62" s="409"/>
      <c r="H62" s="409"/>
      <c r="I62" s="409"/>
      <c r="J62" s="409"/>
      <c r="K62" s="409"/>
      <c r="L62" s="409"/>
      <c r="M62" s="1840"/>
      <c r="N62" s="3012"/>
      <c r="O62" s="3012"/>
      <c r="P62" s="2055"/>
      <c r="Q62" s="1820"/>
    </row>
    <row r="63" spans="1:29" s="1683" customFormat="1" ht="15.75" thickBot="1">
      <c r="A63" s="1838"/>
      <c r="B63" s="1828"/>
      <c r="C63" s="1843">
        <v>100</v>
      </c>
      <c r="D63" s="1830"/>
      <c r="E63" s="1830"/>
      <c r="F63" s="1830"/>
      <c r="G63" s="1830"/>
      <c r="H63" s="1830"/>
      <c r="I63" s="1830"/>
      <c r="J63" s="1830"/>
      <c r="K63" s="1830"/>
      <c r="L63" s="1830"/>
      <c r="M63" s="1844"/>
      <c r="N63" s="3012"/>
      <c r="O63" s="3012"/>
      <c r="P63" s="1820"/>
      <c r="Q63" s="1820"/>
    </row>
    <row r="64" spans="1:29">
      <c r="A64" s="1845" t="s">
        <v>2299</v>
      </c>
      <c r="B64" s="1846" t="s">
        <v>2264</v>
      </c>
      <c r="C64" s="1847">
        <f>C9</f>
        <v>0</v>
      </c>
      <c r="D64" s="1848"/>
      <c r="E64" s="1848"/>
      <c r="F64" s="1848"/>
      <c r="G64" s="1848"/>
      <c r="H64" s="1848"/>
      <c r="I64" s="1848"/>
      <c r="J64" s="1848"/>
      <c r="K64" s="417"/>
      <c r="L64" s="417"/>
      <c r="M64" s="1849"/>
      <c r="N64" s="3013"/>
      <c r="O64" s="3013"/>
      <c r="P64" s="2056"/>
      <c r="Q64" s="1820"/>
    </row>
    <row r="65" spans="1:17" ht="15.75" thickBot="1">
      <c r="A65" s="1852"/>
      <c r="B65" s="1853"/>
      <c r="C65" s="1854">
        <v>100</v>
      </c>
      <c r="D65" s="1854"/>
      <c r="E65" s="1854"/>
      <c r="F65" s="1854"/>
      <c r="G65" s="1854"/>
      <c r="H65" s="1854"/>
      <c r="I65" s="1854"/>
      <c r="J65" s="1854"/>
      <c r="K65" s="1854"/>
      <c r="L65" s="1854"/>
      <c r="M65" s="1855"/>
      <c r="N65" s="3014"/>
      <c r="O65" s="3014"/>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3"/>
      <c r="O66" s="3013"/>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4"/>
      <c r="O67" s="3014"/>
      <c r="P67" s="2056"/>
      <c r="Q67" s="1820"/>
    </row>
    <row r="68" spans="1:17" ht="15.75" thickTop="1">
      <c r="A68" s="1852"/>
      <c r="B68" s="1863" t="s">
        <v>2268</v>
      </c>
      <c r="C68" s="1864" t="str">
        <f>C69&amp;"（含）"&amp;"-"&amp;D69</f>
        <v>0（含）-1</v>
      </c>
      <c r="D68" s="1864" t="str">
        <f t="shared" ref="D68:L68" si="17">D69&amp;"（含）"&amp;"-"&amp;E69</f>
        <v>1（含）-2</v>
      </c>
      <c r="E68" s="1864" t="str">
        <f t="shared" si="17"/>
        <v>2（含）-3</v>
      </c>
      <c r="F68" s="1864" t="str">
        <f t="shared" si="17"/>
        <v>3（含）-4</v>
      </c>
      <c r="G68" s="1864" t="str">
        <f t="shared" si="17"/>
        <v>4（含）-5</v>
      </c>
      <c r="H68" s="1864" t="str">
        <f t="shared" si="17"/>
        <v>5（含）-6</v>
      </c>
      <c r="I68" s="1864" t="str">
        <f t="shared" si="17"/>
        <v>6（含）-</v>
      </c>
      <c r="J68" s="1864" t="str">
        <f t="shared" si="17"/>
        <v>（含）-</v>
      </c>
      <c r="K68" s="1864" t="str">
        <f t="shared" si="17"/>
        <v>（含）-</v>
      </c>
      <c r="L68" s="1864" t="str">
        <f t="shared" si="17"/>
        <v>（含）-</v>
      </c>
      <c r="M68" s="1730" t="str">
        <f>M69&amp;"（含）"&amp;"-"&amp;P69</f>
        <v>（含）-</v>
      </c>
      <c r="N68" s="3014"/>
      <c r="O68" s="3014"/>
      <c r="P68" s="2056"/>
      <c r="Q68" s="1820"/>
    </row>
    <row r="69" spans="1:17" ht="15">
      <c r="A69" s="1852"/>
      <c r="B69" s="1865"/>
      <c r="C69" s="1866">
        <v>0</v>
      </c>
      <c r="D69" s="1866">
        <v>1</v>
      </c>
      <c r="E69" s="1866">
        <v>2</v>
      </c>
      <c r="F69" s="1866">
        <v>3</v>
      </c>
      <c r="G69" s="1866">
        <v>4</v>
      </c>
      <c r="H69" s="1866">
        <v>5</v>
      </c>
      <c r="I69" s="1866">
        <v>6</v>
      </c>
      <c r="J69" s="1866"/>
      <c r="K69" s="438"/>
      <c r="L69" s="438"/>
      <c r="M69" s="1867"/>
      <c r="N69" s="3013"/>
      <c r="O69" s="3013"/>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4"/>
      <c r="O70" s="3014"/>
      <c r="P70" s="2056"/>
      <c r="Q70" s="1820"/>
    </row>
    <row r="71" spans="1:17" s="1770" customFormat="1" ht="15.75" thickTop="1">
      <c r="A71" s="1868"/>
      <c r="B71" s="1857">
        <f>B12</f>
        <v>111</v>
      </c>
      <c r="C71" s="468"/>
      <c r="D71" s="468"/>
      <c r="E71" s="468"/>
      <c r="F71" s="468"/>
      <c r="G71" s="468"/>
      <c r="H71" s="443"/>
      <c r="I71" s="443"/>
      <c r="J71" s="443"/>
      <c r="K71" s="443"/>
      <c r="L71" s="443"/>
      <c r="M71" s="1869"/>
      <c r="N71" s="3015"/>
      <c r="O71" s="3015"/>
      <c r="P71" s="2057"/>
      <c r="Q71" s="1872"/>
    </row>
    <row r="72" spans="1:17" s="1770" customFormat="1" ht="15.75" thickBot="1">
      <c r="A72" s="1868"/>
      <c r="B72" s="1860"/>
      <c r="C72" s="1873"/>
      <c r="D72" s="1854"/>
      <c r="E72" s="1854"/>
      <c r="F72" s="1854"/>
      <c r="G72" s="1854"/>
      <c r="H72" s="1854"/>
      <c r="I72" s="1854"/>
      <c r="J72" s="1854"/>
      <c r="K72" s="1854"/>
      <c r="L72" s="1854"/>
      <c r="M72" s="1855"/>
      <c r="N72" s="3014"/>
      <c r="O72" s="3014"/>
      <c r="P72" s="2057"/>
      <c r="Q72" s="1872"/>
    </row>
    <row r="73" spans="1:17" s="1770" customFormat="1" ht="15.75" thickTop="1">
      <c r="A73" s="1868"/>
      <c r="B73" s="1857">
        <f>B13</f>
        <v>111</v>
      </c>
      <c r="C73" s="468"/>
      <c r="D73" s="468"/>
      <c r="E73" s="468"/>
      <c r="F73" s="468"/>
      <c r="G73" s="468"/>
      <c r="H73" s="443"/>
      <c r="I73" s="443"/>
      <c r="J73" s="443"/>
      <c r="K73" s="443"/>
      <c r="L73" s="443"/>
      <c r="M73" s="1869"/>
      <c r="N73" s="3015"/>
      <c r="O73" s="3015"/>
      <c r="P73" s="2058"/>
      <c r="Q73" s="1875"/>
    </row>
    <row r="74" spans="1:17" s="1770" customFormat="1" ht="15.75" thickBot="1">
      <c r="A74" s="1868"/>
      <c r="B74" s="1860"/>
      <c r="C74" s="1873"/>
      <c r="D74" s="1873"/>
      <c r="E74" s="1873"/>
      <c r="F74" s="1873"/>
      <c r="G74" s="1873"/>
      <c r="H74" s="1876"/>
      <c r="I74" s="1876"/>
      <c r="J74" s="1876"/>
      <c r="K74" s="1876"/>
      <c r="L74" s="1876"/>
      <c r="M74" s="1877"/>
      <c r="N74" s="3015"/>
      <c r="O74" s="3015"/>
      <c r="P74" s="2057"/>
      <c r="Q74" s="1872"/>
    </row>
    <row r="75" spans="1:17" s="1770" customFormat="1" ht="15.75" thickTop="1">
      <c r="A75" s="1868"/>
      <c r="B75" s="1863">
        <f>B14</f>
        <v>111</v>
      </c>
      <c r="C75" s="409"/>
      <c r="D75" s="409"/>
      <c r="E75" s="409"/>
      <c r="F75" s="409"/>
      <c r="G75" s="409"/>
      <c r="H75" s="453"/>
      <c r="I75" s="453"/>
      <c r="J75" s="453"/>
      <c r="K75" s="453"/>
      <c r="L75" s="453"/>
      <c r="M75" s="1878"/>
      <c r="N75" s="3015"/>
      <c r="O75" s="3015"/>
      <c r="P75" s="2057"/>
      <c r="Q75" s="1872"/>
    </row>
    <row r="76" spans="1:17" s="1770" customFormat="1" ht="15.75" thickBot="1">
      <c r="A76" s="1879"/>
      <c r="B76" s="1880"/>
      <c r="C76" s="1881"/>
      <c r="D76" s="1881"/>
      <c r="E76" s="1881"/>
      <c r="F76" s="1881"/>
      <c r="G76" s="1881"/>
      <c r="H76" s="1882"/>
      <c r="I76" s="1882"/>
      <c r="J76" s="1882"/>
      <c r="K76" s="1882"/>
      <c r="L76" s="1882"/>
      <c r="M76" s="1883"/>
      <c r="N76" s="3015"/>
      <c r="O76" s="3015"/>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3"/>
      <c r="O77" s="3013"/>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4"/>
      <c r="O78" s="3014"/>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3"/>
      <c r="O79" s="3013"/>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4"/>
      <c r="O80" s="3014"/>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3"/>
      <c r="O81" s="3013"/>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4"/>
      <c r="O82" s="3014"/>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4"/>
      <c r="O83" s="3014"/>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4"/>
      <c r="O84" s="3014"/>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3"/>
      <c r="O85" s="3013"/>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4"/>
      <c r="O86" s="3014"/>
      <c r="P86" s="2056"/>
      <c r="Q86" s="1820"/>
    </row>
    <row r="87" spans="1:17" s="1683" customFormat="1" ht="27.75" thickTop="1">
      <c r="A87" s="1888"/>
      <c r="B87" s="1857" t="s">
        <v>2397</v>
      </c>
      <c r="C87" s="468"/>
      <c r="D87" s="468"/>
      <c r="E87" s="468"/>
      <c r="F87" s="468"/>
      <c r="G87" s="468"/>
      <c r="H87" s="468"/>
      <c r="I87" s="468"/>
      <c r="J87" s="468"/>
      <c r="K87" s="468"/>
      <c r="L87" s="468"/>
      <c r="M87" s="1889"/>
      <c r="N87" s="3012"/>
      <c r="O87" s="3012"/>
      <c r="P87" s="2056"/>
      <c r="Q87" s="1820"/>
    </row>
    <row r="88" spans="1:17" s="1683"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4"/>
      <c r="O88" s="3014"/>
      <c r="P88" s="2056"/>
      <c r="Q88" s="1820"/>
    </row>
    <row r="89" spans="1:17" s="1683" customFormat="1" ht="15.75" thickTop="1">
      <c r="A89" s="1888"/>
      <c r="B89" s="1857" t="str">
        <f>B27</f>
        <v>楼层</v>
      </c>
      <c r="C89" s="3159" t="s">
        <v>2908</v>
      </c>
      <c r="D89" s="3159" t="s">
        <v>2905</v>
      </c>
      <c r="E89" s="3159" t="s">
        <v>2909</v>
      </c>
      <c r="F89" s="1891"/>
      <c r="G89" s="468"/>
      <c r="H89" s="468"/>
      <c r="I89" s="468"/>
      <c r="J89" s="468"/>
      <c r="K89" s="468"/>
      <c r="L89" s="468"/>
      <c r="M89" s="1889"/>
      <c r="N89" s="3012"/>
      <c r="O89" s="3012"/>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4"/>
      <c r="O90" s="3014"/>
      <c r="P90" s="2056"/>
      <c r="Q90" s="1820"/>
    </row>
    <row r="91" spans="1:17" s="1770" customFormat="1" ht="15.75" thickTop="1">
      <c r="A91" s="1868"/>
      <c r="B91" s="1857" t="str">
        <f>B28</f>
        <v>朝向</v>
      </c>
      <c r="C91" s="468"/>
      <c r="D91" s="468"/>
      <c r="E91" s="468"/>
      <c r="F91" s="468"/>
      <c r="G91" s="468"/>
      <c r="H91" s="443"/>
      <c r="I91" s="443"/>
      <c r="J91" s="443"/>
      <c r="K91" s="443"/>
      <c r="L91" s="443"/>
      <c r="M91" s="1869"/>
      <c r="N91" s="3015"/>
      <c r="O91" s="3015"/>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5"/>
      <c r="O92" s="3015"/>
      <c r="P92" s="2057"/>
      <c r="Q92" s="1872"/>
    </row>
    <row r="93" spans="1:17" ht="15.75" thickTop="1">
      <c r="A93" s="1852"/>
      <c r="B93" s="1857">
        <f>B29</f>
        <v>111</v>
      </c>
      <c r="C93" s="468"/>
      <c r="D93" s="468"/>
      <c r="E93" s="468"/>
      <c r="F93" s="468"/>
      <c r="G93" s="468"/>
      <c r="H93" s="468"/>
      <c r="I93" s="468"/>
      <c r="J93" s="468"/>
      <c r="K93" s="468"/>
      <c r="L93" s="468"/>
      <c r="M93" s="1889"/>
      <c r="N93" s="3013"/>
      <c r="O93" s="3013"/>
      <c r="P93" s="2056"/>
      <c r="Q93" s="1820"/>
    </row>
    <row r="94" spans="1:17" ht="15.75" thickBot="1">
      <c r="A94" s="1852"/>
      <c r="B94" s="1860"/>
      <c r="C94" s="1873"/>
      <c r="D94" s="1854"/>
      <c r="E94" s="1854"/>
      <c r="F94" s="1854"/>
      <c r="G94" s="1854"/>
      <c r="H94" s="1854"/>
      <c r="I94" s="1854"/>
      <c r="J94" s="1854"/>
      <c r="K94" s="1854"/>
      <c r="L94" s="1854"/>
      <c r="M94" s="1855"/>
      <c r="N94" s="3014"/>
      <c r="O94" s="3014"/>
      <c r="P94" s="2056"/>
      <c r="Q94" s="1820"/>
    </row>
    <row r="95" spans="1:17" ht="15.75" thickTop="1">
      <c r="A95" s="1852"/>
      <c r="B95" s="1857">
        <f>B30</f>
        <v>111</v>
      </c>
      <c r="C95" s="468"/>
      <c r="D95" s="468"/>
      <c r="E95" s="468"/>
      <c r="F95" s="468"/>
      <c r="G95" s="1576"/>
      <c r="H95" s="1576"/>
      <c r="I95" s="1576"/>
      <c r="J95" s="1576"/>
      <c r="K95" s="473"/>
      <c r="L95" s="473"/>
      <c r="M95" s="1892"/>
      <c r="N95" s="3013"/>
      <c r="O95" s="3013"/>
      <c r="P95" s="2056"/>
      <c r="Q95" s="1820"/>
    </row>
    <row r="96" spans="1:17" ht="15.75" thickBot="1">
      <c r="A96" s="1852"/>
      <c r="B96" s="1860"/>
      <c r="C96" s="1873"/>
      <c r="D96" s="1873"/>
      <c r="E96" s="1873"/>
      <c r="F96" s="1873"/>
      <c r="G96" s="1854"/>
      <c r="H96" s="1854"/>
      <c r="I96" s="1854"/>
      <c r="J96" s="1854"/>
      <c r="K96" s="1854"/>
      <c r="L96" s="1854"/>
      <c r="M96" s="1855"/>
      <c r="N96" s="3014"/>
      <c r="O96" s="3014"/>
      <c r="P96" s="2056"/>
      <c r="Q96" s="1820"/>
    </row>
    <row r="97" spans="1:17" ht="15.75" thickTop="1">
      <c r="A97" s="1852"/>
      <c r="B97" s="1857">
        <f>B31</f>
        <v>111</v>
      </c>
      <c r="C97" s="468"/>
      <c r="D97" s="468"/>
      <c r="E97" s="468"/>
      <c r="F97" s="468"/>
      <c r="G97" s="1576"/>
      <c r="H97" s="1576"/>
      <c r="I97" s="1576"/>
      <c r="J97" s="1576"/>
      <c r="K97" s="473"/>
      <c r="L97" s="473"/>
      <c r="M97" s="1892"/>
      <c r="N97" s="3013"/>
      <c r="O97" s="3013"/>
      <c r="P97" s="2056"/>
      <c r="Q97" s="1820"/>
    </row>
    <row r="98" spans="1:17" ht="15.75" thickBot="1">
      <c r="A98" s="1852"/>
      <c r="B98" s="1860"/>
      <c r="C98" s="1873"/>
      <c r="D98" s="1854"/>
      <c r="E98" s="1854"/>
      <c r="F98" s="1854"/>
      <c r="G98" s="1854"/>
      <c r="H98" s="1854"/>
      <c r="I98" s="1854"/>
      <c r="J98" s="1854"/>
      <c r="K98" s="1854"/>
      <c r="L98" s="1854"/>
      <c r="M98" s="1855"/>
      <c r="N98" s="3014"/>
      <c r="O98" s="3014"/>
      <c r="P98" s="2056"/>
      <c r="Q98" s="1820"/>
    </row>
    <row r="99" spans="1:17" ht="15.75" thickTop="1">
      <c r="A99" s="1852"/>
      <c r="B99" s="1863">
        <f>B32</f>
        <v>111</v>
      </c>
      <c r="C99" s="409"/>
      <c r="D99" s="409"/>
      <c r="E99" s="409"/>
      <c r="F99" s="409"/>
      <c r="G99" s="1893"/>
      <c r="H99" s="1893"/>
      <c r="I99" s="1893"/>
      <c r="J99" s="1893"/>
      <c r="K99" s="477"/>
      <c r="L99" s="477"/>
      <c r="M99" s="1894"/>
      <c r="N99" s="3013"/>
      <c r="O99" s="3013"/>
      <c r="P99" s="2056"/>
      <c r="Q99" s="1820"/>
    </row>
    <row r="100" spans="1:17" ht="15.75" thickBot="1">
      <c r="A100" s="1895"/>
      <c r="B100" s="1880"/>
      <c r="C100" s="1881"/>
      <c r="D100" s="1881"/>
      <c r="E100" s="1881"/>
      <c r="F100" s="1881"/>
      <c r="G100" s="1896"/>
      <c r="H100" s="1896"/>
      <c r="I100" s="1896"/>
      <c r="J100" s="1896"/>
      <c r="K100" s="1896"/>
      <c r="L100" s="1896"/>
      <c r="M100" s="1897"/>
      <c r="N100" s="3014"/>
      <c r="O100" s="3014"/>
      <c r="P100" s="2056"/>
      <c r="Q100" s="1820"/>
    </row>
    <row r="101" spans="1:17">
      <c r="A101" s="1845" t="s">
        <v>2274</v>
      </c>
      <c r="B101" s="1846" t="s">
        <v>2323</v>
      </c>
      <c r="C101" s="1848"/>
      <c r="D101" s="1848"/>
      <c r="E101" s="1848"/>
      <c r="F101" s="1848"/>
      <c r="G101" s="1848"/>
      <c r="H101" s="1848"/>
      <c r="I101" s="1848"/>
      <c r="J101" s="1848"/>
      <c r="K101" s="417"/>
      <c r="L101" s="417"/>
      <c r="M101" s="1849"/>
      <c r="N101" s="3013"/>
      <c r="O101" s="3013"/>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4"/>
      <c r="O102" s="3014"/>
      <c r="P102" s="2056"/>
      <c r="Q102" s="1820"/>
    </row>
    <row r="103" spans="1:17" ht="29.25" thickTop="1">
      <c r="A103" s="1852"/>
      <c r="B103" s="1857" t="s">
        <v>2324</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59" t="str">
        <f>M104&amp;"(含)"&amp;"-"&amp;P104</f>
        <v>(含)-</v>
      </c>
      <c r="N103" s="3012"/>
      <c r="O103" s="3012"/>
      <c r="P103" s="2056"/>
      <c r="Q103" s="1820"/>
    </row>
    <row r="104" spans="1:17" s="1770" customFormat="1">
      <c r="A104" s="1898"/>
      <c r="B104" s="1899"/>
      <c r="C104" s="1900">
        <v>0</v>
      </c>
      <c r="D104" s="1900">
        <v>200</v>
      </c>
      <c r="E104" s="1900">
        <v>400</v>
      </c>
      <c r="F104" s="1900">
        <v>600</v>
      </c>
      <c r="G104" s="1900">
        <v>800</v>
      </c>
      <c r="H104" s="1900">
        <v>1000</v>
      </c>
      <c r="I104" s="1900">
        <v>1200</v>
      </c>
      <c r="J104" s="1900">
        <v>1400</v>
      </c>
      <c r="K104" s="1900">
        <v>1600</v>
      </c>
      <c r="L104" s="1900">
        <v>1800</v>
      </c>
      <c r="M104" s="1901"/>
      <c r="N104" s="3015"/>
      <c r="O104" s="3015"/>
      <c r="P104" s="2057"/>
      <c r="Q104" s="1872"/>
    </row>
    <row r="105" spans="1:17" s="1770" customFormat="1" ht="15.75" thickBot="1">
      <c r="A105" s="1868"/>
      <c r="B105" s="1860"/>
      <c r="C105" s="1873">
        <v>98</v>
      </c>
      <c r="D105" s="1854">
        <v>100</v>
      </c>
      <c r="E105" s="1854">
        <v>98</v>
      </c>
      <c r="F105" s="1854">
        <v>96</v>
      </c>
      <c r="G105" s="1854">
        <v>94</v>
      </c>
      <c r="H105" s="1854">
        <v>92</v>
      </c>
      <c r="I105" s="1854">
        <v>90</v>
      </c>
      <c r="J105" s="1854">
        <v>88</v>
      </c>
      <c r="K105" s="1854">
        <v>86</v>
      </c>
      <c r="L105" s="1854">
        <v>84</v>
      </c>
      <c r="M105" s="1855"/>
      <c r="N105" s="3014"/>
      <c r="O105" s="3014"/>
      <c r="P105" s="2057"/>
      <c r="Q105" s="1872"/>
    </row>
    <row r="106" spans="1:17" ht="15" thickTop="1">
      <c r="A106" s="1902"/>
      <c r="B106" s="1857" t="s">
        <v>2325</v>
      </c>
      <c r="C106" s="468"/>
      <c r="D106" s="468"/>
      <c r="E106" s="1576"/>
      <c r="F106" s="1576"/>
      <c r="G106" s="1576"/>
      <c r="H106" s="1576"/>
      <c r="I106" s="1576"/>
      <c r="J106" s="1576"/>
      <c r="K106" s="473"/>
      <c r="L106" s="473"/>
      <c r="M106" s="1892"/>
      <c r="N106" s="3013"/>
      <c r="O106" s="3013"/>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4"/>
      <c r="O107" s="3014"/>
      <c r="P107" s="2056"/>
      <c r="Q107" s="1820"/>
    </row>
    <row r="108" spans="1:17" ht="15" thickTop="1">
      <c r="A108" s="1902"/>
      <c r="B108" s="1857" t="s">
        <v>2327</v>
      </c>
      <c r="C108" s="468"/>
      <c r="D108" s="468"/>
      <c r="E108" s="468"/>
      <c r="F108" s="1576"/>
      <c r="G108" s="1576"/>
      <c r="H108" s="1576"/>
      <c r="I108" s="1576"/>
      <c r="J108" s="1576"/>
      <c r="K108" s="473"/>
      <c r="L108" s="473"/>
      <c r="M108" s="1892"/>
      <c r="N108" s="3013"/>
      <c r="O108" s="3013"/>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4"/>
      <c r="O109" s="3014"/>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3"/>
      <c r="O110" s="3013"/>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3"/>
      <c r="O111" s="3013"/>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4"/>
      <c r="O112" s="3014"/>
      <c r="P112" s="2056"/>
      <c r="Q112" s="1820"/>
    </row>
    <row r="113" spans="1:17" s="1770" customFormat="1" ht="15" thickTop="1">
      <c r="A113" s="1898"/>
      <c r="B113" s="1857" t="s">
        <v>2398</v>
      </c>
      <c r="C113" s="468"/>
      <c r="D113" s="468"/>
      <c r="E113" s="468"/>
      <c r="F113" s="468"/>
      <c r="G113" s="468"/>
      <c r="H113" s="1576"/>
      <c r="I113" s="1576"/>
      <c r="J113" s="1576"/>
      <c r="K113" s="473"/>
      <c r="L113" s="473"/>
      <c r="M113" s="1892"/>
      <c r="N113" s="3015"/>
      <c r="O113" s="3015"/>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5"/>
      <c r="O114" s="3015"/>
      <c r="P114" s="2057"/>
      <c r="Q114" s="1872"/>
    </row>
    <row r="115" spans="1:17" ht="15" thickTop="1">
      <c r="A115" s="1902"/>
      <c r="B115" s="1857" t="s">
        <v>2329</v>
      </c>
      <c r="C115" s="468"/>
      <c r="D115" s="468"/>
      <c r="E115" s="1576"/>
      <c r="F115" s="1576"/>
      <c r="G115" s="1576"/>
      <c r="H115" s="1576"/>
      <c r="I115" s="1576"/>
      <c r="J115" s="1576"/>
      <c r="K115" s="473"/>
      <c r="L115" s="473"/>
      <c r="M115" s="1892"/>
      <c r="N115" s="3013"/>
      <c r="O115" s="3013"/>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4"/>
      <c r="O116" s="3014"/>
      <c r="P116" s="2056"/>
      <c r="Q116" s="1820"/>
    </row>
    <row r="117" spans="1:17" ht="15" thickTop="1">
      <c r="A117" s="1902"/>
      <c r="B117" s="1857" t="s">
        <v>2330</v>
      </c>
      <c r="C117" s="468"/>
      <c r="D117" s="468"/>
      <c r="E117" s="468"/>
      <c r="F117" s="468"/>
      <c r="G117" s="468"/>
      <c r="H117" s="1576"/>
      <c r="I117" s="1576"/>
      <c r="J117" s="1576"/>
      <c r="K117" s="473"/>
      <c r="L117" s="473"/>
      <c r="M117" s="1892"/>
      <c r="N117" s="3013"/>
      <c r="O117" s="3013"/>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4"/>
      <c r="O118" s="3014"/>
      <c r="P118" s="2056"/>
      <c r="Q118" s="1820"/>
    </row>
    <row r="119" spans="1:17" ht="15" thickTop="1">
      <c r="A119" s="1902"/>
      <c r="B119" s="2504" t="s">
        <v>2399</v>
      </c>
      <c r="C119" s="1576"/>
      <c r="D119" s="1576"/>
      <c r="E119" s="1576"/>
      <c r="F119" s="1576"/>
      <c r="G119" s="1576"/>
      <c r="H119" s="1576"/>
      <c r="I119" s="1576"/>
      <c r="J119" s="1576"/>
      <c r="K119" s="1576"/>
      <c r="L119" s="1576"/>
      <c r="M119" s="2505"/>
      <c r="N119" s="3014"/>
      <c r="O119" s="3014"/>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4"/>
      <c r="O120" s="3014"/>
      <c r="P120" s="2056"/>
      <c r="Q120" s="1820"/>
    </row>
    <row r="121" spans="1:17" s="1770" customFormat="1" ht="15" thickTop="1">
      <c r="A121" s="1898"/>
      <c r="B121" s="1857" t="s">
        <v>2381</v>
      </c>
      <c r="C121" s="468"/>
      <c r="D121" s="468"/>
      <c r="E121" s="468"/>
      <c r="F121" s="1576"/>
      <c r="G121" s="443"/>
      <c r="H121" s="443"/>
      <c r="I121" s="443"/>
      <c r="J121" s="443"/>
      <c r="K121" s="443"/>
      <c r="L121" s="443"/>
      <c r="M121" s="1869"/>
      <c r="N121" s="3015"/>
      <c r="O121" s="3015"/>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5"/>
      <c r="O122" s="3015"/>
      <c r="P122" s="2057"/>
      <c r="Q122" s="1872"/>
    </row>
    <row r="123" spans="1:17" ht="15" thickTop="1">
      <c r="A123" s="1902"/>
      <c r="B123" s="1857" t="s">
        <v>2332</v>
      </c>
      <c r="C123" s="468"/>
      <c r="D123" s="468"/>
      <c r="E123" s="468"/>
      <c r="F123" s="1576"/>
      <c r="G123" s="1576"/>
      <c r="H123" s="1576"/>
      <c r="I123" s="1576"/>
      <c r="J123" s="1576"/>
      <c r="K123" s="473"/>
      <c r="L123" s="473"/>
      <c r="M123" s="1892"/>
      <c r="N123" s="3013"/>
      <c r="O123" s="3013"/>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4"/>
      <c r="O124" s="3014"/>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3"/>
      <c r="O125" s="3013"/>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4"/>
      <c r="O126" s="3014"/>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5"/>
      <c r="O127" s="3015"/>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5"/>
      <c r="O128" s="3015"/>
      <c r="P128" s="2057"/>
      <c r="Q128" s="1872"/>
    </row>
    <row r="129" spans="1:17" ht="15" thickTop="1">
      <c r="A129" s="1902"/>
      <c r="B129" s="1857">
        <f>B46</f>
        <v>111</v>
      </c>
      <c r="C129" s="468"/>
      <c r="D129" s="468"/>
      <c r="E129" s="468"/>
      <c r="F129" s="468"/>
      <c r="G129" s="1576"/>
      <c r="H129" s="1576"/>
      <c r="I129" s="1576"/>
      <c r="J129" s="1576"/>
      <c r="K129" s="473"/>
      <c r="L129" s="473"/>
      <c r="M129" s="1892"/>
      <c r="N129" s="3013"/>
      <c r="O129" s="3013"/>
      <c r="P129" s="2056"/>
      <c r="Q129" s="1820"/>
    </row>
    <row r="130" spans="1:17" ht="15.75" thickBot="1">
      <c r="A130" s="1852"/>
      <c r="B130" s="1860"/>
      <c r="C130" s="1873"/>
      <c r="D130" s="1873"/>
      <c r="E130" s="1873"/>
      <c r="F130" s="1873"/>
      <c r="G130" s="1854"/>
      <c r="H130" s="1854"/>
      <c r="I130" s="1854"/>
      <c r="J130" s="1854"/>
      <c r="K130" s="1854"/>
      <c r="L130" s="1854"/>
      <c r="M130" s="1855"/>
      <c r="N130" s="3014"/>
      <c r="O130" s="3014"/>
      <c r="P130" s="2056"/>
      <c r="Q130" s="1820"/>
    </row>
    <row r="131" spans="1:17" ht="15" thickTop="1">
      <c r="A131" s="1902"/>
      <c r="B131" s="1863">
        <f>B47</f>
        <v>111</v>
      </c>
      <c r="C131" s="409"/>
      <c r="D131" s="409"/>
      <c r="E131" s="409"/>
      <c r="F131" s="409"/>
      <c r="G131" s="1893"/>
      <c r="H131" s="1893"/>
      <c r="I131" s="1893"/>
      <c r="J131" s="1893"/>
      <c r="K131" s="409"/>
      <c r="L131" s="409"/>
      <c r="M131" s="1894"/>
      <c r="N131" s="3013"/>
      <c r="O131" s="3013"/>
      <c r="P131" s="2056"/>
      <c r="Q131" s="1820"/>
    </row>
    <row r="132" spans="1:17" ht="15.75" thickBot="1">
      <c r="A132" s="2508"/>
      <c r="B132" s="1880"/>
      <c r="C132" s="1881"/>
      <c r="D132" s="1881"/>
      <c r="E132" s="1881"/>
      <c r="F132" s="1881"/>
      <c r="G132" s="1896"/>
      <c r="H132" s="1896"/>
      <c r="I132" s="1896"/>
      <c r="J132" s="1896"/>
      <c r="K132" s="1896"/>
      <c r="L132" s="1896"/>
      <c r="M132" s="1897"/>
      <c r="N132" s="3014"/>
      <c r="O132" s="3014"/>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2241</v>
      </c>
      <c r="B1" s="1224" t="s">
        <v>2400</v>
      </c>
      <c r="C1" s="1216"/>
      <c r="D1" s="1229"/>
      <c r="E1" s="1557"/>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7"/>
      <c r="I2" s="3017"/>
      <c r="J2" s="3017"/>
      <c r="K2" s="3017"/>
      <c r="L2" s="3018"/>
      <c r="M2" s="3019"/>
      <c r="N2" s="3019"/>
      <c r="O2" s="3019"/>
      <c r="P2" s="623"/>
      <c r="Q2" s="623"/>
      <c r="R2" s="623"/>
      <c r="S2" s="623"/>
      <c r="T2" s="623"/>
      <c r="U2" s="623"/>
      <c r="V2" s="623"/>
      <c r="W2" s="623"/>
      <c r="X2" s="623"/>
      <c r="Y2" s="623"/>
      <c r="Z2" s="623"/>
      <c r="AA2" s="623"/>
      <c r="AB2" s="623"/>
      <c r="AC2" s="637"/>
    </row>
    <row r="3" spans="1:29" s="291" customFormat="1" ht="28.5" customHeight="1" thickBot="1">
      <c r="A3" s="83" t="s">
        <v>1915</v>
      </c>
      <c r="B3" s="495" t="e">
        <f ca="1">ROUND(IF(D2="——",C43,IF(C2="万元",B2*10000/D3,B2/D3)),0)</f>
        <v>#DIV/0!</v>
      </c>
      <c r="C3" s="293" t="s">
        <v>2244</v>
      </c>
      <c r="D3" s="292">
        <f>IF(C1="仅计算典型户型",'数据-取费表'!E5,'数据-取费表'!B5)</f>
        <v>1715.28</v>
      </c>
      <c r="E3" s="3017"/>
      <c r="F3" s="3020"/>
      <c r="G3" s="3017"/>
      <c r="H3" s="3017"/>
      <c r="I3" s="3017"/>
      <c r="J3" s="3017"/>
      <c r="K3" s="3021"/>
      <c r="L3" s="3018"/>
      <c r="M3" s="3019"/>
      <c r="N3" s="3019"/>
      <c r="O3" s="3019"/>
      <c r="P3" s="623"/>
      <c r="Q3" s="623"/>
      <c r="R3" s="623"/>
      <c r="S3" s="623"/>
      <c r="T3" s="623"/>
      <c r="U3" s="623"/>
      <c r="V3" s="623"/>
      <c r="W3" s="623"/>
      <c r="X3" s="623"/>
      <c r="Y3" s="623"/>
      <c r="Z3" s="623"/>
      <c r="AA3" s="623"/>
      <c r="AB3" s="642"/>
      <c r="AC3" s="637"/>
    </row>
    <row r="4" spans="1:29" ht="15">
      <c r="A4" s="294" t="s">
        <v>2245</v>
      </c>
      <c r="B4" s="295"/>
      <c r="C4" s="3491" t="s">
        <v>2246</v>
      </c>
      <c r="D4" s="3492"/>
      <c r="E4" s="3493" t="s">
        <v>2247</v>
      </c>
      <c r="F4" s="3494"/>
      <c r="G4" s="3491" t="s">
        <v>2248</v>
      </c>
      <c r="H4" s="3492"/>
      <c r="I4" s="3491" t="s">
        <v>2249</v>
      </c>
      <c r="J4" s="3492"/>
      <c r="K4" s="496" t="s">
        <v>2250</v>
      </c>
      <c r="L4" s="3022"/>
      <c r="M4" s="3023"/>
      <c r="N4" s="3023"/>
      <c r="O4" s="3023"/>
      <c r="P4" s="3495" t="s">
        <v>2251</v>
      </c>
      <c r="Q4" s="3496"/>
      <c r="R4" s="3501" t="s">
        <v>2247</v>
      </c>
      <c r="S4" s="3502"/>
      <c r="T4" s="3501" t="s">
        <v>2248</v>
      </c>
      <c r="U4" s="3502"/>
      <c r="V4" s="3507" t="s">
        <v>2249</v>
      </c>
      <c r="W4" s="3507"/>
      <c r="X4" s="1333"/>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22"/>
      <c r="M5" s="3023"/>
      <c r="N5" s="3023"/>
      <c r="O5" s="3023"/>
      <c r="P5" s="3497"/>
      <c r="Q5" s="3498"/>
      <c r="R5" s="3503"/>
      <c r="S5" s="3504"/>
      <c r="T5" s="3503"/>
      <c r="U5" s="3504"/>
      <c r="V5" s="3507"/>
      <c r="W5" s="3507"/>
      <c r="X5" s="1333"/>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22"/>
      <c r="M6" s="3023"/>
      <c r="N6" s="3023"/>
      <c r="O6" s="3023"/>
      <c r="P6" s="3499"/>
      <c r="Q6" s="3500"/>
      <c r="R6" s="3503"/>
      <c r="S6" s="3504"/>
      <c r="T6" s="3505"/>
      <c r="U6" s="3506"/>
      <c r="V6" s="3507"/>
      <c r="W6" s="3507"/>
      <c r="X6" s="1333"/>
      <c r="Y6" s="3505"/>
      <c r="Z6" s="3506"/>
      <c r="AA6" s="3490"/>
      <c r="AB6" s="3490"/>
      <c r="AC6" s="3490"/>
    </row>
    <row r="7" spans="1:29" s="25" customFormat="1" ht="15.75" thickBot="1">
      <c r="A7" s="301" t="s">
        <v>2258</v>
      </c>
      <c r="B7" s="302"/>
      <c r="C7" s="303">
        <f>'数据-取费表'!B2</f>
        <v>44270</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86" t="s">
        <v>2259</v>
      </c>
      <c r="Q7" s="3510"/>
      <c r="R7" s="625" t="s">
        <v>25</v>
      </c>
      <c r="S7" s="626">
        <f t="shared" ref="S7:S15" si="0">F7</f>
        <v>0</v>
      </c>
      <c r="T7" s="625" t="s">
        <v>25</v>
      </c>
      <c r="U7" s="626">
        <f t="shared" ref="U7:U15" si="1">H7</f>
        <v>0</v>
      </c>
      <c r="V7" s="625" t="s">
        <v>25</v>
      </c>
      <c r="W7" s="626">
        <f t="shared" ref="W7:W15" si="2">J7</f>
        <v>0</v>
      </c>
      <c r="X7" s="627"/>
      <c r="Y7" s="3486" t="s">
        <v>2259</v>
      </c>
      <c r="Z7" s="3487"/>
      <c r="AA7" s="628" t="e">
        <f>D7/F7</f>
        <v>#DIV/0!</v>
      </c>
      <c r="AB7" s="628" t="e">
        <f>D7/H7</f>
        <v>#DIV/0!</v>
      </c>
      <c r="AC7" s="628"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86" t="s">
        <v>2262</v>
      </c>
      <c r="Q8" s="3487"/>
      <c r="R8" s="625" t="s">
        <v>25</v>
      </c>
      <c r="S8" s="626">
        <f t="shared" si="0"/>
        <v>0</v>
      </c>
      <c r="T8" s="625" t="s">
        <v>25</v>
      </c>
      <c r="U8" s="626">
        <f t="shared" si="1"/>
        <v>0</v>
      </c>
      <c r="V8" s="625" t="s">
        <v>25</v>
      </c>
      <c r="W8" s="626">
        <f t="shared" si="2"/>
        <v>0</v>
      </c>
      <c r="X8" s="627"/>
      <c r="Y8" s="3486" t="s">
        <v>2262</v>
      </c>
      <c r="Z8" s="3487"/>
      <c r="AA8" s="628" t="e">
        <f t="shared" ref="AA8:AA40" si="3">D8/F8</f>
        <v>#DIV/0!</v>
      </c>
      <c r="AB8" s="628" t="e">
        <f t="shared" ref="AB8:AB40" si="4">D8/H8</f>
        <v>#DIV/0!</v>
      </c>
      <c r="AC8" s="628"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83" t="s">
        <v>2265</v>
      </c>
      <c r="Q9" s="1325" t="str">
        <f t="shared" ref="Q9:Q15" si="6">B9</f>
        <v>用途</v>
      </c>
      <c r="R9" s="625" t="s">
        <v>25</v>
      </c>
      <c r="S9" s="626">
        <f t="shared" si="0"/>
        <v>100</v>
      </c>
      <c r="T9" s="625" t="s">
        <v>25</v>
      </c>
      <c r="U9" s="626">
        <f t="shared" si="1"/>
        <v>100</v>
      </c>
      <c r="V9" s="625" t="s">
        <v>25</v>
      </c>
      <c r="W9" s="626">
        <f t="shared" si="2"/>
        <v>100</v>
      </c>
      <c r="X9" s="627"/>
      <c r="Y9" s="3513" t="s">
        <v>2266</v>
      </c>
      <c r="Z9" s="19" t="str">
        <f t="shared" ref="Z9:Z15" si="7">Q9</f>
        <v>用途</v>
      </c>
      <c r="AA9" s="628">
        <f t="shared" si="3"/>
        <v>1</v>
      </c>
      <c r="AB9" s="628">
        <f t="shared" si="4"/>
        <v>1</v>
      </c>
      <c r="AC9" s="628">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83"/>
      <c r="Q10" s="1325" t="str">
        <f t="shared" si="6"/>
        <v>土地使用年限（年）</v>
      </c>
      <c r="R10" s="625" t="s">
        <v>25</v>
      </c>
      <c r="S10" s="626">
        <f t="shared" si="0"/>
        <v>100</v>
      </c>
      <c r="T10" s="625" t="s">
        <v>25</v>
      </c>
      <c r="U10" s="626">
        <f t="shared" si="1"/>
        <v>100</v>
      </c>
      <c r="V10" s="625" t="s">
        <v>25</v>
      </c>
      <c r="W10" s="626">
        <f t="shared" si="2"/>
        <v>100</v>
      </c>
      <c r="X10" s="627"/>
      <c r="Y10" s="3513"/>
      <c r="Z10" s="19" t="str">
        <f t="shared" si="7"/>
        <v>土地使用年限（年）</v>
      </c>
      <c r="AA10" s="628">
        <f t="shared" si="3"/>
        <v>1</v>
      </c>
      <c r="AB10" s="628">
        <f t="shared" si="4"/>
        <v>1</v>
      </c>
      <c r="AC10" s="628">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83"/>
      <c r="Q11" s="1325" t="str">
        <f t="shared" si="6"/>
        <v>容积率</v>
      </c>
      <c r="R11" s="625" t="s">
        <v>25</v>
      </c>
      <c r="S11" s="626" t="e">
        <f t="shared" si="0"/>
        <v>#N/A</v>
      </c>
      <c r="T11" s="625" t="s">
        <v>25</v>
      </c>
      <c r="U11" s="626" t="e">
        <f t="shared" si="1"/>
        <v>#N/A</v>
      </c>
      <c r="V11" s="625" t="s">
        <v>25</v>
      </c>
      <c r="W11" s="626" t="e">
        <f t="shared" si="2"/>
        <v>#N/A</v>
      </c>
      <c r="X11" s="627"/>
      <c r="Y11" s="3513"/>
      <c r="Z11" s="19" t="str">
        <f t="shared" si="7"/>
        <v>容积率</v>
      </c>
      <c r="AA11" s="628" t="e">
        <f t="shared" si="3"/>
        <v>#N/A</v>
      </c>
      <c r="AB11" s="628" t="e">
        <f t="shared" si="4"/>
        <v>#N/A</v>
      </c>
      <c r="AC11" s="628"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4"/>
      <c r="M12" s="3025"/>
      <c r="N12" s="3025"/>
      <c r="O12" s="3026"/>
      <c r="P12" s="3483"/>
      <c r="Q12" s="1325">
        <f t="shared" si="6"/>
        <v>111</v>
      </c>
      <c r="R12" s="625" t="s">
        <v>25</v>
      </c>
      <c r="S12" s="626">
        <f t="shared" si="0"/>
        <v>100</v>
      </c>
      <c r="T12" s="625" t="s">
        <v>25</v>
      </c>
      <c r="U12" s="626">
        <f t="shared" si="1"/>
        <v>100</v>
      </c>
      <c r="V12" s="625" t="s">
        <v>25</v>
      </c>
      <c r="W12" s="626">
        <f t="shared" si="2"/>
        <v>100</v>
      </c>
      <c r="X12" s="627"/>
      <c r="Y12" s="3513"/>
      <c r="Z12" s="19">
        <f t="shared" si="7"/>
        <v>111</v>
      </c>
      <c r="AA12" s="628">
        <f>D12/F12</f>
        <v>1</v>
      </c>
      <c r="AB12" s="628">
        <f>D12/H12</f>
        <v>1</v>
      </c>
      <c r="AC12" s="628">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2"/>
      <c r="M13" s="3023"/>
      <c r="N13" s="3023"/>
      <c r="O13" s="3031"/>
      <c r="P13" s="3483"/>
      <c r="Q13" s="1325">
        <f t="shared" si="6"/>
        <v>111</v>
      </c>
      <c r="R13" s="625" t="s">
        <v>25</v>
      </c>
      <c r="S13" s="626">
        <f t="shared" si="0"/>
        <v>100</v>
      </c>
      <c r="T13" s="625" t="s">
        <v>25</v>
      </c>
      <c r="U13" s="626">
        <f t="shared" si="1"/>
        <v>100</v>
      </c>
      <c r="V13" s="625" t="s">
        <v>25</v>
      </c>
      <c r="W13" s="626">
        <f t="shared" si="2"/>
        <v>100</v>
      </c>
      <c r="X13" s="627"/>
      <c r="Y13" s="3513"/>
      <c r="Z13" s="19">
        <f t="shared" si="7"/>
        <v>111</v>
      </c>
      <c r="AA13" s="628">
        <f t="shared" si="3"/>
        <v>1</v>
      </c>
      <c r="AB13" s="628">
        <f t="shared" si="4"/>
        <v>1</v>
      </c>
      <c r="AC13" s="628">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2"/>
      <c r="M14" s="3023"/>
      <c r="N14" s="3023"/>
      <c r="O14" s="3031"/>
      <c r="P14" s="3483"/>
      <c r="Q14" s="1325">
        <f t="shared" si="6"/>
        <v>111</v>
      </c>
      <c r="R14" s="625" t="s">
        <v>25</v>
      </c>
      <c r="S14" s="626">
        <f t="shared" si="0"/>
        <v>100</v>
      </c>
      <c r="T14" s="625" t="s">
        <v>25</v>
      </c>
      <c r="U14" s="626">
        <f t="shared" si="1"/>
        <v>100</v>
      </c>
      <c r="V14" s="625" t="s">
        <v>25</v>
      </c>
      <c r="W14" s="626">
        <f t="shared" si="2"/>
        <v>100</v>
      </c>
      <c r="X14" s="627"/>
      <c r="Y14" s="3513"/>
      <c r="Z14" s="19">
        <f t="shared" si="7"/>
        <v>111</v>
      </c>
      <c r="AA14" s="628">
        <f t="shared" si="3"/>
        <v>1</v>
      </c>
      <c r="AB14" s="628">
        <f t="shared" si="4"/>
        <v>1</v>
      </c>
      <c r="AC14" s="628">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11" t="s">
        <v>2270</v>
      </c>
      <c r="Q15" s="1332" t="str">
        <f t="shared" si="6"/>
        <v>产业集聚程度</v>
      </c>
      <c r="R15" s="629" t="s">
        <v>25</v>
      </c>
      <c r="S15" s="630">
        <f t="shared" si="0"/>
        <v>100</v>
      </c>
      <c r="T15" s="629" t="s">
        <v>25</v>
      </c>
      <c r="U15" s="630">
        <f t="shared" si="1"/>
        <v>100</v>
      </c>
      <c r="V15" s="629" t="s">
        <v>25</v>
      </c>
      <c r="W15" s="630">
        <f t="shared" si="2"/>
        <v>100</v>
      </c>
      <c r="X15" s="1333"/>
      <c r="Y15" s="3511" t="s">
        <v>2270</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32"/>
      <c r="M16" s="3023"/>
      <c r="N16" s="3023"/>
      <c r="O16" s="3031"/>
      <c r="P16" s="3512"/>
      <c r="Q16" s="1332"/>
      <c r="R16" s="629"/>
      <c r="S16" s="630"/>
      <c r="T16" s="629"/>
      <c r="U16" s="630"/>
      <c r="V16" s="629"/>
      <c r="W16" s="630"/>
      <c r="X16" s="1333"/>
      <c r="Y16" s="3512"/>
      <c r="Z16" s="1334"/>
      <c r="AA16" s="1335">
        <v>1</v>
      </c>
      <c r="AB16" s="1335">
        <v>1</v>
      </c>
      <c r="AC16" s="1335">
        <v>1</v>
      </c>
    </row>
    <row r="17" spans="1:29" ht="85.5">
      <c r="A17" s="318"/>
      <c r="B17" s="340" t="s">
        <v>1706</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12"/>
      <c r="Q17" s="1332" t="str">
        <f>B17</f>
        <v>交通便捷度</v>
      </c>
      <c r="R17" s="629" t="s">
        <v>25</v>
      </c>
      <c r="S17" s="630">
        <f>F17</f>
        <v>100</v>
      </c>
      <c r="T17" s="629" t="s">
        <v>25</v>
      </c>
      <c r="U17" s="630">
        <f>H17</f>
        <v>100</v>
      </c>
      <c r="V17" s="629" t="s">
        <v>25</v>
      </c>
      <c r="W17" s="630">
        <f>J17</f>
        <v>100</v>
      </c>
      <c r="X17" s="1333"/>
      <c r="Y17" s="3512"/>
      <c r="Z17" s="1334" t="str">
        <f>Q17</f>
        <v>交通便捷度</v>
      </c>
      <c r="AA17" s="1335">
        <f t="shared" si="3"/>
        <v>1</v>
      </c>
      <c r="AB17" s="1335">
        <f t="shared" si="4"/>
        <v>1</v>
      </c>
      <c r="AC17" s="1335">
        <f t="shared" si="5"/>
        <v>1</v>
      </c>
    </row>
    <row r="18" spans="1:29" ht="15">
      <c r="A18" s="318"/>
      <c r="B18" s="345"/>
      <c r="C18" s="346"/>
      <c r="D18" s="339"/>
      <c r="E18" s="1129"/>
      <c r="F18" s="342"/>
      <c r="G18" s="1566"/>
      <c r="H18" s="336"/>
      <c r="I18" s="1129"/>
      <c r="J18" s="336"/>
      <c r="K18" s="501"/>
      <c r="L18" s="3032"/>
      <c r="M18" s="3023"/>
      <c r="N18" s="3023"/>
      <c r="O18" s="3031"/>
      <c r="P18" s="3512"/>
      <c r="Q18" s="1332"/>
      <c r="R18" s="629"/>
      <c r="S18" s="630"/>
      <c r="T18" s="629"/>
      <c r="U18" s="630"/>
      <c r="V18" s="629"/>
      <c r="W18" s="630"/>
      <c r="X18" s="1333"/>
      <c r="Y18" s="3512"/>
      <c r="Z18" s="1334"/>
      <c r="AA18" s="1335">
        <v>1</v>
      </c>
      <c r="AB18" s="1335">
        <v>1</v>
      </c>
      <c r="AC18" s="1335">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12"/>
      <c r="Q19" s="1332" t="str">
        <f>B19</f>
        <v>公共配套设施</v>
      </c>
      <c r="R19" s="629" t="s">
        <v>25</v>
      </c>
      <c r="S19" s="630">
        <f>F19</f>
        <v>100</v>
      </c>
      <c r="T19" s="629" t="s">
        <v>25</v>
      </c>
      <c r="U19" s="630">
        <f>H19</f>
        <v>100</v>
      </c>
      <c r="V19" s="629" t="s">
        <v>25</v>
      </c>
      <c r="W19" s="630">
        <f>J19</f>
        <v>100</v>
      </c>
      <c r="X19" s="1333"/>
      <c r="Y19" s="3512"/>
      <c r="Z19" s="1334" t="str">
        <f>Q19</f>
        <v>公共配套设施</v>
      </c>
      <c r="AA19" s="1335">
        <f t="shared" si="3"/>
        <v>1</v>
      </c>
      <c r="AB19" s="1335">
        <f t="shared" si="4"/>
        <v>1</v>
      </c>
      <c r="AC19" s="1335">
        <f t="shared" si="5"/>
        <v>1</v>
      </c>
    </row>
    <row r="20" spans="1:29" ht="15">
      <c r="A20" s="318"/>
      <c r="B20" s="514"/>
      <c r="C20" s="335"/>
      <c r="D20" s="336"/>
      <c r="E20" s="337"/>
      <c r="F20" s="338"/>
      <c r="G20" s="1564"/>
      <c r="H20" s="336"/>
      <c r="I20" s="337"/>
      <c r="J20" s="336"/>
      <c r="K20" s="501"/>
      <c r="L20" s="3032"/>
      <c r="M20" s="3023"/>
      <c r="N20" s="3023"/>
      <c r="O20" s="3031"/>
      <c r="P20" s="3512"/>
      <c r="Q20" s="1332"/>
      <c r="R20" s="629"/>
      <c r="S20" s="630"/>
      <c r="T20" s="629"/>
      <c r="U20" s="630"/>
      <c r="V20" s="629"/>
      <c r="W20" s="630"/>
      <c r="X20" s="1333"/>
      <c r="Y20" s="3512"/>
      <c r="Z20" s="1334"/>
      <c r="AA20" s="1335">
        <v>1</v>
      </c>
      <c r="AB20" s="1335">
        <v>1</v>
      </c>
      <c r="AC20" s="1335">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12"/>
      <c r="Q21" s="1332" t="str">
        <f>B21</f>
        <v>基础设施水平</v>
      </c>
      <c r="R21" s="629" t="s">
        <v>25</v>
      </c>
      <c r="S21" s="630">
        <f>F21</f>
        <v>100</v>
      </c>
      <c r="T21" s="629" t="s">
        <v>25</v>
      </c>
      <c r="U21" s="630">
        <f>H21</f>
        <v>100</v>
      </c>
      <c r="V21" s="629" t="s">
        <v>25</v>
      </c>
      <c r="W21" s="630">
        <f>J21</f>
        <v>100</v>
      </c>
      <c r="X21" s="1333"/>
      <c r="Y21" s="3512"/>
      <c r="Z21" s="1334" t="str">
        <f>Q21</f>
        <v>基础设施水平</v>
      </c>
      <c r="AA21" s="1335">
        <f t="shared" ref="AA21" si="8">D21/F21</f>
        <v>1</v>
      </c>
      <c r="AB21" s="1335">
        <f t="shared" ref="AB21" si="9">D21/H21</f>
        <v>1</v>
      </c>
      <c r="AC21" s="1335">
        <f t="shared" ref="AC21" si="10">D21/J21</f>
        <v>1</v>
      </c>
    </row>
    <row r="22" spans="1:29" ht="15">
      <c r="A22" s="318"/>
      <c r="B22" s="1567"/>
      <c r="C22" s="346"/>
      <c r="D22" s="336"/>
      <c r="E22" s="335"/>
      <c r="F22" s="338"/>
      <c r="G22" s="335"/>
      <c r="H22" s="336"/>
      <c r="I22" s="335"/>
      <c r="J22" s="336"/>
      <c r="K22" s="1130"/>
      <c r="L22" s="3032"/>
      <c r="M22" s="3023"/>
      <c r="N22" s="3023"/>
      <c r="O22" s="3031"/>
      <c r="P22" s="3512"/>
      <c r="Q22" s="1332"/>
      <c r="R22" s="629"/>
      <c r="S22" s="630"/>
      <c r="T22" s="629"/>
      <c r="U22" s="630"/>
      <c r="V22" s="629"/>
      <c r="W22" s="630"/>
      <c r="X22" s="1333"/>
      <c r="Y22" s="3512"/>
      <c r="Z22" s="1334"/>
      <c r="AA22" s="1335">
        <v>1</v>
      </c>
      <c r="AB22" s="1335">
        <v>1</v>
      </c>
      <c r="AC22" s="1335">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12"/>
      <c r="Q23" s="1332" t="str">
        <f>B23</f>
        <v>环境质量</v>
      </c>
      <c r="R23" s="629" t="s">
        <v>25</v>
      </c>
      <c r="S23" s="630">
        <f>F23</f>
        <v>100</v>
      </c>
      <c r="T23" s="629" t="s">
        <v>25</v>
      </c>
      <c r="U23" s="630">
        <f>H23</f>
        <v>100</v>
      </c>
      <c r="V23" s="629" t="s">
        <v>25</v>
      </c>
      <c r="W23" s="630">
        <f>J23</f>
        <v>100</v>
      </c>
      <c r="X23" s="1333"/>
      <c r="Y23" s="3512"/>
      <c r="Z23" s="1334" t="str">
        <f>Q23</f>
        <v>环境质量</v>
      </c>
      <c r="AA23" s="1335">
        <f t="shared" si="3"/>
        <v>1</v>
      </c>
      <c r="AB23" s="1335">
        <f t="shared" si="4"/>
        <v>1</v>
      </c>
      <c r="AC23" s="1335">
        <f t="shared" si="5"/>
        <v>1</v>
      </c>
    </row>
    <row r="24" spans="1:29" ht="15">
      <c r="A24" s="318"/>
      <c r="B24" s="1567"/>
      <c r="C24" s="335"/>
      <c r="D24" s="336"/>
      <c r="E24" s="337"/>
      <c r="F24" s="338"/>
      <c r="G24" s="1564"/>
      <c r="H24" s="336"/>
      <c r="I24" s="337"/>
      <c r="J24" s="336"/>
      <c r="K24" s="501"/>
      <c r="L24" s="3032"/>
      <c r="M24" s="3023"/>
      <c r="N24" s="3023"/>
      <c r="O24" s="3031"/>
      <c r="P24" s="3512"/>
      <c r="Q24" s="1332"/>
      <c r="R24" s="629"/>
      <c r="S24" s="630"/>
      <c r="T24" s="629"/>
      <c r="U24" s="630"/>
      <c r="V24" s="629"/>
      <c r="W24" s="630"/>
      <c r="X24" s="1333"/>
      <c r="Y24" s="3512"/>
      <c r="Z24" s="1334"/>
      <c r="AA24" s="1335">
        <v>1</v>
      </c>
      <c r="AB24" s="1335">
        <v>1</v>
      </c>
      <c r="AC24" s="1335">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12"/>
      <c r="Q25" s="1332">
        <f>B25</f>
        <v>111</v>
      </c>
      <c r="R25" s="629" t="s">
        <v>25</v>
      </c>
      <c r="S25" s="630">
        <f>F25</f>
        <v>100</v>
      </c>
      <c r="T25" s="629" t="s">
        <v>25</v>
      </c>
      <c r="U25" s="630">
        <f>H25</f>
        <v>100</v>
      </c>
      <c r="V25" s="629" t="s">
        <v>25</v>
      </c>
      <c r="W25" s="630">
        <f>J25</f>
        <v>100</v>
      </c>
      <c r="X25" s="1333"/>
      <c r="Y25" s="3512"/>
      <c r="Z25" s="1334">
        <f>Q25</f>
        <v>111</v>
      </c>
      <c r="AA25" s="1335">
        <f t="shared" si="3"/>
        <v>1</v>
      </c>
      <c r="AB25" s="1335">
        <f t="shared" si="4"/>
        <v>1</v>
      </c>
      <c r="AC25" s="1335">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12"/>
      <c r="Q26" s="1332">
        <f t="shared" ref="Q26:Q40" si="11">B26</f>
        <v>111</v>
      </c>
      <c r="R26" s="629" t="s">
        <v>25</v>
      </c>
      <c r="S26" s="630">
        <f>F26</f>
        <v>100</v>
      </c>
      <c r="T26" s="629" t="s">
        <v>25</v>
      </c>
      <c r="U26" s="630">
        <f>H26</f>
        <v>100</v>
      </c>
      <c r="V26" s="629" t="s">
        <v>25</v>
      </c>
      <c r="W26" s="630">
        <f>J26</f>
        <v>100</v>
      </c>
      <c r="X26" s="1333"/>
      <c r="Y26" s="3512"/>
      <c r="Z26" s="1334">
        <f>Q26</f>
        <v>111</v>
      </c>
      <c r="AA26" s="1335">
        <f t="shared" si="3"/>
        <v>1</v>
      </c>
      <c r="AB26" s="1335">
        <f t="shared" si="4"/>
        <v>1</v>
      </c>
      <c r="AC26" s="1335">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12"/>
      <c r="Q27" s="1325">
        <f t="shared" si="11"/>
        <v>111</v>
      </c>
      <c r="R27" s="625" t="s">
        <v>25</v>
      </c>
      <c r="S27" s="626">
        <f>F27</f>
        <v>100</v>
      </c>
      <c r="T27" s="625" t="s">
        <v>25</v>
      </c>
      <c r="U27" s="626">
        <f>H27</f>
        <v>100</v>
      </c>
      <c r="V27" s="625" t="s">
        <v>25</v>
      </c>
      <c r="W27" s="626">
        <f>J27</f>
        <v>100</v>
      </c>
      <c r="X27" s="627"/>
      <c r="Y27" s="3512"/>
      <c r="Z27" s="19">
        <f>Q27</f>
        <v>111</v>
      </c>
      <c r="AA27" s="1335">
        <f>D27/F27</f>
        <v>1</v>
      </c>
      <c r="AB27" s="1335">
        <f>D27/H27</f>
        <v>1</v>
      </c>
      <c r="AC27" s="1335">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12"/>
      <c r="Q28" s="1332">
        <f t="shared" si="11"/>
        <v>111</v>
      </c>
      <c r="R28" s="629" t="s">
        <v>25</v>
      </c>
      <c r="S28" s="630">
        <f t="shared" ref="S28:S40" si="12">F28</f>
        <v>100</v>
      </c>
      <c r="T28" s="629" t="s">
        <v>25</v>
      </c>
      <c r="U28" s="630">
        <f t="shared" ref="U28:U40" si="13">H28</f>
        <v>100</v>
      </c>
      <c r="V28" s="629" t="s">
        <v>25</v>
      </c>
      <c r="W28" s="630">
        <f t="shared" ref="W28:W40" si="14">J28</f>
        <v>100</v>
      </c>
      <c r="X28" s="1333"/>
      <c r="Y28" s="3512"/>
      <c r="Z28" s="1334">
        <f t="shared" ref="Z28:Z40" si="15">Q28</f>
        <v>111</v>
      </c>
      <c r="AA28" s="1335">
        <f t="shared" si="3"/>
        <v>1</v>
      </c>
      <c r="AB28" s="1335">
        <f t="shared" si="4"/>
        <v>1</v>
      </c>
      <c r="AC28" s="1335">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32"/>
      <c r="M29" s="3023"/>
      <c r="N29" s="3023"/>
      <c r="O29" s="3031"/>
      <c r="P29" s="3514" t="s">
        <v>2276</v>
      </c>
      <c r="Q29" s="1332" t="str">
        <f t="shared" si="11"/>
        <v>建筑类型</v>
      </c>
      <c r="R29" s="629" t="s">
        <v>25</v>
      </c>
      <c r="S29" s="630">
        <f t="shared" si="12"/>
        <v>100</v>
      </c>
      <c r="T29" s="629" t="s">
        <v>25</v>
      </c>
      <c r="U29" s="630">
        <f t="shared" si="13"/>
        <v>100</v>
      </c>
      <c r="V29" s="629" t="s">
        <v>25</v>
      </c>
      <c r="W29" s="630">
        <f t="shared" si="14"/>
        <v>100</v>
      </c>
      <c r="X29" s="1333"/>
      <c r="Y29" s="3515" t="s">
        <v>2276</v>
      </c>
      <c r="Z29" s="1334" t="str">
        <f t="shared" si="15"/>
        <v>建筑类型</v>
      </c>
      <c r="AA29" s="1335">
        <f t="shared" si="3"/>
        <v>1</v>
      </c>
      <c r="AB29" s="1335">
        <f t="shared" si="4"/>
        <v>1</v>
      </c>
      <c r="AC29" s="1335">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15"/>
      <c r="Q30" s="631" t="str">
        <f t="shared" si="11"/>
        <v>项目建筑规模</v>
      </c>
      <c r="R30" s="632" t="s">
        <v>25</v>
      </c>
      <c r="S30" s="633" t="e">
        <f t="shared" si="12"/>
        <v>#N/A</v>
      </c>
      <c r="T30" s="632" t="s">
        <v>25</v>
      </c>
      <c r="U30" s="633" t="e">
        <f t="shared" si="13"/>
        <v>#N/A</v>
      </c>
      <c r="V30" s="632" t="s">
        <v>25</v>
      </c>
      <c r="W30" s="633" t="e">
        <f t="shared" si="14"/>
        <v>#N/A</v>
      </c>
      <c r="X30" s="634"/>
      <c r="Y30" s="3515"/>
      <c r="Z30" s="635" t="str">
        <f t="shared" si="15"/>
        <v>项目建筑规模</v>
      </c>
      <c r="AA30" s="1335" t="e">
        <f t="shared" si="3"/>
        <v>#N/A</v>
      </c>
      <c r="AB30" s="1335" t="e">
        <f t="shared" si="4"/>
        <v>#N/A</v>
      </c>
      <c r="AC30" s="1335"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15"/>
      <c r="Q31" s="1332" t="str">
        <f t="shared" si="11"/>
        <v>建筑结构</v>
      </c>
      <c r="R31" s="629" t="s">
        <v>25</v>
      </c>
      <c r="S31" s="630">
        <f t="shared" si="12"/>
        <v>100</v>
      </c>
      <c r="T31" s="629" t="s">
        <v>25</v>
      </c>
      <c r="U31" s="630">
        <f t="shared" si="13"/>
        <v>100</v>
      </c>
      <c r="V31" s="629" t="s">
        <v>25</v>
      </c>
      <c r="W31" s="630">
        <f t="shared" si="14"/>
        <v>100</v>
      </c>
      <c r="X31" s="1333"/>
      <c r="Y31" s="3515"/>
      <c r="Z31" s="1334" t="str">
        <f t="shared" si="15"/>
        <v>建筑结构</v>
      </c>
      <c r="AA31" s="1335">
        <f t="shared" si="3"/>
        <v>1</v>
      </c>
      <c r="AB31" s="1335">
        <f t="shared" si="4"/>
        <v>1</v>
      </c>
      <c r="AC31" s="1335">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15"/>
      <c r="Q32" s="1332" t="str">
        <f t="shared" si="11"/>
        <v>公共部分装修</v>
      </c>
      <c r="R32" s="629" t="s">
        <v>25</v>
      </c>
      <c r="S32" s="630">
        <f t="shared" si="12"/>
        <v>100</v>
      </c>
      <c r="T32" s="629" t="s">
        <v>25</v>
      </c>
      <c r="U32" s="630">
        <f t="shared" si="13"/>
        <v>100</v>
      </c>
      <c r="V32" s="629" t="s">
        <v>25</v>
      </c>
      <c r="W32" s="630">
        <f t="shared" si="14"/>
        <v>100</v>
      </c>
      <c r="X32" s="1333"/>
      <c r="Y32" s="3515"/>
      <c r="Z32" s="1334" t="str">
        <f t="shared" si="15"/>
        <v>公共部分装修</v>
      </c>
      <c r="AA32" s="1335">
        <f t="shared" si="3"/>
        <v>1</v>
      </c>
      <c r="AB32" s="1335">
        <f t="shared" si="4"/>
        <v>1</v>
      </c>
      <c r="AC32" s="1335">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15"/>
      <c r="Q33" s="1332" t="str">
        <f t="shared" si="11"/>
        <v>成新度</v>
      </c>
      <c r="R33" s="629" t="s">
        <v>25</v>
      </c>
      <c r="S33" s="630" t="e">
        <f t="shared" si="12"/>
        <v>#N/A</v>
      </c>
      <c r="T33" s="629" t="s">
        <v>25</v>
      </c>
      <c r="U33" s="630" t="e">
        <f t="shared" si="13"/>
        <v>#N/A</v>
      </c>
      <c r="V33" s="629" t="s">
        <v>25</v>
      </c>
      <c r="W33" s="630" t="e">
        <f t="shared" si="14"/>
        <v>#N/A</v>
      </c>
      <c r="X33" s="1333"/>
      <c r="Y33" s="3515"/>
      <c r="Z33" s="1334" t="str">
        <f t="shared" si="15"/>
        <v>成新度</v>
      </c>
      <c r="AA33" s="1335" t="e">
        <f t="shared" si="3"/>
        <v>#N/A</v>
      </c>
      <c r="AB33" s="1335" t="e">
        <f t="shared" si="4"/>
        <v>#N/A</v>
      </c>
      <c r="AC33" s="1335"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15"/>
      <c r="Q34" s="1325" t="str">
        <f t="shared" si="11"/>
        <v>物业管理</v>
      </c>
      <c r="R34" s="625" t="s">
        <v>25</v>
      </c>
      <c r="S34" s="626">
        <f t="shared" si="12"/>
        <v>100</v>
      </c>
      <c r="T34" s="625" t="s">
        <v>25</v>
      </c>
      <c r="U34" s="626">
        <f t="shared" si="13"/>
        <v>100</v>
      </c>
      <c r="V34" s="625" t="s">
        <v>25</v>
      </c>
      <c r="W34" s="626">
        <f t="shared" si="14"/>
        <v>100</v>
      </c>
      <c r="X34" s="627"/>
      <c r="Y34" s="3515"/>
      <c r="Z34" s="19" t="str">
        <f t="shared" si="15"/>
        <v>物业管理</v>
      </c>
      <c r="AA34" s="628">
        <f t="shared" si="3"/>
        <v>1</v>
      </c>
      <c r="AB34" s="628">
        <f t="shared" si="4"/>
        <v>1</v>
      </c>
      <c r="AC34" s="628">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15" t="s">
        <v>2276</v>
      </c>
      <c r="Q35" s="1332" t="str">
        <f t="shared" si="11"/>
        <v>市政基础设施</v>
      </c>
      <c r="R35" s="629" t="s">
        <v>25</v>
      </c>
      <c r="S35" s="630">
        <f t="shared" si="12"/>
        <v>100</v>
      </c>
      <c r="T35" s="629" t="s">
        <v>25</v>
      </c>
      <c r="U35" s="630">
        <f t="shared" si="13"/>
        <v>100</v>
      </c>
      <c r="V35" s="629" t="s">
        <v>25</v>
      </c>
      <c r="W35" s="630">
        <f t="shared" si="14"/>
        <v>100</v>
      </c>
      <c r="X35" s="1333"/>
      <c r="Y35" s="3515" t="s">
        <v>2276</v>
      </c>
      <c r="Z35" s="1334" t="str">
        <f t="shared" si="15"/>
        <v>市政基础设施</v>
      </c>
      <c r="AA35" s="1335">
        <f t="shared" si="3"/>
        <v>1</v>
      </c>
      <c r="AB35" s="1335">
        <f t="shared" si="4"/>
        <v>1</v>
      </c>
      <c r="AC35" s="1335">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15"/>
      <c r="Q36" s="1332" t="str">
        <f t="shared" si="11"/>
        <v>内部装修</v>
      </c>
      <c r="R36" s="629" t="s">
        <v>25</v>
      </c>
      <c r="S36" s="630">
        <f t="shared" si="12"/>
        <v>100</v>
      </c>
      <c r="T36" s="629" t="s">
        <v>25</v>
      </c>
      <c r="U36" s="630">
        <f t="shared" si="13"/>
        <v>100</v>
      </c>
      <c r="V36" s="629" t="s">
        <v>25</v>
      </c>
      <c r="W36" s="630">
        <f t="shared" si="14"/>
        <v>100</v>
      </c>
      <c r="X36" s="1333"/>
      <c r="Y36" s="3515"/>
      <c r="Z36" s="1334" t="str">
        <f t="shared" si="15"/>
        <v>内部装修</v>
      </c>
      <c r="AA36" s="1335">
        <f t="shared" si="3"/>
        <v>1</v>
      </c>
      <c r="AB36" s="1335">
        <f t="shared" si="4"/>
        <v>1</v>
      </c>
      <c r="AC36" s="1335">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15"/>
      <c r="Q37" s="1332" t="str">
        <f t="shared" si="11"/>
        <v>内部装修状况</v>
      </c>
      <c r="R37" s="629" t="s">
        <v>25</v>
      </c>
      <c r="S37" s="630">
        <f t="shared" si="12"/>
        <v>100</v>
      </c>
      <c r="T37" s="629" t="s">
        <v>25</v>
      </c>
      <c r="U37" s="630">
        <f t="shared" si="13"/>
        <v>100</v>
      </c>
      <c r="V37" s="629" t="s">
        <v>25</v>
      </c>
      <c r="W37" s="630">
        <f t="shared" si="14"/>
        <v>100</v>
      </c>
      <c r="X37" s="1333"/>
      <c r="Y37" s="3515"/>
      <c r="Z37" s="1334" t="str">
        <f t="shared" si="15"/>
        <v>内部装修状况</v>
      </c>
      <c r="AA37" s="1335">
        <f t="shared" si="3"/>
        <v>1</v>
      </c>
      <c r="AB37" s="1335">
        <f t="shared" si="4"/>
        <v>1</v>
      </c>
      <c r="AC37" s="1335">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15"/>
      <c r="Q38" s="631">
        <f t="shared" si="11"/>
        <v>111</v>
      </c>
      <c r="R38" s="632" t="s">
        <v>25</v>
      </c>
      <c r="S38" s="633">
        <f t="shared" si="12"/>
        <v>100</v>
      </c>
      <c r="T38" s="632" t="s">
        <v>25</v>
      </c>
      <c r="U38" s="633">
        <f t="shared" si="13"/>
        <v>100</v>
      </c>
      <c r="V38" s="632" t="s">
        <v>25</v>
      </c>
      <c r="W38" s="633">
        <f t="shared" si="14"/>
        <v>100</v>
      </c>
      <c r="X38" s="634"/>
      <c r="Y38" s="3515"/>
      <c r="Z38" s="635">
        <f t="shared" si="15"/>
        <v>111</v>
      </c>
      <c r="AA38" s="1335">
        <f t="shared" si="3"/>
        <v>1</v>
      </c>
      <c r="AB38" s="1335">
        <f t="shared" si="4"/>
        <v>1</v>
      </c>
      <c r="AC38" s="1335">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15"/>
      <c r="Q39" s="1332">
        <f t="shared" si="11"/>
        <v>111</v>
      </c>
      <c r="R39" s="629" t="s">
        <v>25</v>
      </c>
      <c r="S39" s="630">
        <f t="shared" si="12"/>
        <v>100</v>
      </c>
      <c r="T39" s="629" t="s">
        <v>25</v>
      </c>
      <c r="U39" s="630">
        <f t="shared" si="13"/>
        <v>100</v>
      </c>
      <c r="V39" s="629" t="s">
        <v>25</v>
      </c>
      <c r="W39" s="630">
        <f t="shared" si="14"/>
        <v>100</v>
      </c>
      <c r="X39" s="1333"/>
      <c r="Y39" s="3515"/>
      <c r="Z39" s="1334">
        <f t="shared" si="15"/>
        <v>111</v>
      </c>
      <c r="AA39" s="1335">
        <f t="shared" si="3"/>
        <v>1</v>
      </c>
      <c r="AB39" s="1335">
        <f t="shared" si="4"/>
        <v>1</v>
      </c>
      <c r="AC39" s="1335">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16"/>
      <c r="Q40" s="1332">
        <f t="shared" si="11"/>
        <v>111</v>
      </c>
      <c r="R40" s="629" t="s">
        <v>25</v>
      </c>
      <c r="S40" s="630">
        <f t="shared" si="12"/>
        <v>100</v>
      </c>
      <c r="T40" s="629" t="s">
        <v>25</v>
      </c>
      <c r="U40" s="630">
        <f t="shared" si="13"/>
        <v>100</v>
      </c>
      <c r="V40" s="629" t="s">
        <v>25</v>
      </c>
      <c r="W40" s="630">
        <f t="shared" si="14"/>
        <v>100</v>
      </c>
      <c r="X40" s="1333"/>
      <c r="Y40" s="3516"/>
      <c r="Z40" s="1334">
        <f t="shared" si="15"/>
        <v>111</v>
      </c>
      <c r="AA40" s="1335">
        <f t="shared" si="3"/>
        <v>1</v>
      </c>
      <c r="AB40" s="1335">
        <f t="shared" si="4"/>
        <v>1</v>
      </c>
      <c r="AC40" s="1335">
        <f t="shared" si="5"/>
        <v>1</v>
      </c>
    </row>
    <row r="41" spans="1:29" ht="15">
      <c r="A41" s="367" t="s">
        <v>2288</v>
      </c>
      <c r="B41" s="368"/>
      <c r="C41" s="1151" t="s">
        <v>1</v>
      </c>
      <c r="D41" s="1152"/>
      <c r="E41" s="1153"/>
      <c r="F41" s="1154"/>
      <c r="G41" s="1155"/>
      <c r="H41" s="1156"/>
      <c r="I41" s="1153"/>
      <c r="J41" s="1156"/>
      <c r="K41" s="638"/>
      <c r="L41" s="3034"/>
      <c r="N41" s="3023"/>
      <c r="P41" s="3483" t="str">
        <f>A41</f>
        <v>成交单价（元/平方米）</v>
      </c>
      <c r="Q41" s="3483"/>
      <c r="R41" s="3517">
        <f>E41</f>
        <v>0</v>
      </c>
      <c r="S41" s="3517"/>
      <c r="T41" s="3517">
        <f>G41</f>
        <v>0</v>
      </c>
      <c r="U41" s="3517"/>
      <c r="V41" s="3517">
        <f>I41</f>
        <v>0</v>
      </c>
      <c r="W41" s="3517"/>
      <c r="X41" s="616"/>
      <c r="Y41" s="636"/>
      <c r="Z41" s="616"/>
      <c r="AA41" s="616"/>
      <c r="AB41" s="616"/>
      <c r="AC41" s="616"/>
    </row>
    <row r="42" spans="1:29" ht="15.75" thickBot="1">
      <c r="A42" s="374" t="s">
        <v>2371</v>
      </c>
      <c r="B42" s="375"/>
      <c r="C42" s="1157" t="e">
        <f>R43</f>
        <v>#DIV/0!</v>
      </c>
      <c r="D42" s="1795" t="s">
        <v>2743</v>
      </c>
      <c r="E42" s="1158" t="e">
        <f>R42</f>
        <v>#DIV/0!</v>
      </c>
      <c r="F42" s="1797"/>
      <c r="G42" s="1157" t="e">
        <f>T42</f>
        <v>#DIV/0!</v>
      </c>
      <c r="H42" s="1797"/>
      <c r="I42" s="1158" t="e">
        <f>V42</f>
        <v>#DIV/0!</v>
      </c>
      <c r="J42" s="1797"/>
      <c r="K42" s="2509">
        <f>F42+H42+J42</f>
        <v>0</v>
      </c>
      <c r="L42" s="3034"/>
      <c r="N42" s="3023"/>
      <c r="P42" s="3483" t="str">
        <f>A42</f>
        <v>比较价值（元/平方米）</v>
      </c>
      <c r="Q42" s="3483"/>
      <c r="R42" s="3517" t="e">
        <f>IF(E1="售价",ROUND(PRODUCT(R41,AA7:AA40),0),ROUND(PRODUCT(R41,AA7:AA40),1))</f>
        <v>#DIV/0!</v>
      </c>
      <c r="S42" s="3517"/>
      <c r="T42" s="3517" t="e">
        <f>IF(E1="售价",ROUND(PRODUCT(T41,AB7:AB40),0),ROUND(PRODUCT(T41,AB7:AB40),1))</f>
        <v>#DIV/0!</v>
      </c>
      <c r="U42" s="3517"/>
      <c r="V42" s="3517" t="e">
        <f>IF(E1="售价",ROUND(PRODUCT(V41,AC7:AC40),0),ROUND(PRODUCT(V41,AC7:AC40),1))</f>
        <v>#DIV/0!</v>
      </c>
      <c r="W42" s="3517"/>
      <c r="X42" s="616"/>
      <c r="Y42" s="616"/>
      <c r="Z42" s="616"/>
      <c r="AA42" s="616"/>
      <c r="AB42" s="616"/>
      <c r="AC42" s="616"/>
    </row>
    <row r="43" spans="1:29" ht="15.75" thickBot="1">
      <c r="A43" s="378" t="s">
        <v>2394</v>
      </c>
      <c r="B43" s="379"/>
      <c r="C43" s="1159" t="e">
        <f>R43</f>
        <v>#DIV/0!</v>
      </c>
      <c r="D43" s="1159"/>
      <c r="E43" s="1159"/>
      <c r="F43" s="1159"/>
      <c r="G43" s="1159"/>
      <c r="H43" s="1159"/>
      <c r="I43" s="1159"/>
      <c r="J43" s="1159"/>
      <c r="K43" s="639"/>
      <c r="L43" s="3034"/>
      <c r="P43" s="3518" t="str">
        <f>A43</f>
        <v>估价对象XX用房的比较价值（楼面单价，元/平方米）</v>
      </c>
      <c r="Q43" s="3519"/>
      <c r="R43" s="3520" t="e">
        <f>IF(E1="售价",ROUND(IF(D42="简单平均",AVERAGE(R42:V42),R42*F42+T42*H42+V42*J42),0),ROUND(IF(D42="简单平均",AVERAGE(R42:V42),R42*F42+T42*H42+V42*J42),1))</f>
        <v>#DIV/0!</v>
      </c>
      <c r="S43" s="3520"/>
      <c r="T43" s="3520"/>
      <c r="U43" s="3520"/>
      <c r="V43" s="3520"/>
      <c r="W43" s="3520"/>
      <c r="X43" s="616"/>
      <c r="Y43" s="616"/>
      <c r="Z43" s="616"/>
      <c r="AA43" s="616"/>
      <c r="AB43" s="616"/>
      <c r="AC43" s="616"/>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18" t="s">
        <v>2376</v>
      </c>
      <c r="B51" s="616"/>
      <c r="C51" s="619"/>
      <c r="D51" s="619"/>
      <c r="E51" s="619"/>
      <c r="F51" s="620"/>
      <c r="G51" s="620"/>
      <c r="H51" s="619"/>
      <c r="I51" s="619"/>
      <c r="J51" s="619"/>
      <c r="K51" s="621"/>
      <c r="L51" s="622"/>
      <c r="M51" s="619"/>
      <c r="N51" s="3040"/>
      <c r="O51" s="3040"/>
      <c r="P51" s="389"/>
      <c r="Q51" s="390"/>
    </row>
    <row r="52" spans="1:17" s="394" customFormat="1" ht="15">
      <c r="A52" s="391" t="s">
        <v>2258</v>
      </c>
      <c r="B52" s="392"/>
      <c r="C52" s="1185" t="str">
        <f>YEAR(C7)&amp;"-"&amp;MONTH(C7)</f>
        <v>2021-3</v>
      </c>
      <c r="D52" s="1186">
        <f>EDATE(C52,-1)</f>
        <v>44228</v>
      </c>
      <c r="E52" s="1187">
        <f t="shared" ref="E52:O52" si="16">EDATE(D52,-1)</f>
        <v>44197</v>
      </c>
      <c r="F52" s="1187">
        <f t="shared" si="16"/>
        <v>44166</v>
      </c>
      <c r="G52" s="1187">
        <f t="shared" si="16"/>
        <v>44136</v>
      </c>
      <c r="H52" s="1187">
        <f t="shared" si="16"/>
        <v>44105</v>
      </c>
      <c r="I52" s="1187">
        <f t="shared" si="16"/>
        <v>44075</v>
      </c>
      <c r="J52" s="1187">
        <f t="shared" si="16"/>
        <v>44044</v>
      </c>
      <c r="K52" s="1187">
        <f t="shared" si="16"/>
        <v>44013</v>
      </c>
      <c r="L52" s="1187">
        <f t="shared" si="16"/>
        <v>43983</v>
      </c>
      <c r="M52" s="1187">
        <f t="shared" si="16"/>
        <v>43952</v>
      </c>
      <c r="N52" s="1187">
        <f t="shared" si="16"/>
        <v>43922</v>
      </c>
      <c r="O52" s="1187">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80"/>
      <c r="C1" s="1219"/>
      <c r="D1" s="1220"/>
      <c r="E1" s="1557"/>
      <c r="F1" s="1221" t="s">
        <v>2243</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IF(D2="——",IF(B37="元/平方米",IF(C2="元",ROUND(C39*D3,0),ROUND(C39*D3/10000,0)),IF(C2="元",ROUND(F3*C39,0),ROUND(F3*C39/10000,0))),IF(B37="元/平方米",IF(C2="元",ROUND(C39*D3,0),ROUND(C39*D3/10000,0)),IF(C2="元",ROUND(F3*C39,0),ROUND(F3*C39/10000,0)))-E2)</f>
        <v>#DIV/0!</v>
      </c>
      <c r="C2" s="79" t="str">
        <f>'数据-取费表'!B3</f>
        <v>万元</v>
      </c>
      <c r="D2" s="1558"/>
      <c r="E2" s="925" t="e">
        <f ca="1">SUMIF(INDIRECT("'"&amp;G2&amp;"'"&amp;"!A:A"),"承租人权益价值",INDIRECT("'"&amp;G2&amp;"'"&amp;"!c:c"))</f>
        <v>#REF!</v>
      </c>
      <c r="F2" s="1559" t="str">
        <f>C2</f>
        <v>万元</v>
      </c>
      <c r="G2" s="1560"/>
      <c r="H2" s="3017"/>
      <c r="I2" s="3017"/>
      <c r="J2" s="3017"/>
      <c r="K2" s="3021"/>
      <c r="L2" s="3018"/>
      <c r="M2" s="3019"/>
      <c r="N2" s="3019"/>
      <c r="O2" s="3019"/>
      <c r="P2" s="623"/>
      <c r="Q2" s="623"/>
      <c r="R2" s="623"/>
      <c r="S2" s="623"/>
      <c r="T2" s="623"/>
      <c r="U2" s="623"/>
      <c r="V2" s="623"/>
      <c r="W2" s="623"/>
      <c r="X2" s="623"/>
      <c r="Y2" s="623"/>
      <c r="Z2" s="623"/>
      <c r="AA2" s="623"/>
      <c r="AB2" s="623"/>
      <c r="AC2" s="624"/>
    </row>
    <row r="3" spans="1:29" s="291" customFormat="1" ht="28.5" customHeight="1" thickBot="1">
      <c r="A3" s="83" t="s">
        <v>1915</v>
      </c>
      <c r="B3" s="495" t="e">
        <f>IF(AND(D2="——",B37="元/平方米"),C39,ROUND(F3*C39/D3,0))</f>
        <v>#DIV/0!</v>
      </c>
      <c r="C3" s="293" t="s">
        <v>2244</v>
      </c>
      <c r="D3" s="292">
        <f>IF(C1="仅计算典型户型",'数据-取费表'!E5,'数据-取费表'!B5)</f>
        <v>1715.28</v>
      </c>
      <c r="E3" s="837" t="s">
        <v>2406</v>
      </c>
      <c r="F3" s="293">
        <f>'数据-取费表'!B42</f>
        <v>0</v>
      </c>
      <c r="G3" s="3017"/>
      <c r="H3" s="3017"/>
      <c r="I3" s="3017"/>
      <c r="J3" s="3017"/>
      <c r="K3" s="3021"/>
      <c r="L3" s="3018"/>
      <c r="M3" s="3019"/>
      <c r="N3" s="3019"/>
      <c r="O3" s="3019"/>
      <c r="P3" s="623"/>
      <c r="Q3" s="623"/>
      <c r="R3" s="623"/>
      <c r="S3" s="623"/>
      <c r="T3" s="623"/>
      <c r="U3" s="623"/>
      <c r="V3" s="623"/>
      <c r="W3" s="623"/>
      <c r="X3" s="623"/>
      <c r="Y3" s="623"/>
      <c r="Z3" s="623"/>
      <c r="AA3" s="623"/>
      <c r="AB3" s="642"/>
      <c r="AC3" s="637"/>
    </row>
    <row r="4" spans="1:29" ht="15">
      <c r="A4" s="294" t="s">
        <v>2245</v>
      </c>
      <c r="B4" s="295"/>
      <c r="C4" s="3491" t="s">
        <v>2246</v>
      </c>
      <c r="D4" s="3492"/>
      <c r="E4" s="3493" t="s">
        <v>2247</v>
      </c>
      <c r="F4" s="3494"/>
      <c r="G4" s="3491" t="s">
        <v>2248</v>
      </c>
      <c r="H4" s="3492"/>
      <c r="I4" s="3491" t="s">
        <v>2249</v>
      </c>
      <c r="J4" s="3492"/>
      <c r="K4" s="496" t="s">
        <v>2250</v>
      </c>
      <c r="L4" s="3022"/>
      <c r="M4" s="3023"/>
      <c r="N4" s="3023"/>
      <c r="O4" s="3023"/>
      <c r="P4" s="3495" t="s">
        <v>2251</v>
      </c>
      <c r="Q4" s="3496"/>
      <c r="R4" s="3501" t="s">
        <v>2247</v>
      </c>
      <c r="S4" s="3502"/>
      <c r="T4" s="3501" t="s">
        <v>2248</v>
      </c>
      <c r="U4" s="3502"/>
      <c r="V4" s="3507" t="s">
        <v>2249</v>
      </c>
      <c r="W4" s="3507"/>
      <c r="X4" s="1333"/>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22"/>
      <c r="M5" s="3023"/>
      <c r="N5" s="3023"/>
      <c r="O5" s="3023"/>
      <c r="P5" s="3497"/>
      <c r="Q5" s="3498"/>
      <c r="R5" s="3503"/>
      <c r="S5" s="3504"/>
      <c r="T5" s="3503"/>
      <c r="U5" s="3504"/>
      <c r="V5" s="3507"/>
      <c r="W5" s="3507"/>
      <c r="X5" s="1333"/>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22"/>
      <c r="M6" s="3023"/>
      <c r="N6" s="3023"/>
      <c r="O6" s="3023"/>
      <c r="P6" s="3499"/>
      <c r="Q6" s="3500"/>
      <c r="R6" s="3503"/>
      <c r="S6" s="3504"/>
      <c r="T6" s="3505"/>
      <c r="U6" s="3506"/>
      <c r="V6" s="3507"/>
      <c r="W6" s="3507"/>
      <c r="X6" s="1333"/>
      <c r="Y6" s="3505"/>
      <c r="Z6" s="3506"/>
      <c r="AA6" s="3490"/>
      <c r="AB6" s="3490"/>
      <c r="AC6" s="3490"/>
    </row>
    <row r="7" spans="1:29" s="25" customFormat="1" ht="15.75" thickBot="1">
      <c r="A7" s="301" t="s">
        <v>2258</v>
      </c>
      <c r="B7" s="302"/>
      <c r="C7" s="303">
        <f>'数据-取费表'!B2</f>
        <v>44270</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86" t="s">
        <v>2259</v>
      </c>
      <c r="Q7" s="3510"/>
      <c r="R7" s="625" t="s">
        <v>25</v>
      </c>
      <c r="S7" s="626">
        <f t="shared" ref="S7:S14" si="0">F7</f>
        <v>0</v>
      </c>
      <c r="T7" s="625" t="s">
        <v>25</v>
      </c>
      <c r="U7" s="626">
        <f t="shared" ref="U7:U14" si="1">H7</f>
        <v>0</v>
      </c>
      <c r="V7" s="625" t="s">
        <v>25</v>
      </c>
      <c r="W7" s="626">
        <f t="shared" ref="W7:W14" si="2">J7</f>
        <v>0</v>
      </c>
      <c r="X7" s="627"/>
      <c r="Y7" s="3486" t="s">
        <v>2259</v>
      </c>
      <c r="Z7" s="3487"/>
      <c r="AA7" s="628" t="e">
        <f>D7/F7</f>
        <v>#DIV/0!</v>
      </c>
      <c r="AB7" s="628" t="e">
        <f>D7/H7</f>
        <v>#DIV/0!</v>
      </c>
      <c r="AC7" s="628"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86" t="s">
        <v>2262</v>
      </c>
      <c r="Q8" s="3487"/>
      <c r="R8" s="625" t="s">
        <v>25</v>
      </c>
      <c r="S8" s="626">
        <f t="shared" si="0"/>
        <v>0</v>
      </c>
      <c r="T8" s="625" t="s">
        <v>25</v>
      </c>
      <c r="U8" s="626">
        <f t="shared" si="1"/>
        <v>0</v>
      </c>
      <c r="V8" s="625" t="s">
        <v>25</v>
      </c>
      <c r="W8" s="626">
        <f t="shared" si="2"/>
        <v>0</v>
      </c>
      <c r="X8" s="627"/>
      <c r="Y8" s="3486" t="s">
        <v>2262</v>
      </c>
      <c r="Z8" s="3487"/>
      <c r="AA8" s="628" t="e">
        <f t="shared" ref="AA8:AA36" si="3">D8/F8</f>
        <v>#DIV/0!</v>
      </c>
      <c r="AB8" s="628" t="e">
        <f t="shared" ref="AB8:AB36" si="4">D8/H8</f>
        <v>#DIV/0!</v>
      </c>
      <c r="AC8" s="628"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83" t="s">
        <v>2265</v>
      </c>
      <c r="Q9" s="1325" t="str">
        <f t="shared" ref="Q9:Q14" si="6">B9</f>
        <v>用途</v>
      </c>
      <c r="R9" s="625" t="s">
        <v>25</v>
      </c>
      <c r="S9" s="626">
        <f t="shared" si="0"/>
        <v>100</v>
      </c>
      <c r="T9" s="625" t="s">
        <v>25</v>
      </c>
      <c r="U9" s="626">
        <f t="shared" si="1"/>
        <v>100</v>
      </c>
      <c r="V9" s="625" t="s">
        <v>25</v>
      </c>
      <c r="W9" s="626">
        <f t="shared" si="2"/>
        <v>100</v>
      </c>
      <c r="X9" s="627"/>
      <c r="Y9" s="3513" t="s">
        <v>2266</v>
      </c>
      <c r="Z9" s="19" t="str">
        <f t="shared" ref="Z9:Z14" si="7">Q9</f>
        <v>用途</v>
      </c>
      <c r="AA9" s="628">
        <f t="shared" si="3"/>
        <v>1</v>
      </c>
      <c r="AB9" s="628">
        <f t="shared" si="4"/>
        <v>1</v>
      </c>
      <c r="AC9" s="628">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83"/>
      <c r="Q10" s="1325" t="str">
        <f t="shared" si="6"/>
        <v>土地使用年限（年）</v>
      </c>
      <c r="R10" s="625" t="s">
        <v>25</v>
      </c>
      <c r="S10" s="626">
        <f t="shared" si="0"/>
        <v>100</v>
      </c>
      <c r="T10" s="625" t="s">
        <v>25</v>
      </c>
      <c r="U10" s="626">
        <f t="shared" si="1"/>
        <v>100</v>
      </c>
      <c r="V10" s="625" t="s">
        <v>25</v>
      </c>
      <c r="W10" s="626">
        <f t="shared" si="2"/>
        <v>100</v>
      </c>
      <c r="X10" s="627"/>
      <c r="Y10" s="3513"/>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83"/>
      <c r="Q11" s="1325">
        <f t="shared" si="6"/>
        <v>111</v>
      </c>
      <c r="R11" s="625" t="s">
        <v>25</v>
      </c>
      <c r="S11" s="626">
        <f t="shared" si="0"/>
        <v>100</v>
      </c>
      <c r="T11" s="625" t="s">
        <v>25</v>
      </c>
      <c r="U11" s="626">
        <f t="shared" si="1"/>
        <v>100</v>
      </c>
      <c r="V11" s="625" t="s">
        <v>25</v>
      </c>
      <c r="W11" s="626">
        <f t="shared" si="2"/>
        <v>100</v>
      </c>
      <c r="X11" s="627"/>
      <c r="Y11" s="3513"/>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83"/>
      <c r="Q12" s="1325">
        <f t="shared" si="6"/>
        <v>111</v>
      </c>
      <c r="R12" s="625" t="s">
        <v>25</v>
      </c>
      <c r="S12" s="626">
        <f t="shared" si="0"/>
        <v>100</v>
      </c>
      <c r="T12" s="625" t="s">
        <v>25</v>
      </c>
      <c r="U12" s="626">
        <f t="shared" si="1"/>
        <v>100</v>
      </c>
      <c r="V12" s="625" t="s">
        <v>25</v>
      </c>
      <c r="W12" s="626">
        <f t="shared" si="2"/>
        <v>100</v>
      </c>
      <c r="X12" s="627"/>
      <c r="Y12" s="3513"/>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83"/>
      <c r="Q13" s="1325">
        <f t="shared" si="6"/>
        <v>111</v>
      </c>
      <c r="R13" s="625" t="s">
        <v>25</v>
      </c>
      <c r="S13" s="626">
        <f t="shared" si="0"/>
        <v>100</v>
      </c>
      <c r="T13" s="625" t="s">
        <v>25</v>
      </c>
      <c r="U13" s="626">
        <f t="shared" si="1"/>
        <v>100</v>
      </c>
      <c r="V13" s="625" t="s">
        <v>25</v>
      </c>
      <c r="W13" s="626">
        <f t="shared" si="2"/>
        <v>100</v>
      </c>
      <c r="X13" s="627"/>
      <c r="Y13" s="3513"/>
      <c r="Z13" s="19">
        <f t="shared" si="7"/>
        <v>111</v>
      </c>
      <c r="AA13" s="628">
        <f t="shared" si="3"/>
        <v>1</v>
      </c>
      <c r="AB13" s="628">
        <f t="shared" si="4"/>
        <v>1</v>
      </c>
      <c r="AC13" s="628">
        <f t="shared" si="5"/>
        <v>1</v>
      </c>
    </row>
    <row r="14" spans="1:29" ht="85.5">
      <c r="A14" s="294" t="s">
        <v>2269</v>
      </c>
      <c r="B14" s="511" t="s">
        <v>2407</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11" t="s">
        <v>2270</v>
      </c>
      <c r="Q14" s="1332" t="str">
        <f t="shared" si="6"/>
        <v>交通便捷度</v>
      </c>
      <c r="R14" s="629" t="s">
        <v>25</v>
      </c>
      <c r="S14" s="630">
        <f t="shared" si="0"/>
        <v>100</v>
      </c>
      <c r="T14" s="629" t="s">
        <v>25</v>
      </c>
      <c r="U14" s="630">
        <f t="shared" si="1"/>
        <v>100</v>
      </c>
      <c r="V14" s="629" t="s">
        <v>25</v>
      </c>
      <c r="W14" s="630">
        <f t="shared" si="2"/>
        <v>100</v>
      </c>
      <c r="X14" s="1333"/>
      <c r="Y14" s="3511" t="s">
        <v>2270</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32"/>
      <c r="M15" s="3023"/>
      <c r="N15" s="3023"/>
      <c r="O15" s="3031"/>
      <c r="P15" s="3512"/>
      <c r="Q15" s="1332"/>
      <c r="R15" s="629"/>
      <c r="S15" s="630"/>
      <c r="T15" s="629"/>
      <c r="U15" s="630"/>
      <c r="V15" s="629"/>
      <c r="W15" s="630"/>
      <c r="X15" s="1333"/>
      <c r="Y15" s="3512"/>
      <c r="Z15" s="1334"/>
      <c r="AA15" s="1335">
        <v>1</v>
      </c>
      <c r="AB15" s="1335">
        <v>1</v>
      </c>
      <c r="AC15" s="1335">
        <v>1</v>
      </c>
    </row>
    <row r="16" spans="1:29" ht="42.75">
      <c r="A16" s="297"/>
      <c r="B16" s="513" t="s">
        <v>2385</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12"/>
      <c r="Q16" s="1332" t="str">
        <f>B16</f>
        <v>公共配套设施</v>
      </c>
      <c r="R16" s="629" t="s">
        <v>25</v>
      </c>
      <c r="S16" s="630">
        <f>F16</f>
        <v>100</v>
      </c>
      <c r="T16" s="629" t="s">
        <v>25</v>
      </c>
      <c r="U16" s="630">
        <f>H16</f>
        <v>100</v>
      </c>
      <c r="V16" s="629" t="s">
        <v>25</v>
      </c>
      <c r="W16" s="630">
        <f>J16</f>
        <v>100</v>
      </c>
      <c r="X16" s="1333"/>
      <c r="Y16" s="3512"/>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32"/>
      <c r="M17" s="3023"/>
      <c r="N17" s="3023"/>
      <c r="O17" s="3031"/>
      <c r="P17" s="3512"/>
      <c r="Q17" s="1332"/>
      <c r="R17" s="629"/>
      <c r="S17" s="630"/>
      <c r="T17" s="629"/>
      <c r="U17" s="630"/>
      <c r="V17" s="629"/>
      <c r="W17" s="630"/>
      <c r="X17" s="1333"/>
      <c r="Y17" s="3512"/>
      <c r="Z17" s="1334"/>
      <c r="AA17" s="1335">
        <v>1</v>
      </c>
      <c r="AB17" s="1335">
        <v>1</v>
      </c>
      <c r="AC17" s="1335">
        <v>1</v>
      </c>
    </row>
    <row r="18" spans="1:29" ht="28.5">
      <c r="A18" s="297"/>
      <c r="B18" s="515" t="s">
        <v>2386</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12"/>
      <c r="Q18" s="1332" t="str">
        <f>B18</f>
        <v>基础设施水平</v>
      </c>
      <c r="R18" s="629" t="s">
        <v>25</v>
      </c>
      <c r="S18" s="630">
        <f>F18</f>
        <v>100</v>
      </c>
      <c r="T18" s="629" t="s">
        <v>25</v>
      </c>
      <c r="U18" s="630">
        <f>H18</f>
        <v>100</v>
      </c>
      <c r="V18" s="629" t="s">
        <v>25</v>
      </c>
      <c r="W18" s="630">
        <f>J18</f>
        <v>100</v>
      </c>
      <c r="X18" s="1333"/>
      <c r="Y18" s="3512"/>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32"/>
      <c r="M19" s="3023"/>
      <c r="N19" s="3023"/>
      <c r="O19" s="3031"/>
      <c r="P19" s="3512"/>
      <c r="Q19" s="1332"/>
      <c r="R19" s="629"/>
      <c r="S19" s="630"/>
      <c r="T19" s="629"/>
      <c r="U19" s="630"/>
      <c r="V19" s="629"/>
      <c r="W19" s="630"/>
      <c r="X19" s="1333"/>
      <c r="Y19" s="3512"/>
      <c r="Z19" s="1334"/>
      <c r="AA19" s="1335">
        <v>1</v>
      </c>
      <c r="AB19" s="1335">
        <v>1</v>
      </c>
      <c r="AC19" s="1335">
        <v>1</v>
      </c>
    </row>
    <row r="20" spans="1:29" ht="57">
      <c r="A20" s="297"/>
      <c r="B20" s="513" t="s">
        <v>2408</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12"/>
      <c r="Q20" s="1332" t="str">
        <f>B20</f>
        <v>自然及人文环境</v>
      </c>
      <c r="R20" s="629" t="s">
        <v>25</v>
      </c>
      <c r="S20" s="630">
        <f>F20</f>
        <v>100</v>
      </c>
      <c r="T20" s="629" t="s">
        <v>25</v>
      </c>
      <c r="U20" s="630">
        <f>H20</f>
        <v>100</v>
      </c>
      <c r="V20" s="629" t="s">
        <v>25</v>
      </c>
      <c r="W20" s="630">
        <f>J20</f>
        <v>100</v>
      </c>
      <c r="X20" s="1333"/>
      <c r="Y20" s="3512"/>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32"/>
      <c r="M21" s="3023"/>
      <c r="N21" s="3023"/>
      <c r="O21" s="3031"/>
      <c r="P21" s="3512"/>
      <c r="Q21" s="1332"/>
      <c r="R21" s="629"/>
      <c r="S21" s="630"/>
      <c r="T21" s="629"/>
      <c r="U21" s="630"/>
      <c r="V21" s="629"/>
      <c r="W21" s="630"/>
      <c r="X21" s="1333"/>
      <c r="Y21" s="3512"/>
      <c r="Z21" s="1334"/>
      <c r="AA21" s="1335">
        <v>1</v>
      </c>
      <c r="AB21" s="1335">
        <v>1</v>
      </c>
      <c r="AC21" s="1335">
        <v>1</v>
      </c>
    </row>
    <row r="22" spans="1:29" ht="15">
      <c r="A22" s="297"/>
      <c r="B22" s="513" t="s">
        <v>2409</v>
      </c>
      <c r="C22" s="516"/>
      <c r="D22" s="1137">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12"/>
      <c r="Q22" s="1332" t="str">
        <f>B22</f>
        <v>楼层</v>
      </c>
      <c r="R22" s="629" t="s">
        <v>25</v>
      </c>
      <c r="S22" s="630">
        <f>F22</f>
        <v>100</v>
      </c>
      <c r="T22" s="629" t="s">
        <v>25</v>
      </c>
      <c r="U22" s="630">
        <f>H22</f>
        <v>100</v>
      </c>
      <c r="V22" s="629" t="s">
        <v>25</v>
      </c>
      <c r="W22" s="630">
        <f>J22</f>
        <v>100</v>
      </c>
      <c r="X22" s="1333"/>
      <c r="Y22" s="3512"/>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32"/>
      <c r="M23" s="3023"/>
      <c r="N23" s="3023"/>
      <c r="O23" s="3031"/>
      <c r="P23" s="3512"/>
      <c r="Q23" s="1332">
        <f>B23</f>
        <v>111</v>
      </c>
      <c r="R23" s="629" t="s">
        <v>25</v>
      </c>
      <c r="S23" s="630">
        <f>F23</f>
        <v>100</v>
      </c>
      <c r="T23" s="629" t="s">
        <v>25</v>
      </c>
      <c r="U23" s="630">
        <f>H23</f>
        <v>100</v>
      </c>
      <c r="V23" s="629" t="s">
        <v>25</v>
      </c>
      <c r="W23" s="630">
        <f>J23</f>
        <v>100</v>
      </c>
      <c r="X23" s="1333"/>
      <c r="Y23" s="3512"/>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32"/>
      <c r="M24" s="3023"/>
      <c r="N24" s="3023"/>
      <c r="O24" s="3031"/>
      <c r="P24" s="3512"/>
      <c r="Q24" s="1332">
        <f t="shared" ref="Q24:Q36" si="11">B24</f>
        <v>111</v>
      </c>
      <c r="R24" s="629" t="s">
        <v>25</v>
      </c>
      <c r="S24" s="630">
        <f>F24</f>
        <v>100</v>
      </c>
      <c r="T24" s="629" t="s">
        <v>25</v>
      </c>
      <c r="U24" s="630">
        <f>H24</f>
        <v>100</v>
      </c>
      <c r="V24" s="629" t="s">
        <v>25</v>
      </c>
      <c r="W24" s="630">
        <f>J24</f>
        <v>100</v>
      </c>
      <c r="X24" s="1333"/>
      <c r="Y24" s="3512"/>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12"/>
      <c r="Q25" s="1325">
        <f t="shared" si="11"/>
        <v>111</v>
      </c>
      <c r="R25" s="625" t="s">
        <v>25</v>
      </c>
      <c r="S25" s="626">
        <f>F25</f>
        <v>100</v>
      </c>
      <c r="T25" s="625" t="s">
        <v>25</v>
      </c>
      <c r="U25" s="626">
        <f>H25</f>
        <v>100</v>
      </c>
      <c r="V25" s="625" t="s">
        <v>25</v>
      </c>
      <c r="W25" s="626">
        <f>J25</f>
        <v>100</v>
      </c>
      <c r="X25" s="627"/>
      <c r="Y25" s="3512"/>
      <c r="Z25" s="19">
        <f>Q25</f>
        <v>111</v>
      </c>
      <c r="AA25" s="1335">
        <f>D25/F25</f>
        <v>1</v>
      </c>
      <c r="AB25" s="1335">
        <f>D25/H25</f>
        <v>1</v>
      </c>
      <c r="AC25" s="1335">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14" t="s">
        <v>2276</v>
      </c>
      <c r="Q26" s="1332" t="str">
        <f t="shared" si="11"/>
        <v>配套类型</v>
      </c>
      <c r="R26" s="629" t="s">
        <v>25</v>
      </c>
      <c r="S26" s="630">
        <f t="shared" ref="S26:S36" si="12">F26</f>
        <v>100</v>
      </c>
      <c r="T26" s="629" t="s">
        <v>25</v>
      </c>
      <c r="U26" s="630">
        <f t="shared" ref="U26:U36" si="13">H26</f>
        <v>100</v>
      </c>
      <c r="V26" s="629" t="s">
        <v>25</v>
      </c>
      <c r="W26" s="630">
        <f t="shared" ref="W26:W36" si="14">J26</f>
        <v>100</v>
      </c>
      <c r="X26" s="1333"/>
      <c r="Y26" s="3515" t="s">
        <v>2276</v>
      </c>
      <c r="Z26" s="1334" t="str">
        <f t="shared" ref="Z26:Z36" si="15">Q26</f>
        <v>配套类型</v>
      </c>
      <c r="AA26" s="1335">
        <f t="shared" si="3"/>
        <v>1</v>
      </c>
      <c r="AB26" s="1335">
        <f t="shared" si="4"/>
        <v>1</v>
      </c>
      <c r="AC26" s="1335">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15"/>
      <c r="Q27" s="631" t="str">
        <f t="shared" si="11"/>
        <v>项目停车位配比</v>
      </c>
      <c r="R27" s="632" t="s">
        <v>25</v>
      </c>
      <c r="S27" s="633">
        <f t="shared" si="12"/>
        <v>100</v>
      </c>
      <c r="T27" s="632" t="s">
        <v>25</v>
      </c>
      <c r="U27" s="633">
        <f t="shared" si="13"/>
        <v>100</v>
      </c>
      <c r="V27" s="632" t="s">
        <v>25</v>
      </c>
      <c r="W27" s="633">
        <f t="shared" si="14"/>
        <v>100</v>
      </c>
      <c r="X27" s="634"/>
      <c r="Y27" s="3515"/>
      <c r="Z27" s="635" t="str">
        <f t="shared" si="15"/>
        <v>项目停车位配比</v>
      </c>
      <c r="AA27" s="1335">
        <f t="shared" si="3"/>
        <v>1</v>
      </c>
      <c r="AB27" s="1335">
        <f t="shared" si="4"/>
        <v>1</v>
      </c>
      <c r="AC27" s="1335">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15"/>
      <c r="Q28" s="1332" t="str">
        <f t="shared" si="11"/>
        <v>公共部分装修</v>
      </c>
      <c r="R28" s="629" t="s">
        <v>25</v>
      </c>
      <c r="S28" s="630">
        <f t="shared" si="12"/>
        <v>100</v>
      </c>
      <c r="T28" s="629" t="s">
        <v>25</v>
      </c>
      <c r="U28" s="630">
        <f t="shared" si="13"/>
        <v>100</v>
      </c>
      <c r="V28" s="629" t="s">
        <v>25</v>
      </c>
      <c r="W28" s="630">
        <f t="shared" si="14"/>
        <v>100</v>
      </c>
      <c r="X28" s="1333"/>
      <c r="Y28" s="3515"/>
      <c r="Z28" s="1334" t="str">
        <f t="shared" si="15"/>
        <v>公共部分装修</v>
      </c>
      <c r="AA28" s="1335">
        <f t="shared" si="3"/>
        <v>1</v>
      </c>
      <c r="AB28" s="1335">
        <f t="shared" si="4"/>
        <v>1</v>
      </c>
      <c r="AC28" s="1335">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15"/>
      <c r="Q29" s="1332" t="str">
        <f t="shared" si="11"/>
        <v>成新率</v>
      </c>
      <c r="R29" s="629" t="s">
        <v>25</v>
      </c>
      <c r="S29" s="630" t="e">
        <f t="shared" si="12"/>
        <v>#N/A</v>
      </c>
      <c r="T29" s="629" t="s">
        <v>25</v>
      </c>
      <c r="U29" s="630" t="e">
        <f t="shared" si="13"/>
        <v>#N/A</v>
      </c>
      <c r="V29" s="629" t="s">
        <v>25</v>
      </c>
      <c r="W29" s="630" t="e">
        <f t="shared" si="14"/>
        <v>#N/A</v>
      </c>
      <c r="X29" s="1333"/>
      <c r="Y29" s="3515"/>
      <c r="Z29" s="1334" t="str">
        <f t="shared" si="15"/>
        <v>成新率</v>
      </c>
      <c r="AA29" s="1335" t="e">
        <f t="shared" si="3"/>
        <v>#N/A</v>
      </c>
      <c r="AB29" s="1335" t="e">
        <f t="shared" si="4"/>
        <v>#N/A</v>
      </c>
      <c r="AC29" s="1335"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15"/>
      <c r="Q30" s="1332" t="str">
        <f t="shared" si="11"/>
        <v>物业等级</v>
      </c>
      <c r="R30" s="629" t="s">
        <v>25</v>
      </c>
      <c r="S30" s="630">
        <f t="shared" si="12"/>
        <v>100</v>
      </c>
      <c r="T30" s="629" t="s">
        <v>25</v>
      </c>
      <c r="U30" s="630">
        <f t="shared" si="13"/>
        <v>100</v>
      </c>
      <c r="V30" s="629" t="s">
        <v>25</v>
      </c>
      <c r="W30" s="630">
        <f t="shared" si="14"/>
        <v>100</v>
      </c>
      <c r="X30" s="1333"/>
      <c r="Y30" s="3515"/>
      <c r="Z30" s="1334" t="str">
        <f t="shared" si="15"/>
        <v>物业等级</v>
      </c>
      <c r="AA30" s="1335">
        <f t="shared" si="3"/>
        <v>1</v>
      </c>
      <c r="AB30" s="1335">
        <f t="shared" si="4"/>
        <v>1</v>
      </c>
      <c r="AC30" s="1335">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15"/>
      <c r="Q31" s="1325" t="str">
        <f t="shared" si="11"/>
        <v>停车位面积</v>
      </c>
      <c r="R31" s="625" t="s">
        <v>25</v>
      </c>
      <c r="S31" s="626" t="e">
        <f t="shared" si="12"/>
        <v>#N/A</v>
      </c>
      <c r="T31" s="625" t="s">
        <v>25</v>
      </c>
      <c r="U31" s="626" t="e">
        <f t="shared" si="13"/>
        <v>#N/A</v>
      </c>
      <c r="V31" s="625" t="s">
        <v>25</v>
      </c>
      <c r="W31" s="626" t="e">
        <f t="shared" si="14"/>
        <v>#N/A</v>
      </c>
      <c r="X31" s="627"/>
      <c r="Y31" s="3515"/>
      <c r="Z31" s="19" t="str">
        <f t="shared" si="15"/>
        <v>停车位面积</v>
      </c>
      <c r="AA31" s="628" t="e">
        <f t="shared" si="3"/>
        <v>#N/A</v>
      </c>
      <c r="AB31" s="628" t="e">
        <f t="shared" si="4"/>
        <v>#N/A</v>
      </c>
      <c r="AC31" s="628"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15" t="s">
        <v>2276</v>
      </c>
      <c r="Q32" s="1332" t="str">
        <f t="shared" si="11"/>
        <v>车位类型</v>
      </c>
      <c r="R32" s="629" t="s">
        <v>25</v>
      </c>
      <c r="S32" s="630">
        <f t="shared" si="12"/>
        <v>100</v>
      </c>
      <c r="T32" s="629" t="s">
        <v>25</v>
      </c>
      <c r="U32" s="630">
        <f t="shared" si="13"/>
        <v>100</v>
      </c>
      <c r="V32" s="629" t="s">
        <v>25</v>
      </c>
      <c r="W32" s="630">
        <f t="shared" si="14"/>
        <v>100</v>
      </c>
      <c r="X32" s="1333"/>
      <c r="Y32" s="3515" t="s">
        <v>2276</v>
      </c>
      <c r="Z32" s="1334" t="str">
        <f t="shared" si="15"/>
        <v>车位类型</v>
      </c>
      <c r="AA32" s="1335">
        <f t="shared" si="3"/>
        <v>1</v>
      </c>
      <c r="AB32" s="1335">
        <f t="shared" si="4"/>
        <v>1</v>
      </c>
      <c r="AC32" s="1335">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15"/>
      <c r="Q33" s="1332" t="str">
        <f t="shared" si="11"/>
        <v>是否直接入户</v>
      </c>
      <c r="R33" s="629" t="s">
        <v>25</v>
      </c>
      <c r="S33" s="630">
        <f t="shared" si="12"/>
        <v>100</v>
      </c>
      <c r="T33" s="629" t="s">
        <v>25</v>
      </c>
      <c r="U33" s="630">
        <f t="shared" si="13"/>
        <v>100</v>
      </c>
      <c r="V33" s="629" t="s">
        <v>25</v>
      </c>
      <c r="W33" s="630">
        <f t="shared" si="14"/>
        <v>100</v>
      </c>
      <c r="X33" s="1333"/>
      <c r="Y33" s="3515"/>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15"/>
      <c r="Q34" s="1332">
        <f t="shared" si="11"/>
        <v>111</v>
      </c>
      <c r="R34" s="629" t="s">
        <v>25</v>
      </c>
      <c r="S34" s="630">
        <f t="shared" si="12"/>
        <v>100</v>
      </c>
      <c r="T34" s="629" t="s">
        <v>25</v>
      </c>
      <c r="U34" s="630">
        <f t="shared" si="13"/>
        <v>100</v>
      </c>
      <c r="V34" s="629" t="s">
        <v>25</v>
      </c>
      <c r="W34" s="630">
        <f t="shared" si="14"/>
        <v>100</v>
      </c>
      <c r="X34" s="1333"/>
      <c r="Y34" s="3515"/>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15"/>
      <c r="Q35" s="631">
        <f t="shared" si="11"/>
        <v>111</v>
      </c>
      <c r="R35" s="632" t="s">
        <v>25</v>
      </c>
      <c r="S35" s="633">
        <f t="shared" si="12"/>
        <v>100</v>
      </c>
      <c r="T35" s="632" t="s">
        <v>25</v>
      </c>
      <c r="U35" s="633">
        <f t="shared" si="13"/>
        <v>100</v>
      </c>
      <c r="V35" s="632" t="s">
        <v>25</v>
      </c>
      <c r="W35" s="633">
        <f t="shared" si="14"/>
        <v>100</v>
      </c>
      <c r="X35" s="634"/>
      <c r="Y35" s="3515"/>
      <c r="Z35" s="635">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15"/>
      <c r="Q36" s="1332">
        <f t="shared" si="11"/>
        <v>111</v>
      </c>
      <c r="R36" s="629" t="s">
        <v>25</v>
      </c>
      <c r="S36" s="630">
        <f t="shared" si="12"/>
        <v>100</v>
      </c>
      <c r="T36" s="629" t="s">
        <v>25</v>
      </c>
      <c r="U36" s="630">
        <f t="shared" si="13"/>
        <v>100</v>
      </c>
      <c r="V36" s="629" t="s">
        <v>25</v>
      </c>
      <c r="W36" s="630">
        <f t="shared" si="14"/>
        <v>100</v>
      </c>
      <c r="X36" s="1333"/>
      <c r="Y36" s="3515"/>
      <c r="Z36" s="1334">
        <f t="shared" si="15"/>
        <v>111</v>
      </c>
      <c r="AA36" s="1335">
        <f t="shared" si="3"/>
        <v>1</v>
      </c>
      <c r="AB36" s="1335">
        <f t="shared" si="4"/>
        <v>1</v>
      </c>
      <c r="AC36" s="1335">
        <f t="shared" si="5"/>
        <v>1</v>
      </c>
    </row>
    <row r="37" spans="1:29" ht="15">
      <c r="A37" s="367" t="s">
        <v>2418</v>
      </c>
      <c r="B37" s="838" t="s">
        <v>2419</v>
      </c>
      <c r="C37" s="1151" t="s">
        <v>1</v>
      </c>
      <c r="D37" s="1152"/>
      <c r="E37" s="1153"/>
      <c r="F37" s="1154"/>
      <c r="G37" s="1155"/>
      <c r="H37" s="1156"/>
      <c r="I37" s="1153"/>
      <c r="J37" s="1156"/>
      <c r="K37" s="503"/>
      <c r="L37" s="3034"/>
      <c r="N37" s="3023"/>
      <c r="P37" s="3483" t="str">
        <f>A37</f>
        <v>成交单价</v>
      </c>
      <c r="Q37" s="3483"/>
      <c r="R37" s="3517">
        <f>E37</f>
        <v>0</v>
      </c>
      <c r="S37" s="3517"/>
      <c r="T37" s="3517">
        <f>G37</f>
        <v>0</v>
      </c>
      <c r="U37" s="3517"/>
      <c r="V37" s="3517">
        <f>I37</f>
        <v>0</v>
      </c>
      <c r="W37" s="3517"/>
      <c r="X37" s="616"/>
      <c r="Y37" s="636"/>
      <c r="Z37" s="616"/>
      <c r="AA37" s="616"/>
      <c r="AB37" s="616"/>
      <c r="AC37" s="616"/>
    </row>
    <row r="38" spans="1:29" ht="15.75" thickBot="1">
      <c r="A38" s="374" t="s">
        <v>2420</v>
      </c>
      <c r="B38" s="375" t="str">
        <f>B37</f>
        <v>元/平方米</v>
      </c>
      <c r="C38" s="1157" t="e">
        <f>R39</f>
        <v>#DIV/0!</v>
      </c>
      <c r="D38" s="1795" t="s">
        <v>2743</v>
      </c>
      <c r="E38" s="1158" t="e">
        <f>R38</f>
        <v>#DIV/0!</v>
      </c>
      <c r="F38" s="1797"/>
      <c r="G38" s="1157" t="e">
        <f>T38</f>
        <v>#DIV/0!</v>
      </c>
      <c r="H38" s="1797"/>
      <c r="I38" s="1158" t="e">
        <f>V38</f>
        <v>#DIV/0!</v>
      </c>
      <c r="J38" s="1797"/>
      <c r="K38" s="2509">
        <f>F38+H38+J38</f>
        <v>0</v>
      </c>
      <c r="L38" s="3034"/>
      <c r="P38" s="3483" t="str">
        <f>A38</f>
        <v>比较价值</v>
      </c>
      <c r="Q38" s="3483"/>
      <c r="R38" s="3517" t="e">
        <f>IF(E1="售价",ROUND(PRODUCT(R37,AA7:AA36),0),ROUND(PRODUCT(R37,AA7:AA36),1))</f>
        <v>#DIV/0!</v>
      </c>
      <c r="S38" s="3517"/>
      <c r="T38" s="3517" t="e">
        <f>IF(E1="售价",ROUND(PRODUCT(T37,AB7:AB36),0),ROUND(PRODUCT(T37,AB7:AB36),1))</f>
        <v>#DIV/0!</v>
      </c>
      <c r="U38" s="3517"/>
      <c r="V38" s="3517" t="e">
        <f>IF(E1="售价",ROUND(PRODUCT(V37,AC7:AC36),0),ROUND(PRODUCT(V37,AC7:AC36),1))</f>
        <v>#DIV/0!</v>
      </c>
      <c r="W38" s="3517"/>
      <c r="X38" s="616"/>
      <c r="Y38" s="616"/>
      <c r="Z38" s="616"/>
      <c r="AA38" s="616"/>
      <c r="AB38" s="616"/>
      <c r="AC38" s="616"/>
    </row>
    <row r="39" spans="1:29" ht="15.75" thickBot="1">
      <c r="A39" s="378" t="s">
        <v>2421</v>
      </c>
      <c r="B39" s="379"/>
      <c r="C39" s="1159" t="e">
        <f>R39</f>
        <v>#DIV/0!</v>
      </c>
      <c r="D39" s="1159"/>
      <c r="E39" s="1159"/>
      <c r="F39" s="1159"/>
      <c r="G39" s="1159"/>
      <c r="H39" s="1159"/>
      <c r="I39" s="1159"/>
      <c r="J39" s="1159"/>
      <c r="K39" s="504"/>
      <c r="L39" s="3034"/>
      <c r="P39" s="3518" t="str">
        <f>A39</f>
        <v>估价对象XX用房的比较价值（楼面单价，元/平方米）</v>
      </c>
      <c r="Q39" s="3519"/>
      <c r="R39" s="3520" t="e">
        <f>IF(E1="售价",ROUND(IF(D38="简单平均",AVERAGE(R38:W38),R38*F38+T38*H38+V38*J38),0),ROUND(IF(D38="简单平均",AVERAGE(R38:V38),R38*F38+T38*H38+V38*J38),1))</f>
        <v>#DIV/0!</v>
      </c>
      <c r="S39" s="3520"/>
      <c r="T39" s="3520"/>
      <c r="U39" s="3520"/>
      <c r="V39" s="3520"/>
      <c r="W39" s="3520"/>
      <c r="X39" s="616"/>
      <c r="Y39" s="616"/>
      <c r="Z39" s="616"/>
      <c r="AA39" s="616"/>
      <c r="AB39" s="616"/>
      <c r="AC39" s="616"/>
    </row>
    <row r="40" spans="1:29">
      <c r="G40" s="3037"/>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7"/>
      <c r="Q44" s="617"/>
      <c r="R44" s="617"/>
      <c r="S44" s="617"/>
      <c r="T44" s="617"/>
      <c r="U44" s="617"/>
      <c r="V44" s="617"/>
      <c r="W44" s="617"/>
      <c r="X44" s="617"/>
      <c r="Y44" s="617"/>
      <c r="Z44" s="617"/>
      <c r="AA44" s="617"/>
      <c r="AB44" s="617"/>
      <c r="AC44" s="617"/>
    </row>
    <row r="45" spans="1:29" s="388" customFormat="1">
      <c r="B45" s="3036"/>
      <c r="C45" s="3039"/>
      <c r="K45" s="3038"/>
      <c r="L45" s="3035"/>
      <c r="P45" s="617"/>
      <c r="Q45" s="617"/>
      <c r="R45" s="617"/>
      <c r="S45" s="617"/>
      <c r="T45" s="617"/>
      <c r="U45" s="617"/>
      <c r="V45" s="617"/>
      <c r="W45" s="617"/>
      <c r="X45" s="617"/>
      <c r="Y45" s="617"/>
      <c r="Z45" s="617"/>
      <c r="AA45" s="617"/>
      <c r="AB45" s="617"/>
      <c r="AC45" s="617"/>
    </row>
    <row r="46" spans="1:29">
      <c r="B46" s="3036"/>
      <c r="C46" s="3039"/>
      <c r="P46" s="616"/>
      <c r="Q46" s="616"/>
      <c r="R46" s="616"/>
      <c r="S46" s="616"/>
      <c r="T46" s="616"/>
      <c r="U46" s="616"/>
      <c r="V46" s="616"/>
      <c r="W46" s="616"/>
      <c r="X46" s="616"/>
      <c r="Y46" s="616"/>
      <c r="Z46" s="616"/>
      <c r="AA46" s="616"/>
      <c r="AB46" s="616"/>
      <c r="AC46" s="616"/>
    </row>
    <row r="47" spans="1:29" ht="21.75" thickBot="1">
      <c r="A47" s="1161" t="s">
        <v>2425</v>
      </c>
      <c r="B47" s="953"/>
      <c r="C47" s="961"/>
      <c r="D47" s="961"/>
      <c r="E47" s="961"/>
      <c r="F47" s="1162"/>
      <c r="G47" s="1162"/>
      <c r="H47" s="961"/>
      <c r="I47" s="961"/>
      <c r="J47" s="961"/>
      <c r="K47" s="959"/>
      <c r="L47" s="622"/>
      <c r="M47" s="619"/>
      <c r="N47" s="619"/>
      <c r="O47" s="619"/>
      <c r="P47" s="619"/>
      <c r="Q47" s="1160"/>
      <c r="R47" s="616"/>
      <c r="S47" s="616"/>
      <c r="T47" s="616"/>
      <c r="U47" s="616"/>
      <c r="V47" s="616"/>
      <c r="W47" s="616"/>
      <c r="X47" s="616"/>
      <c r="Y47" s="616"/>
      <c r="Z47" s="616"/>
      <c r="AA47" s="616"/>
      <c r="AB47" s="616"/>
      <c r="AC47" s="616"/>
    </row>
    <row r="48" spans="1:29" s="394" customFormat="1" ht="15">
      <c r="A48" s="391" t="s">
        <v>2426</v>
      </c>
      <c r="B48" s="392"/>
      <c r="C48" s="1185" t="str">
        <f>YEAR(C7)&amp;"-"&amp;MONTH(C7)</f>
        <v>2021-3</v>
      </c>
      <c r="D48" s="1186">
        <f>EDATE(C48,-1)</f>
        <v>44228</v>
      </c>
      <c r="E48" s="1186">
        <f t="shared" ref="E48:O48" si="16">EDATE(D48,-1)</f>
        <v>44197</v>
      </c>
      <c r="F48" s="1186">
        <f t="shared" si="16"/>
        <v>44166</v>
      </c>
      <c r="G48" s="1186">
        <f t="shared" si="16"/>
        <v>44136</v>
      </c>
      <c r="H48" s="1186">
        <f t="shared" si="16"/>
        <v>44105</v>
      </c>
      <c r="I48" s="1186">
        <f t="shared" si="16"/>
        <v>44075</v>
      </c>
      <c r="J48" s="1186">
        <f t="shared" si="16"/>
        <v>44044</v>
      </c>
      <c r="K48" s="1186">
        <f t="shared" si="16"/>
        <v>44013</v>
      </c>
      <c r="L48" s="1186">
        <f t="shared" si="16"/>
        <v>43983</v>
      </c>
      <c r="M48" s="1186">
        <f t="shared" si="16"/>
        <v>43952</v>
      </c>
      <c r="N48" s="1186">
        <f t="shared" si="16"/>
        <v>43922</v>
      </c>
      <c r="O48" s="1186">
        <f t="shared" si="16"/>
        <v>43891</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80"/>
      <c r="C1" s="1219"/>
      <c r="D1" s="1229"/>
      <c r="E1" s="1557" t="s">
        <v>2744</v>
      </c>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IF(D2="——",IF(C2="元",ROUND(C37*D3,0),ROUND(C37*D3/10000,0)),IF(C2="元",ROUND(C37*D3,0),ROUND(C37*D3/10000,0))-E2)</f>
        <v>#DIV/0!</v>
      </c>
      <c r="C2" s="79" t="str">
        <f>'数据-取费表'!B3</f>
        <v>万元</v>
      </c>
      <c r="D2" s="1558"/>
      <c r="E2" s="1228" t="e">
        <f ca="1">SUMIF(INDIRECT("'"&amp;G2&amp;"'"&amp;"!A:A"),"承租人权益价值",INDIRECT("'"&amp;G2&amp;"'"&amp;"!c:c"))</f>
        <v>#REF!</v>
      </c>
      <c r="F2" s="1559" t="str">
        <f>C2</f>
        <v>万元</v>
      </c>
      <c r="G2" s="1560"/>
      <c r="H2" s="3017"/>
      <c r="I2" s="3017"/>
      <c r="J2" s="3017"/>
      <c r="K2" s="3021"/>
      <c r="L2" s="3018"/>
      <c r="M2" s="3019"/>
      <c r="N2" s="3019"/>
      <c r="O2" s="3019"/>
      <c r="P2" s="623"/>
      <c r="Q2" s="623"/>
      <c r="R2" s="623"/>
      <c r="S2" s="623"/>
      <c r="T2" s="623"/>
      <c r="U2" s="623"/>
      <c r="V2" s="623"/>
      <c r="W2" s="623"/>
      <c r="X2" s="623"/>
      <c r="Y2" s="623"/>
      <c r="Z2" s="623"/>
      <c r="AA2" s="623"/>
      <c r="AB2" s="623"/>
      <c r="AC2" s="624"/>
    </row>
    <row r="3" spans="1:29" s="291" customFormat="1" ht="28.5" customHeight="1" thickBot="1">
      <c r="A3" s="83" t="s">
        <v>1915</v>
      </c>
      <c r="B3" s="495" t="e">
        <f ca="1">ROUND(IF(D2="——",C37,IF(C2="万元",B2*10000/D3,B2/D3)),0)</f>
        <v>#DIV/0!</v>
      </c>
      <c r="C3" s="293" t="s">
        <v>2244</v>
      </c>
      <c r="D3" s="292">
        <f>IF(C1="仅计算典型户型",'数据-取费表'!E5,'数据-取费表'!B5)</f>
        <v>1715.28</v>
      </c>
      <c r="E3" s="3017"/>
      <c r="F3" s="3020"/>
      <c r="G3" s="3017"/>
      <c r="H3" s="3017"/>
      <c r="I3" s="3017"/>
      <c r="J3" s="3017"/>
      <c r="K3" s="3021"/>
      <c r="L3" s="3018"/>
      <c r="M3" s="3019"/>
      <c r="N3" s="3019"/>
      <c r="O3" s="3019"/>
      <c r="P3" s="623"/>
      <c r="Q3" s="623"/>
      <c r="R3" s="623"/>
      <c r="S3" s="623"/>
      <c r="T3" s="623"/>
      <c r="U3" s="623"/>
      <c r="V3" s="623"/>
      <c r="W3" s="623"/>
      <c r="X3" s="623"/>
      <c r="Y3" s="623"/>
      <c r="Z3" s="623"/>
      <c r="AA3" s="623"/>
      <c r="AB3" s="642"/>
      <c r="AC3" s="637"/>
    </row>
    <row r="4" spans="1:29" ht="15">
      <c r="A4" s="294" t="s">
        <v>2245</v>
      </c>
      <c r="B4" s="295"/>
      <c r="C4" s="3491" t="s">
        <v>2246</v>
      </c>
      <c r="D4" s="3492"/>
      <c r="E4" s="3493" t="s">
        <v>2247</v>
      </c>
      <c r="F4" s="3494"/>
      <c r="G4" s="3491" t="s">
        <v>2248</v>
      </c>
      <c r="H4" s="3492"/>
      <c r="I4" s="3491" t="s">
        <v>2249</v>
      </c>
      <c r="J4" s="3492"/>
      <c r="K4" s="496" t="s">
        <v>2250</v>
      </c>
      <c r="L4" s="3022"/>
      <c r="M4" s="3023"/>
      <c r="N4" s="3023"/>
      <c r="O4" s="3023"/>
      <c r="P4" s="3495" t="s">
        <v>2251</v>
      </c>
      <c r="Q4" s="3496"/>
      <c r="R4" s="3501" t="s">
        <v>2247</v>
      </c>
      <c r="S4" s="3502"/>
      <c r="T4" s="3501" t="s">
        <v>2248</v>
      </c>
      <c r="U4" s="3502"/>
      <c r="V4" s="3507" t="s">
        <v>2249</v>
      </c>
      <c r="W4" s="3507"/>
      <c r="X4" s="1333"/>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22"/>
      <c r="M5" s="3023"/>
      <c r="N5" s="3023"/>
      <c r="O5" s="3023"/>
      <c r="P5" s="3497"/>
      <c r="Q5" s="3498"/>
      <c r="R5" s="3503"/>
      <c r="S5" s="3504"/>
      <c r="T5" s="3503"/>
      <c r="U5" s="3504"/>
      <c r="V5" s="3507"/>
      <c r="W5" s="3507"/>
      <c r="X5" s="1333"/>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22"/>
      <c r="M6" s="3023"/>
      <c r="N6" s="3023"/>
      <c r="O6" s="3023"/>
      <c r="P6" s="3499"/>
      <c r="Q6" s="3500"/>
      <c r="R6" s="3503"/>
      <c r="S6" s="3504"/>
      <c r="T6" s="3505"/>
      <c r="U6" s="3506"/>
      <c r="V6" s="3507"/>
      <c r="W6" s="3507"/>
      <c r="X6" s="1333"/>
      <c r="Y6" s="3505"/>
      <c r="Z6" s="3506"/>
      <c r="AA6" s="3490"/>
      <c r="AB6" s="3490"/>
      <c r="AC6" s="3490"/>
    </row>
    <row r="7" spans="1:29" s="25" customFormat="1" ht="15.75" thickBot="1">
      <c r="A7" s="301" t="s">
        <v>2258</v>
      </c>
      <c r="B7" s="302"/>
      <c r="C7" s="303">
        <f>'数据-取费表'!B2</f>
        <v>44270</v>
      </c>
      <c r="D7" s="304">
        <v>100</v>
      </c>
      <c r="E7" s="1573"/>
      <c r="F7" s="304">
        <f>SUMIF(46:46,YEAR(E7)&amp;"-"&amp;MONTH(E7),47:47)</f>
        <v>0</v>
      </c>
      <c r="G7" s="305"/>
      <c r="H7" s="304">
        <f>SUMIF(46:46,YEAR(G7)&amp;"-"&amp;MONTH(G7),47:47)</f>
        <v>0</v>
      </c>
      <c r="I7" s="305"/>
      <c r="J7" s="304">
        <f>SUMIF(46:46,YEAR(I7)&amp;"-"&amp;MONTH(I7),47:47)</f>
        <v>0</v>
      </c>
      <c r="K7" s="497"/>
      <c r="L7" s="3024"/>
      <c r="M7" s="3025"/>
      <c r="N7" s="3025"/>
      <c r="O7" s="3025"/>
      <c r="P7" s="3486" t="s">
        <v>2259</v>
      </c>
      <c r="Q7" s="3510"/>
      <c r="R7" s="625" t="s">
        <v>25</v>
      </c>
      <c r="S7" s="626">
        <f t="shared" ref="S7:S14" si="0">F7</f>
        <v>0</v>
      </c>
      <c r="T7" s="625" t="s">
        <v>25</v>
      </c>
      <c r="U7" s="626">
        <f t="shared" ref="U7:U14" si="1">H7</f>
        <v>0</v>
      </c>
      <c r="V7" s="625" t="s">
        <v>25</v>
      </c>
      <c r="W7" s="626">
        <f t="shared" ref="W7:W14" si="2">J7</f>
        <v>0</v>
      </c>
      <c r="X7" s="627"/>
      <c r="Y7" s="3486" t="s">
        <v>2259</v>
      </c>
      <c r="Z7" s="3487"/>
      <c r="AA7" s="628" t="e">
        <f>D7/F7</f>
        <v>#DIV/0!</v>
      </c>
      <c r="AB7" s="628" t="e">
        <f>D7/H7</f>
        <v>#DIV/0!</v>
      </c>
      <c r="AC7" s="628"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86" t="s">
        <v>2262</v>
      </c>
      <c r="Q8" s="3487"/>
      <c r="R8" s="625" t="s">
        <v>25</v>
      </c>
      <c r="S8" s="626">
        <f t="shared" si="0"/>
        <v>0</v>
      </c>
      <c r="T8" s="625" t="s">
        <v>25</v>
      </c>
      <c r="U8" s="626">
        <f t="shared" si="1"/>
        <v>0</v>
      </c>
      <c r="V8" s="625" t="s">
        <v>25</v>
      </c>
      <c r="W8" s="626">
        <f t="shared" si="2"/>
        <v>0</v>
      </c>
      <c r="X8" s="627"/>
      <c r="Y8" s="3486" t="s">
        <v>2262</v>
      </c>
      <c r="Z8" s="3487"/>
      <c r="AA8" s="628" t="e">
        <f t="shared" ref="AA8:AA34" si="3">D8/F8</f>
        <v>#DIV/0!</v>
      </c>
      <c r="AB8" s="628" t="e">
        <f t="shared" ref="AB8:AB34" si="4">D8/H8</f>
        <v>#DIV/0!</v>
      </c>
      <c r="AC8" s="628"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83" t="s">
        <v>2265</v>
      </c>
      <c r="Q9" s="1325" t="str">
        <f t="shared" ref="Q9:Q14" si="6">B9</f>
        <v>用途</v>
      </c>
      <c r="R9" s="625" t="s">
        <v>25</v>
      </c>
      <c r="S9" s="626">
        <f t="shared" si="0"/>
        <v>100</v>
      </c>
      <c r="T9" s="625" t="s">
        <v>25</v>
      </c>
      <c r="U9" s="626">
        <f t="shared" si="1"/>
        <v>100</v>
      </c>
      <c r="V9" s="625" t="s">
        <v>25</v>
      </c>
      <c r="W9" s="626">
        <f t="shared" si="2"/>
        <v>100</v>
      </c>
      <c r="X9" s="627"/>
      <c r="Y9" s="3513" t="s">
        <v>2266</v>
      </c>
      <c r="Z9" s="19" t="str">
        <f t="shared" ref="Z9:Z14" si="7">Q9</f>
        <v>用途</v>
      </c>
      <c r="AA9" s="628">
        <f t="shared" si="3"/>
        <v>1</v>
      </c>
      <c r="AB9" s="628">
        <f t="shared" si="4"/>
        <v>1</v>
      </c>
      <c r="AC9" s="628">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83"/>
      <c r="Q10" s="1325" t="str">
        <f t="shared" si="6"/>
        <v>土地使用年限（年）</v>
      </c>
      <c r="R10" s="625" t="s">
        <v>25</v>
      </c>
      <c r="S10" s="626">
        <f t="shared" si="0"/>
        <v>100</v>
      </c>
      <c r="T10" s="625" t="s">
        <v>25</v>
      </c>
      <c r="U10" s="626">
        <f t="shared" si="1"/>
        <v>100</v>
      </c>
      <c r="V10" s="625" t="s">
        <v>25</v>
      </c>
      <c r="W10" s="626">
        <f t="shared" si="2"/>
        <v>100</v>
      </c>
      <c r="X10" s="627"/>
      <c r="Y10" s="3513"/>
      <c r="Z10" s="19" t="str">
        <f t="shared" si="7"/>
        <v>土地使用年限（年）</v>
      </c>
      <c r="AA10" s="628">
        <f t="shared" si="3"/>
        <v>1</v>
      </c>
      <c r="AB10" s="628">
        <f t="shared" si="4"/>
        <v>1</v>
      </c>
      <c r="AC10" s="628">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83"/>
      <c r="Q11" s="1325">
        <f t="shared" si="6"/>
        <v>111</v>
      </c>
      <c r="R11" s="625" t="s">
        <v>25</v>
      </c>
      <c r="S11" s="626">
        <f t="shared" si="0"/>
        <v>100</v>
      </c>
      <c r="T11" s="625" t="s">
        <v>25</v>
      </c>
      <c r="U11" s="626">
        <f t="shared" si="1"/>
        <v>100</v>
      </c>
      <c r="V11" s="625" t="s">
        <v>25</v>
      </c>
      <c r="W11" s="626">
        <f t="shared" si="2"/>
        <v>100</v>
      </c>
      <c r="X11" s="627"/>
      <c r="Y11" s="3513"/>
      <c r="Z11" s="19">
        <f t="shared" si="7"/>
        <v>111</v>
      </c>
      <c r="AA11" s="628">
        <f t="shared" si="3"/>
        <v>1</v>
      </c>
      <c r="AB11" s="628">
        <f t="shared" si="4"/>
        <v>1</v>
      </c>
      <c r="AC11" s="628">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83"/>
      <c r="Q12" s="1325">
        <f t="shared" si="6"/>
        <v>111</v>
      </c>
      <c r="R12" s="625" t="s">
        <v>25</v>
      </c>
      <c r="S12" s="626">
        <f t="shared" si="0"/>
        <v>100</v>
      </c>
      <c r="T12" s="625" t="s">
        <v>25</v>
      </c>
      <c r="U12" s="626">
        <f t="shared" si="1"/>
        <v>100</v>
      </c>
      <c r="V12" s="625" t="s">
        <v>25</v>
      </c>
      <c r="W12" s="626">
        <f t="shared" si="2"/>
        <v>100</v>
      </c>
      <c r="X12" s="627"/>
      <c r="Y12" s="3513"/>
      <c r="Z12" s="19">
        <f t="shared" si="7"/>
        <v>111</v>
      </c>
      <c r="AA12" s="628">
        <f>D12/F12</f>
        <v>1</v>
      </c>
      <c r="AB12" s="628">
        <f>D12/H12</f>
        <v>1</v>
      </c>
      <c r="AC12" s="628">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83"/>
      <c r="Q13" s="1325">
        <f t="shared" si="6"/>
        <v>111</v>
      </c>
      <c r="R13" s="625" t="s">
        <v>25</v>
      </c>
      <c r="S13" s="626">
        <f t="shared" si="0"/>
        <v>100</v>
      </c>
      <c r="T13" s="625" t="s">
        <v>25</v>
      </c>
      <c r="U13" s="626">
        <f t="shared" si="1"/>
        <v>100</v>
      </c>
      <c r="V13" s="625" t="s">
        <v>25</v>
      </c>
      <c r="W13" s="626">
        <f t="shared" si="2"/>
        <v>100</v>
      </c>
      <c r="X13" s="627"/>
      <c r="Y13" s="3513"/>
      <c r="Z13" s="19">
        <f t="shared" si="7"/>
        <v>111</v>
      </c>
      <c r="AA13" s="628">
        <f t="shared" si="3"/>
        <v>1</v>
      </c>
      <c r="AB13" s="628">
        <f t="shared" si="4"/>
        <v>1</v>
      </c>
      <c r="AC13" s="628">
        <f t="shared" si="5"/>
        <v>1</v>
      </c>
    </row>
    <row r="14" spans="1:29" ht="85.5">
      <c r="A14" s="329" t="s">
        <v>2269</v>
      </c>
      <c r="B14" s="22" t="s">
        <v>2407</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11" t="s">
        <v>2270</v>
      </c>
      <c r="Q14" s="1332" t="str">
        <f t="shared" si="6"/>
        <v>交通便捷度</v>
      </c>
      <c r="R14" s="629" t="s">
        <v>25</v>
      </c>
      <c r="S14" s="630">
        <f t="shared" si="0"/>
        <v>100</v>
      </c>
      <c r="T14" s="629" t="s">
        <v>25</v>
      </c>
      <c r="U14" s="630">
        <f t="shared" si="1"/>
        <v>100</v>
      </c>
      <c r="V14" s="629" t="s">
        <v>25</v>
      </c>
      <c r="W14" s="630">
        <f t="shared" si="2"/>
        <v>100</v>
      </c>
      <c r="X14" s="1333"/>
      <c r="Y14" s="3511" t="s">
        <v>2270</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32"/>
      <c r="M15" s="3023"/>
      <c r="N15" s="3023"/>
      <c r="O15" s="3031"/>
      <c r="P15" s="3512"/>
      <c r="Q15" s="1332"/>
      <c r="R15" s="629"/>
      <c r="S15" s="630"/>
      <c r="T15" s="629"/>
      <c r="U15" s="630"/>
      <c r="V15" s="629"/>
      <c r="W15" s="630"/>
      <c r="X15" s="1333"/>
      <c r="Y15" s="3512"/>
      <c r="Z15" s="1334"/>
      <c r="AA15" s="1335">
        <v>1</v>
      </c>
      <c r="AB15" s="1335">
        <v>1</v>
      </c>
      <c r="AC15" s="1335">
        <v>1</v>
      </c>
    </row>
    <row r="16" spans="1:29" ht="42.75">
      <c r="A16" s="318"/>
      <c r="B16" s="513" t="s">
        <v>2385</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12"/>
      <c r="Q16" s="1332" t="str">
        <f>B16</f>
        <v>公共配套设施</v>
      </c>
      <c r="R16" s="629" t="s">
        <v>25</v>
      </c>
      <c r="S16" s="630">
        <f>F16</f>
        <v>100</v>
      </c>
      <c r="T16" s="629" t="s">
        <v>25</v>
      </c>
      <c r="U16" s="630">
        <f>H16</f>
        <v>100</v>
      </c>
      <c r="V16" s="629" t="s">
        <v>25</v>
      </c>
      <c r="W16" s="630">
        <f>J16</f>
        <v>100</v>
      </c>
      <c r="X16" s="1333"/>
      <c r="Y16" s="3512"/>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32"/>
      <c r="M17" s="3023"/>
      <c r="N17" s="3023"/>
      <c r="O17" s="3031"/>
      <c r="P17" s="3512"/>
      <c r="Q17" s="1332"/>
      <c r="R17" s="629"/>
      <c r="S17" s="630"/>
      <c r="T17" s="629"/>
      <c r="U17" s="630"/>
      <c r="V17" s="629"/>
      <c r="W17" s="630"/>
      <c r="X17" s="1333"/>
      <c r="Y17" s="3512"/>
      <c r="Z17" s="1334"/>
      <c r="AA17" s="1335">
        <v>1</v>
      </c>
      <c r="AB17" s="1335">
        <v>1</v>
      </c>
      <c r="AC17" s="1335">
        <v>1</v>
      </c>
    </row>
    <row r="18" spans="1:29" ht="28.5">
      <c r="A18" s="318"/>
      <c r="B18" s="515" t="s">
        <v>2386</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12"/>
      <c r="Q18" s="1332" t="str">
        <f>B18</f>
        <v>基础设施水平</v>
      </c>
      <c r="R18" s="629" t="s">
        <v>25</v>
      </c>
      <c r="S18" s="630">
        <f>F18</f>
        <v>100</v>
      </c>
      <c r="T18" s="629" t="s">
        <v>25</v>
      </c>
      <c r="U18" s="630">
        <f>H18</f>
        <v>100</v>
      </c>
      <c r="V18" s="629" t="s">
        <v>25</v>
      </c>
      <c r="W18" s="630">
        <f>J18</f>
        <v>100</v>
      </c>
      <c r="X18" s="1333"/>
      <c r="Y18" s="3512"/>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32"/>
      <c r="M19" s="3023"/>
      <c r="N19" s="3023"/>
      <c r="O19" s="3031"/>
      <c r="P19" s="3512"/>
      <c r="Q19" s="1332"/>
      <c r="R19" s="629"/>
      <c r="S19" s="630"/>
      <c r="T19" s="629"/>
      <c r="U19" s="630"/>
      <c r="V19" s="629"/>
      <c r="W19" s="630"/>
      <c r="X19" s="1333"/>
      <c r="Y19" s="3512"/>
      <c r="Z19" s="1334"/>
      <c r="AA19" s="1335">
        <v>1</v>
      </c>
      <c r="AB19" s="1335">
        <v>1</v>
      </c>
      <c r="AC19" s="1335">
        <v>1</v>
      </c>
    </row>
    <row r="20" spans="1:29" ht="57">
      <c r="A20" s="318"/>
      <c r="B20" s="340" t="s">
        <v>2408</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12"/>
      <c r="Q20" s="1332" t="str">
        <f>B20</f>
        <v>自然及人文环境</v>
      </c>
      <c r="R20" s="629" t="s">
        <v>25</v>
      </c>
      <c r="S20" s="630">
        <f>F20</f>
        <v>100</v>
      </c>
      <c r="T20" s="629" t="s">
        <v>25</v>
      </c>
      <c r="U20" s="630">
        <f>H20</f>
        <v>100</v>
      </c>
      <c r="V20" s="629" t="s">
        <v>25</v>
      </c>
      <c r="W20" s="630">
        <f>J20</f>
        <v>100</v>
      </c>
      <c r="X20" s="1333"/>
      <c r="Y20" s="3512"/>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32"/>
      <c r="M21" s="3023"/>
      <c r="N21" s="3023"/>
      <c r="O21" s="3031"/>
      <c r="P21" s="3512"/>
      <c r="Q21" s="1332"/>
      <c r="R21" s="629"/>
      <c r="S21" s="630"/>
      <c r="T21" s="629"/>
      <c r="U21" s="630"/>
      <c r="V21" s="629"/>
      <c r="W21" s="630"/>
      <c r="X21" s="1333"/>
      <c r="Y21" s="3512"/>
      <c r="Z21" s="1334"/>
      <c r="AA21" s="1335">
        <v>1</v>
      </c>
      <c r="AB21" s="1335">
        <v>1</v>
      </c>
      <c r="AC21" s="1335">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12"/>
      <c r="Q22" s="1332" t="str">
        <f>B22</f>
        <v>楼层</v>
      </c>
      <c r="R22" s="629" t="s">
        <v>25</v>
      </c>
      <c r="S22" s="630">
        <f>F22</f>
        <v>100</v>
      </c>
      <c r="T22" s="629" t="s">
        <v>25</v>
      </c>
      <c r="U22" s="630">
        <f>H22</f>
        <v>100</v>
      </c>
      <c r="V22" s="629" t="s">
        <v>25</v>
      </c>
      <c r="W22" s="630">
        <f>J22</f>
        <v>100</v>
      </c>
      <c r="X22" s="1333"/>
      <c r="Y22" s="3512"/>
      <c r="Z22" s="1334" t="str">
        <f>Q22</f>
        <v>楼层</v>
      </c>
      <c r="AA22" s="1335">
        <f t="shared" si="3"/>
        <v>1</v>
      </c>
      <c r="AB22" s="1335">
        <f t="shared" si="4"/>
        <v>1</v>
      </c>
      <c r="AC22" s="1335">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12"/>
      <c r="Q23" s="1332">
        <f>B23</f>
        <v>111</v>
      </c>
      <c r="R23" s="629" t="s">
        <v>25</v>
      </c>
      <c r="S23" s="630">
        <f>F23</f>
        <v>100</v>
      </c>
      <c r="T23" s="629" t="s">
        <v>25</v>
      </c>
      <c r="U23" s="630">
        <f>H23</f>
        <v>100</v>
      </c>
      <c r="V23" s="629" t="s">
        <v>25</v>
      </c>
      <c r="W23" s="630">
        <f>J23</f>
        <v>100</v>
      </c>
      <c r="X23" s="1333"/>
      <c r="Y23" s="3512"/>
      <c r="Z23" s="1334">
        <f>Q23</f>
        <v>111</v>
      </c>
      <c r="AA23" s="1335">
        <f t="shared" si="3"/>
        <v>1</v>
      </c>
      <c r="AB23" s="1335">
        <f t="shared" si="4"/>
        <v>1</v>
      </c>
      <c r="AC23" s="1335">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12"/>
      <c r="Q24" s="1332">
        <f t="shared" ref="Q24:Q34" si="11">B24</f>
        <v>111</v>
      </c>
      <c r="R24" s="629" t="s">
        <v>25</v>
      </c>
      <c r="S24" s="630">
        <f>F24</f>
        <v>100</v>
      </c>
      <c r="T24" s="629" t="s">
        <v>25</v>
      </c>
      <c r="U24" s="630">
        <f>H24</f>
        <v>100</v>
      </c>
      <c r="V24" s="629" t="s">
        <v>25</v>
      </c>
      <c r="W24" s="630">
        <f>J24</f>
        <v>100</v>
      </c>
      <c r="X24" s="1333"/>
      <c r="Y24" s="3512"/>
      <c r="Z24" s="1334">
        <f>Q24</f>
        <v>111</v>
      </c>
      <c r="AA24" s="1335">
        <f t="shared" si="3"/>
        <v>1</v>
      </c>
      <c r="AB24" s="1335">
        <f t="shared" si="4"/>
        <v>1</v>
      </c>
      <c r="AC24" s="1335">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4"/>
      <c r="M25" s="3025"/>
      <c r="N25" s="3025"/>
      <c r="O25" s="3026"/>
      <c r="P25" s="3512"/>
      <c r="Q25" s="1325">
        <f t="shared" si="11"/>
        <v>111</v>
      </c>
      <c r="R25" s="625" t="s">
        <v>25</v>
      </c>
      <c r="S25" s="626">
        <f>F25</f>
        <v>100</v>
      </c>
      <c r="T25" s="625" t="s">
        <v>25</v>
      </c>
      <c r="U25" s="626">
        <f>H25</f>
        <v>100</v>
      </c>
      <c r="V25" s="625" t="s">
        <v>25</v>
      </c>
      <c r="W25" s="626">
        <f>J25</f>
        <v>100</v>
      </c>
      <c r="X25" s="627"/>
      <c r="Y25" s="3512"/>
      <c r="Z25" s="19">
        <f>Q25</f>
        <v>111</v>
      </c>
      <c r="AA25" s="1335">
        <f>D25/F25</f>
        <v>1</v>
      </c>
      <c r="AB25" s="1335">
        <f>D25/H25</f>
        <v>1</v>
      </c>
      <c r="AC25" s="1335">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32"/>
      <c r="M26" s="3023"/>
      <c r="N26" s="3023"/>
      <c r="O26" s="3031"/>
      <c r="P26" s="3514" t="s">
        <v>2276</v>
      </c>
      <c r="Q26" s="1332" t="str">
        <f t="shared" si="11"/>
        <v>公共部分装修</v>
      </c>
      <c r="R26" s="629" t="s">
        <v>25</v>
      </c>
      <c r="S26" s="630">
        <f t="shared" ref="S26:S34" si="12">F26</f>
        <v>100</v>
      </c>
      <c r="T26" s="629" t="s">
        <v>25</v>
      </c>
      <c r="U26" s="630">
        <f t="shared" ref="U26:U34" si="13">H26</f>
        <v>100</v>
      </c>
      <c r="V26" s="629" t="s">
        <v>25</v>
      </c>
      <c r="W26" s="630">
        <f t="shared" ref="W26:W34" si="14">J26</f>
        <v>100</v>
      </c>
      <c r="X26" s="1333"/>
      <c r="Y26" s="3515" t="s">
        <v>2276</v>
      </c>
      <c r="Z26" s="1334" t="str">
        <f t="shared" ref="Z26:Z34" si="15">Q26</f>
        <v>公共部分装修</v>
      </c>
      <c r="AA26" s="1335">
        <f t="shared" si="3"/>
        <v>1</v>
      </c>
      <c r="AB26" s="1335">
        <f t="shared" si="4"/>
        <v>1</v>
      </c>
      <c r="AC26" s="1335">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15"/>
      <c r="Q27" s="631" t="str">
        <f t="shared" si="11"/>
        <v>成新率</v>
      </c>
      <c r="R27" s="632" t="s">
        <v>25</v>
      </c>
      <c r="S27" s="633" t="e">
        <f t="shared" si="12"/>
        <v>#N/A</v>
      </c>
      <c r="T27" s="632" t="s">
        <v>25</v>
      </c>
      <c r="U27" s="633" t="e">
        <f t="shared" si="13"/>
        <v>#N/A</v>
      </c>
      <c r="V27" s="632" t="s">
        <v>25</v>
      </c>
      <c r="W27" s="633" t="e">
        <f t="shared" si="14"/>
        <v>#N/A</v>
      </c>
      <c r="X27" s="634"/>
      <c r="Y27" s="3515"/>
      <c r="Z27" s="635" t="str">
        <f t="shared" si="15"/>
        <v>成新率</v>
      </c>
      <c r="AA27" s="1335" t="e">
        <f t="shared" si="3"/>
        <v>#N/A</v>
      </c>
      <c r="AB27" s="1335" t="e">
        <f t="shared" si="4"/>
        <v>#N/A</v>
      </c>
      <c r="AC27" s="1335"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15"/>
      <c r="Q28" s="1332" t="str">
        <f t="shared" si="11"/>
        <v>物业等级</v>
      </c>
      <c r="R28" s="629" t="s">
        <v>25</v>
      </c>
      <c r="S28" s="630">
        <f t="shared" si="12"/>
        <v>100</v>
      </c>
      <c r="T28" s="629" t="s">
        <v>25</v>
      </c>
      <c r="U28" s="630">
        <f t="shared" si="13"/>
        <v>100</v>
      </c>
      <c r="V28" s="629" t="s">
        <v>25</v>
      </c>
      <c r="W28" s="630">
        <f t="shared" si="14"/>
        <v>100</v>
      </c>
      <c r="X28" s="1333"/>
      <c r="Y28" s="3515"/>
      <c r="Z28" s="1334" t="str">
        <f t="shared" si="15"/>
        <v>物业等级</v>
      </c>
      <c r="AA28" s="1335">
        <f t="shared" si="3"/>
        <v>1</v>
      </c>
      <c r="AB28" s="1335">
        <f t="shared" si="4"/>
        <v>1</v>
      </c>
      <c r="AC28" s="1335">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15"/>
      <c r="Q29" s="1332" t="str">
        <f t="shared" si="11"/>
        <v>有无电梯</v>
      </c>
      <c r="R29" s="629" t="s">
        <v>25</v>
      </c>
      <c r="S29" s="630">
        <f t="shared" si="12"/>
        <v>100</v>
      </c>
      <c r="T29" s="629" t="s">
        <v>25</v>
      </c>
      <c r="U29" s="630">
        <f t="shared" si="13"/>
        <v>100</v>
      </c>
      <c r="V29" s="629" t="s">
        <v>25</v>
      </c>
      <c r="W29" s="630">
        <f t="shared" si="14"/>
        <v>100</v>
      </c>
      <c r="X29" s="1333"/>
      <c r="Y29" s="3515"/>
      <c r="Z29" s="1334" t="str">
        <f t="shared" si="15"/>
        <v>有无电梯</v>
      </c>
      <c r="AA29" s="1335">
        <f t="shared" si="3"/>
        <v>1</v>
      </c>
      <c r="AB29" s="1335">
        <f t="shared" si="4"/>
        <v>1</v>
      </c>
      <c r="AC29" s="1335">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15"/>
      <c r="Q30" s="1332" t="str">
        <f t="shared" si="11"/>
        <v>建筑面积</v>
      </c>
      <c r="R30" s="629" t="s">
        <v>25</v>
      </c>
      <c r="S30" s="630" t="e">
        <f t="shared" si="12"/>
        <v>#N/A</v>
      </c>
      <c r="T30" s="629" t="s">
        <v>25</v>
      </c>
      <c r="U30" s="630" t="e">
        <f t="shared" si="13"/>
        <v>#N/A</v>
      </c>
      <c r="V30" s="629" t="s">
        <v>25</v>
      </c>
      <c r="W30" s="630" t="e">
        <f t="shared" si="14"/>
        <v>#N/A</v>
      </c>
      <c r="X30" s="1333"/>
      <c r="Y30" s="3515"/>
      <c r="Z30" s="1334" t="str">
        <f t="shared" si="15"/>
        <v>建筑面积</v>
      </c>
      <c r="AA30" s="1335" t="e">
        <f t="shared" si="3"/>
        <v>#N/A</v>
      </c>
      <c r="AB30" s="1335" t="e">
        <f t="shared" si="4"/>
        <v>#N/A</v>
      </c>
      <c r="AC30" s="1335"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15"/>
      <c r="Q31" s="1325" t="str">
        <f t="shared" si="11"/>
        <v>是否封闭</v>
      </c>
      <c r="R31" s="625" t="s">
        <v>25</v>
      </c>
      <c r="S31" s="626">
        <f t="shared" si="12"/>
        <v>100</v>
      </c>
      <c r="T31" s="625" t="s">
        <v>25</v>
      </c>
      <c r="U31" s="626">
        <f t="shared" si="13"/>
        <v>100</v>
      </c>
      <c r="V31" s="625" t="s">
        <v>25</v>
      </c>
      <c r="W31" s="626">
        <f t="shared" si="14"/>
        <v>100</v>
      </c>
      <c r="X31" s="627"/>
      <c r="Y31" s="3515"/>
      <c r="Z31" s="19" t="str">
        <f t="shared" si="15"/>
        <v>是否封闭</v>
      </c>
      <c r="AA31" s="628">
        <f t="shared" si="3"/>
        <v>1</v>
      </c>
      <c r="AB31" s="628">
        <f t="shared" si="4"/>
        <v>1</v>
      </c>
      <c r="AC31" s="628">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15" t="s">
        <v>2276</v>
      </c>
      <c r="Q32" s="1332">
        <f t="shared" si="11"/>
        <v>111</v>
      </c>
      <c r="R32" s="629" t="s">
        <v>25</v>
      </c>
      <c r="S32" s="630">
        <f t="shared" si="12"/>
        <v>100</v>
      </c>
      <c r="T32" s="629" t="s">
        <v>25</v>
      </c>
      <c r="U32" s="630">
        <f t="shared" si="13"/>
        <v>100</v>
      </c>
      <c r="V32" s="629" t="s">
        <v>25</v>
      </c>
      <c r="W32" s="630">
        <f t="shared" si="14"/>
        <v>100</v>
      </c>
      <c r="X32" s="1333"/>
      <c r="Y32" s="3515" t="s">
        <v>2276</v>
      </c>
      <c r="Z32" s="1334">
        <f t="shared" si="15"/>
        <v>111</v>
      </c>
      <c r="AA32" s="1335">
        <f t="shared" si="3"/>
        <v>1</v>
      </c>
      <c r="AB32" s="1335">
        <f t="shared" si="4"/>
        <v>1</v>
      </c>
      <c r="AC32" s="1335">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15"/>
      <c r="Q33" s="1332">
        <f t="shared" si="11"/>
        <v>111</v>
      </c>
      <c r="R33" s="629" t="s">
        <v>25</v>
      </c>
      <c r="S33" s="630">
        <f t="shared" si="12"/>
        <v>100</v>
      </c>
      <c r="T33" s="629" t="s">
        <v>25</v>
      </c>
      <c r="U33" s="630">
        <f t="shared" si="13"/>
        <v>100</v>
      </c>
      <c r="V33" s="629" t="s">
        <v>25</v>
      </c>
      <c r="W33" s="630">
        <f t="shared" si="14"/>
        <v>100</v>
      </c>
      <c r="X33" s="1333"/>
      <c r="Y33" s="3515"/>
      <c r="Z33" s="1334">
        <f t="shared" si="15"/>
        <v>111</v>
      </c>
      <c r="AA33" s="1335">
        <f t="shared" si="3"/>
        <v>1</v>
      </c>
      <c r="AB33" s="1335">
        <f t="shared" si="4"/>
        <v>1</v>
      </c>
      <c r="AC33" s="1335">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2"/>
      <c r="M34" s="3023"/>
      <c r="N34" s="3023"/>
      <c r="O34" s="3031"/>
      <c r="P34" s="3515"/>
      <c r="Q34" s="1332">
        <f t="shared" si="11"/>
        <v>111</v>
      </c>
      <c r="R34" s="629" t="s">
        <v>25</v>
      </c>
      <c r="S34" s="630">
        <f t="shared" si="12"/>
        <v>100</v>
      </c>
      <c r="T34" s="629" t="s">
        <v>25</v>
      </c>
      <c r="U34" s="630">
        <f t="shared" si="13"/>
        <v>100</v>
      </c>
      <c r="V34" s="629" t="s">
        <v>25</v>
      </c>
      <c r="W34" s="630">
        <f t="shared" si="14"/>
        <v>100</v>
      </c>
      <c r="X34" s="1333"/>
      <c r="Y34" s="3515"/>
      <c r="Z34" s="1334">
        <f t="shared" si="15"/>
        <v>111</v>
      </c>
      <c r="AA34" s="1335">
        <f t="shared" si="3"/>
        <v>1</v>
      </c>
      <c r="AB34" s="1335">
        <f t="shared" si="4"/>
        <v>1</v>
      </c>
      <c r="AC34" s="1335">
        <f t="shared" si="5"/>
        <v>1</v>
      </c>
    </row>
    <row r="35" spans="1:29" ht="15">
      <c r="A35" s="367" t="s">
        <v>2288</v>
      </c>
      <c r="B35" s="368"/>
      <c r="C35" s="1151" t="s">
        <v>1</v>
      </c>
      <c r="D35" s="1152"/>
      <c r="E35" s="1153"/>
      <c r="F35" s="1154"/>
      <c r="G35" s="1155"/>
      <c r="H35" s="1156"/>
      <c r="I35" s="1153"/>
      <c r="J35" s="1156"/>
      <c r="K35" s="638"/>
      <c r="L35" s="3034"/>
      <c r="N35" s="3023"/>
      <c r="P35" s="3483" t="str">
        <f>A35</f>
        <v>成交单价（元/平方米）</v>
      </c>
      <c r="Q35" s="3483"/>
      <c r="R35" s="3517">
        <f>E35</f>
        <v>0</v>
      </c>
      <c r="S35" s="3517"/>
      <c r="T35" s="3517">
        <f>G35</f>
        <v>0</v>
      </c>
      <c r="U35" s="3517"/>
      <c r="V35" s="3517">
        <f>I35</f>
        <v>0</v>
      </c>
      <c r="W35" s="3517"/>
      <c r="X35" s="616"/>
      <c r="Y35" s="636"/>
      <c r="Z35" s="616"/>
      <c r="AA35" s="616"/>
      <c r="AB35" s="616"/>
      <c r="AC35" s="616"/>
    </row>
    <row r="36" spans="1:29" ht="15.75" thickBot="1">
      <c r="A36" s="374" t="s">
        <v>2371</v>
      </c>
      <c r="B36" s="375"/>
      <c r="C36" s="1157" t="e">
        <f>R37</f>
        <v>#DIV/0!</v>
      </c>
      <c r="D36" s="1795" t="s">
        <v>2743</v>
      </c>
      <c r="E36" s="1158" t="e">
        <f>R36</f>
        <v>#DIV/0!</v>
      </c>
      <c r="F36" s="1797"/>
      <c r="G36" s="1157" t="e">
        <f>T36</f>
        <v>#DIV/0!</v>
      </c>
      <c r="H36" s="1797"/>
      <c r="I36" s="1158" t="e">
        <f>V36</f>
        <v>#DIV/0!</v>
      </c>
      <c r="J36" s="1797"/>
      <c r="K36" s="2509">
        <f>F36+H36+J36</f>
        <v>0</v>
      </c>
      <c r="L36" s="3034"/>
      <c r="N36" s="3023"/>
      <c r="P36" s="3483" t="str">
        <f>A36</f>
        <v>比较价值（元/平方米）</v>
      </c>
      <c r="Q36" s="3483"/>
      <c r="R36" s="3517" t="e">
        <f>IF(E1="售价",ROUND(PRODUCT(R35,AA7:AA34),0),ROUND(PRODUCT(R35,AA7:AA34),1))</f>
        <v>#DIV/0!</v>
      </c>
      <c r="S36" s="3517"/>
      <c r="T36" s="3517" t="e">
        <f>IF(E1="售价",ROUND(PRODUCT(T35,AB7:AB34),0),ROUND(PRODUCT(T35,AB7:AB34),1))</f>
        <v>#DIV/0!</v>
      </c>
      <c r="U36" s="3517"/>
      <c r="V36" s="3517" t="e">
        <f>IF(E1="售价",ROUND(PRODUCT(V35,AC7:AC34),0),ROUND(PRODUCT(V35,AC7:AC34),1))</f>
        <v>#DIV/0!</v>
      </c>
      <c r="W36" s="3517"/>
      <c r="X36" s="616"/>
      <c r="Y36" s="616"/>
      <c r="Z36" s="616"/>
      <c r="AA36" s="616"/>
      <c r="AB36" s="616"/>
      <c r="AC36" s="616"/>
    </row>
    <row r="37" spans="1:29" ht="15.75" thickBot="1">
      <c r="A37" s="378" t="s">
        <v>2394</v>
      </c>
      <c r="B37" s="379"/>
      <c r="C37" s="1159" t="e">
        <f>R37</f>
        <v>#DIV/0!</v>
      </c>
      <c r="D37" s="1159"/>
      <c r="E37" s="1159"/>
      <c r="F37" s="1159"/>
      <c r="G37" s="1159"/>
      <c r="H37" s="1159"/>
      <c r="I37" s="1159"/>
      <c r="J37" s="1159"/>
      <c r="K37" s="639"/>
      <c r="L37" s="3034"/>
      <c r="P37" s="3518" t="str">
        <f>A37</f>
        <v>估价对象XX用房的比较价值（楼面单价，元/平方米）</v>
      </c>
      <c r="Q37" s="3519"/>
      <c r="R37" s="3520" t="e">
        <f>IF(E1="售价",ROUND(IF(D36="简单平均",AVERAGE(R36:W36),R36*F36+T36*H36+V36*J36),0),ROUND(IF(D36="简单平均",AVERAGE(R36:V36),R36*F36+T36*H36+V36*J36),1))</f>
        <v>#DIV/0!</v>
      </c>
      <c r="S37" s="3520"/>
      <c r="T37" s="3520"/>
      <c r="U37" s="3520"/>
      <c r="V37" s="3520"/>
      <c r="W37" s="3520"/>
      <c r="X37" s="616"/>
      <c r="Y37" s="616"/>
      <c r="Z37" s="616"/>
      <c r="AA37" s="616"/>
      <c r="AB37" s="616"/>
      <c r="AC37" s="616"/>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18" t="s">
        <v>2376</v>
      </c>
      <c r="B45" s="616"/>
      <c r="C45" s="619"/>
      <c r="D45" s="619"/>
      <c r="E45" s="619"/>
      <c r="F45" s="620"/>
      <c r="G45" s="620"/>
      <c r="H45" s="619"/>
      <c r="I45" s="619"/>
      <c r="J45" s="619"/>
      <c r="K45" s="621"/>
      <c r="L45" s="622"/>
      <c r="M45" s="619"/>
      <c r="N45" s="3040"/>
      <c r="O45" s="3040"/>
      <c r="P45" s="389"/>
      <c r="Q45" s="390"/>
    </row>
    <row r="46" spans="1:29" s="394" customFormat="1" ht="15">
      <c r="A46" s="391" t="s">
        <v>2258</v>
      </c>
      <c r="B46" s="392"/>
      <c r="C46" s="1185" t="str">
        <f>YEAR(C7)&amp;"-"&amp;MONTH(C7)</f>
        <v>2021-3</v>
      </c>
      <c r="D46" s="1186">
        <f>EDATE(C46,-1)</f>
        <v>44228</v>
      </c>
      <c r="E46" s="1186">
        <f t="shared" ref="E46:O46" si="16">EDATE(D46,-1)</f>
        <v>44197</v>
      </c>
      <c r="F46" s="1186">
        <f t="shared" si="16"/>
        <v>44166</v>
      </c>
      <c r="G46" s="1186">
        <f t="shared" si="16"/>
        <v>44136</v>
      </c>
      <c r="H46" s="1186">
        <f t="shared" si="16"/>
        <v>44105</v>
      </c>
      <c r="I46" s="1186">
        <f t="shared" si="16"/>
        <v>44075</v>
      </c>
      <c r="J46" s="1186">
        <f t="shared" si="16"/>
        <v>44044</v>
      </c>
      <c r="K46" s="1186">
        <f t="shared" si="16"/>
        <v>44013</v>
      </c>
      <c r="L46" s="1186">
        <f t="shared" si="16"/>
        <v>43983</v>
      </c>
      <c r="M46" s="1186">
        <f t="shared" si="16"/>
        <v>43952</v>
      </c>
      <c r="N46" s="1186">
        <f t="shared" si="16"/>
        <v>43922</v>
      </c>
      <c r="O46" s="1186">
        <f t="shared" si="16"/>
        <v>43891</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1914</v>
      </c>
      <c r="B2" s="1960" t="e">
        <f>F66</f>
        <v>#DIV/0!</v>
      </c>
      <c r="C2" s="1655" t="s">
        <v>2443</v>
      </c>
      <c r="D2" s="3009"/>
      <c r="E2" s="3009"/>
      <c r="F2" s="3008"/>
      <c r="G2" s="3009"/>
      <c r="H2" s="3009"/>
      <c r="I2" s="3009"/>
      <c r="J2" s="3009"/>
      <c r="K2" s="3010"/>
      <c r="L2" s="3011"/>
      <c r="M2" s="3009"/>
      <c r="N2" s="3009"/>
      <c r="O2" s="3009"/>
      <c r="P2" s="1955"/>
      <c r="Q2" s="1955"/>
      <c r="R2" s="1955"/>
      <c r="S2" s="1955"/>
      <c r="T2" s="1955"/>
      <c r="U2" s="1955"/>
      <c r="V2" s="1955"/>
      <c r="W2" s="1955"/>
      <c r="X2" s="1955"/>
      <c r="Y2" s="1955"/>
      <c r="Z2" s="1955"/>
      <c r="AA2" s="1955"/>
      <c r="AB2" s="1955"/>
      <c r="AC2" s="1956"/>
      <c r="AD2" s="1957"/>
    </row>
    <row r="3" spans="1:30" s="1958" customFormat="1" ht="28.5" customHeight="1" thickBot="1">
      <c r="A3" s="1657" t="s">
        <v>1915</v>
      </c>
      <c r="B3" s="1961" t="e">
        <f>ROUND(B2/'数据-取费表'!B5,0)</f>
        <v>#DIV/0!</v>
      </c>
      <c r="C3" s="1655" t="s">
        <v>2444</v>
      </c>
      <c r="D3" s="3009"/>
      <c r="E3" s="3009"/>
      <c r="F3" s="3008"/>
      <c r="G3" s="3009"/>
      <c r="H3" s="3009"/>
      <c r="I3" s="3009"/>
      <c r="J3" s="3009"/>
      <c r="K3" s="3010"/>
      <c r="L3" s="3011"/>
      <c r="M3" s="3009"/>
      <c r="N3" s="3009"/>
      <c r="O3" s="3009"/>
      <c r="P3" s="1955"/>
      <c r="Q3" s="1955"/>
      <c r="R3" s="1955"/>
      <c r="S3" s="1955"/>
      <c r="T3" s="1955"/>
      <c r="U3" s="1955"/>
      <c r="V3" s="1955"/>
      <c r="W3" s="1955"/>
      <c r="X3" s="1955"/>
      <c r="Y3" s="1955"/>
      <c r="Z3" s="1955"/>
      <c r="AA3" s="1955"/>
      <c r="AB3" s="1962"/>
      <c r="AC3" s="1963"/>
    </row>
    <row r="4" spans="1:30" ht="15">
      <c r="A4" s="1661" t="s">
        <v>2245</v>
      </c>
      <c r="B4" s="1662"/>
      <c r="C4" s="3431" t="s">
        <v>2246</v>
      </c>
      <c r="D4" s="3432"/>
      <c r="E4" s="3433" t="s">
        <v>2247</v>
      </c>
      <c r="F4" s="3434"/>
      <c r="G4" s="3431" t="s">
        <v>2248</v>
      </c>
      <c r="H4" s="3432"/>
      <c r="I4" s="3431" t="s">
        <v>2249</v>
      </c>
      <c r="J4" s="3432"/>
      <c r="K4" s="1964" t="s">
        <v>2250</v>
      </c>
      <c r="L4" s="2994"/>
      <c r="M4" s="2995"/>
      <c r="N4" s="2995"/>
      <c r="O4" s="2995"/>
      <c r="P4" s="3435" t="s">
        <v>2251</v>
      </c>
      <c r="Q4" s="3436"/>
      <c r="R4" s="3441" t="s">
        <v>2247</v>
      </c>
      <c r="S4" s="3442"/>
      <c r="T4" s="3441" t="s">
        <v>2248</v>
      </c>
      <c r="U4" s="3442"/>
      <c r="V4" s="3447" t="s">
        <v>2249</v>
      </c>
      <c r="W4" s="3447"/>
      <c r="X4" s="1664"/>
      <c r="Y4" s="3441" t="s">
        <v>2251</v>
      </c>
      <c r="Z4" s="3442"/>
      <c r="AA4" s="3428" t="s">
        <v>2247</v>
      </c>
      <c r="AB4" s="3429" t="s">
        <v>2248</v>
      </c>
      <c r="AC4" s="3428" t="s">
        <v>2249</v>
      </c>
    </row>
    <row r="5" spans="1:30" ht="15">
      <c r="A5" s="1666"/>
      <c r="B5" s="1667"/>
      <c r="C5" s="3450" t="s">
        <v>2252</v>
      </c>
      <c r="D5" s="3451"/>
      <c r="E5" s="3448" t="s">
        <v>2253</v>
      </c>
      <c r="F5" s="3449"/>
      <c r="G5" s="3450" t="s">
        <v>2254</v>
      </c>
      <c r="H5" s="3451"/>
      <c r="I5" s="3450" t="s">
        <v>2255</v>
      </c>
      <c r="J5" s="3451"/>
      <c r="K5" s="1964"/>
      <c r="L5" s="2994"/>
      <c r="M5" s="2995"/>
      <c r="N5" s="2995"/>
      <c r="O5" s="2995"/>
      <c r="P5" s="3437"/>
      <c r="Q5" s="3438"/>
      <c r="R5" s="3443"/>
      <c r="S5" s="3444"/>
      <c r="T5" s="3443"/>
      <c r="U5" s="3444"/>
      <c r="V5" s="3447"/>
      <c r="W5" s="3447"/>
      <c r="X5" s="1664"/>
      <c r="Y5" s="3443"/>
      <c r="Z5" s="3444"/>
      <c r="AA5" s="3429"/>
      <c r="AB5" s="3429"/>
      <c r="AC5" s="3429"/>
    </row>
    <row r="6" spans="1:30" ht="15.75" thickBot="1">
      <c r="A6" s="1669"/>
      <c r="B6" s="1670"/>
      <c r="C6" s="3452" t="s">
        <v>2256</v>
      </c>
      <c r="D6" s="3453"/>
      <c r="E6" s="3454" t="s">
        <v>2256</v>
      </c>
      <c r="F6" s="3455"/>
      <c r="G6" s="3452" t="s">
        <v>2256</v>
      </c>
      <c r="H6" s="3453"/>
      <c r="I6" s="3452" t="s">
        <v>2256</v>
      </c>
      <c r="J6" s="3453"/>
      <c r="K6" s="1964" t="s">
        <v>2257</v>
      </c>
      <c r="L6" s="2994"/>
      <c r="M6" s="2995"/>
      <c r="N6" s="2995"/>
      <c r="O6" s="2995"/>
      <c r="P6" s="3439"/>
      <c r="Q6" s="3440"/>
      <c r="R6" s="3443"/>
      <c r="S6" s="3444"/>
      <c r="T6" s="3445"/>
      <c r="U6" s="3446"/>
      <c r="V6" s="3447"/>
      <c r="W6" s="3447"/>
      <c r="X6" s="1664"/>
      <c r="Y6" s="3445"/>
      <c r="Z6" s="3446"/>
      <c r="AA6" s="3430"/>
      <c r="AB6" s="3430"/>
      <c r="AC6" s="3430"/>
    </row>
    <row r="7" spans="1:30" s="1683" customFormat="1" ht="15.75" thickBot="1">
      <c r="A7" s="1671" t="s">
        <v>2258</v>
      </c>
      <c r="B7" s="1672"/>
      <c r="C7" s="1673">
        <f>'数据-取费表'!B2</f>
        <v>44270</v>
      </c>
      <c r="D7" s="1674">
        <v>100</v>
      </c>
      <c r="E7" s="1675"/>
      <c r="F7" s="1676">
        <f>SUMIF(70:70,YEAR(E7)&amp;"-"&amp;INT((MONTH(E7)+2)/3),71:71)</f>
        <v>0</v>
      </c>
      <c r="G7" s="1965"/>
      <c r="H7" s="1674">
        <f>SUMIF(70:70,YEAR(G7)&amp;"-"&amp;INT((MONTH(G7)+2)/3),71:71)</f>
        <v>0</v>
      </c>
      <c r="I7" s="1965"/>
      <c r="J7" s="1674">
        <f>SUMIF(70:70,YEAR(I7)&amp;"-"&amp;INT((MONTH(I7)+2)/3),71:71)</f>
        <v>0</v>
      </c>
      <c r="K7" s="1966"/>
      <c r="L7" s="2994"/>
      <c r="M7" s="2967"/>
      <c r="N7" s="2967"/>
      <c r="O7" s="2967"/>
      <c r="P7" s="3463" t="s">
        <v>2259</v>
      </c>
      <c r="Q7" s="3465"/>
      <c r="R7" s="1679" t="s">
        <v>25</v>
      </c>
      <c r="S7" s="1680">
        <f t="shared" ref="S7:S15" si="0">F7</f>
        <v>0</v>
      </c>
      <c r="T7" s="1679" t="s">
        <v>25</v>
      </c>
      <c r="U7" s="1680">
        <f t="shared" ref="U7:U15" si="1">H7</f>
        <v>0</v>
      </c>
      <c r="V7" s="1679" t="s">
        <v>25</v>
      </c>
      <c r="W7" s="1680">
        <f t="shared" ref="W7:W15" si="2">J7</f>
        <v>0</v>
      </c>
      <c r="X7" s="1681"/>
      <c r="Y7" s="3463" t="s">
        <v>2259</v>
      </c>
      <c r="Z7" s="3464"/>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6"/>
      <c r="L8" s="2994"/>
      <c r="M8" s="2967"/>
      <c r="N8" s="2967"/>
      <c r="O8" s="2967"/>
      <c r="P8" s="3463" t="s">
        <v>2262</v>
      </c>
      <c r="Q8" s="3464"/>
      <c r="R8" s="1679" t="s">
        <v>25</v>
      </c>
      <c r="S8" s="1680">
        <f t="shared" si="0"/>
        <v>0</v>
      </c>
      <c r="T8" s="1679" t="s">
        <v>25</v>
      </c>
      <c r="U8" s="1680">
        <f t="shared" si="1"/>
        <v>0</v>
      </c>
      <c r="V8" s="1679" t="s">
        <v>25</v>
      </c>
      <c r="W8" s="1680">
        <f t="shared" si="2"/>
        <v>0</v>
      </c>
      <c r="X8" s="1681"/>
      <c r="Y8" s="3463" t="s">
        <v>2262</v>
      </c>
      <c r="Z8" s="3464"/>
      <c r="AA8" s="1682" t="e">
        <f t="shared" ref="AA8:AA45" si="3">D8/F8</f>
        <v>#DIV/0!</v>
      </c>
      <c r="AB8" s="1682" t="e">
        <f t="shared" ref="AB8:AB45" si="4">D8/H8</f>
        <v>#DIV/0!</v>
      </c>
      <c r="AC8" s="1682" t="e">
        <f t="shared" ref="AC8:AC45" si="5">D8/J8</f>
        <v>#DIV/0!</v>
      </c>
    </row>
    <row r="9" spans="1:30" s="1683" customFormat="1">
      <c r="A9" s="1634"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4"/>
      <c r="M9" s="2967"/>
      <c r="N9" s="2967"/>
      <c r="O9" s="3041"/>
      <c r="P9" s="3467" t="s">
        <v>2265</v>
      </c>
      <c r="Q9" s="1633" t="str">
        <f t="shared" ref="Q9:Q15" si="6">B9</f>
        <v>用途</v>
      </c>
      <c r="R9" s="1679" t="s">
        <v>25</v>
      </c>
      <c r="S9" s="1680">
        <f t="shared" si="0"/>
        <v>100</v>
      </c>
      <c r="T9" s="1679" t="s">
        <v>25</v>
      </c>
      <c r="U9" s="1680">
        <f t="shared" si="1"/>
        <v>100</v>
      </c>
      <c r="V9" s="1679" t="s">
        <v>25</v>
      </c>
      <c r="W9" s="1680">
        <f t="shared" si="2"/>
        <v>100</v>
      </c>
      <c r="X9" s="1681"/>
      <c r="Y9" s="3338" t="s">
        <v>2266</v>
      </c>
      <c r="Z9" s="1692" t="str">
        <f t="shared" ref="Z9:Z15" si="7">Q9</f>
        <v>用途</v>
      </c>
      <c r="AA9" s="1682">
        <f t="shared" si="3"/>
        <v>1</v>
      </c>
      <c r="AB9" s="1682">
        <f t="shared" si="4"/>
        <v>1</v>
      </c>
      <c r="AC9" s="1682">
        <f t="shared" si="5"/>
        <v>1</v>
      </c>
    </row>
    <row r="10" spans="1:30" s="1700" customFormat="1" ht="27">
      <c r="A10" s="1693"/>
      <c r="B10" s="1694" t="s">
        <v>2267</v>
      </c>
      <c r="C10" s="1706"/>
      <c r="D10" s="1696">
        <v>100</v>
      </c>
      <c r="E10" s="1758"/>
      <c r="F10" s="1696">
        <f>ROUND(100/'数据-取费表'!B14,0)</f>
        <v>127</v>
      </c>
      <c r="G10" s="1756"/>
      <c r="H10" s="1696">
        <f>ROUND(100/'数据-取费表'!B14,0)</f>
        <v>127</v>
      </c>
      <c r="I10" s="1756"/>
      <c r="J10" s="1696">
        <f>ROUND(100/'数据-取费表'!B14,0)</f>
        <v>127</v>
      </c>
      <c r="K10" s="1968"/>
      <c r="L10" s="2996"/>
      <c r="M10" s="2997"/>
      <c r="N10" s="2997"/>
      <c r="O10" s="3042"/>
      <c r="P10" s="3467"/>
      <c r="Q10" s="1633" t="str">
        <f t="shared" si="6"/>
        <v>土地使用年限（年）</v>
      </c>
      <c r="R10" s="1679" t="s">
        <v>25</v>
      </c>
      <c r="S10" s="1680">
        <f t="shared" si="0"/>
        <v>127</v>
      </c>
      <c r="T10" s="1679" t="s">
        <v>25</v>
      </c>
      <c r="U10" s="1680">
        <f t="shared" si="1"/>
        <v>127</v>
      </c>
      <c r="V10" s="1679" t="s">
        <v>25</v>
      </c>
      <c r="W10" s="1680">
        <f t="shared" si="2"/>
        <v>127</v>
      </c>
      <c r="X10" s="1681"/>
      <c r="Y10" s="3338"/>
      <c r="Z10" s="1692" t="str">
        <f t="shared" si="7"/>
        <v>土地使用年限（年）</v>
      </c>
      <c r="AA10" s="1682">
        <f t="shared" si="3"/>
        <v>0.78740157480314965</v>
      </c>
      <c r="AB10" s="1682">
        <f t="shared" si="4"/>
        <v>0.78740157480314965</v>
      </c>
      <c r="AC10" s="1682">
        <f t="shared" si="5"/>
        <v>0.78740157480314965</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8"/>
      <c r="M11" s="2995"/>
      <c r="N11" s="2995"/>
      <c r="O11" s="3043"/>
      <c r="P11" s="3467"/>
      <c r="Q11" s="1633" t="str">
        <f t="shared" si="6"/>
        <v>容积率</v>
      </c>
      <c r="R11" s="1679" t="s">
        <v>25</v>
      </c>
      <c r="S11" s="1680" t="e">
        <f t="shared" si="0"/>
        <v>#N/A</v>
      </c>
      <c r="T11" s="1679" t="s">
        <v>25</v>
      </c>
      <c r="U11" s="1680" t="e">
        <f t="shared" si="1"/>
        <v>#N/A</v>
      </c>
      <c r="V11" s="1679" t="s">
        <v>25</v>
      </c>
      <c r="W11" s="1680" t="e">
        <f t="shared" si="2"/>
        <v>#N/A</v>
      </c>
      <c r="X11" s="1681"/>
      <c r="Y11" s="3338"/>
      <c r="Z11" s="1692" t="str">
        <f t="shared" si="7"/>
        <v>容积率</v>
      </c>
      <c r="AA11" s="1682" t="e">
        <f t="shared" si="3"/>
        <v>#N/A</v>
      </c>
      <c r="AB11" s="1682" t="e">
        <f t="shared" si="4"/>
        <v>#N/A</v>
      </c>
      <c r="AC11" s="1682" t="e">
        <f t="shared" si="5"/>
        <v>#N/A</v>
      </c>
    </row>
    <row r="12" spans="1:30" s="1683"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4"/>
      <c r="M12" s="2967"/>
      <c r="N12" s="2967"/>
      <c r="O12" s="3041"/>
      <c r="P12" s="3467"/>
      <c r="Q12" s="1633" t="str">
        <f t="shared" si="6"/>
        <v>配建</v>
      </c>
      <c r="R12" s="1679" t="s">
        <v>25</v>
      </c>
      <c r="S12" s="1680">
        <f t="shared" si="0"/>
        <v>100</v>
      </c>
      <c r="T12" s="1679" t="s">
        <v>25</v>
      </c>
      <c r="U12" s="1680">
        <f t="shared" si="1"/>
        <v>100</v>
      </c>
      <c r="V12" s="1679" t="s">
        <v>25</v>
      </c>
      <c r="W12" s="1680">
        <f t="shared" si="2"/>
        <v>100</v>
      </c>
      <c r="X12" s="1681"/>
      <c r="Y12" s="3338"/>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9"/>
      <c r="M13" s="2995"/>
      <c r="N13" s="2995"/>
      <c r="O13" s="3043"/>
      <c r="P13" s="3467"/>
      <c r="Q13" s="1633">
        <f t="shared" si="6"/>
        <v>111</v>
      </c>
      <c r="R13" s="1679" t="s">
        <v>25</v>
      </c>
      <c r="S13" s="1680">
        <f t="shared" si="0"/>
        <v>100</v>
      </c>
      <c r="T13" s="1679" t="s">
        <v>25</v>
      </c>
      <c r="U13" s="1680">
        <f t="shared" si="1"/>
        <v>100</v>
      </c>
      <c r="V13" s="1679" t="s">
        <v>25</v>
      </c>
      <c r="W13" s="1680">
        <f t="shared" si="2"/>
        <v>100</v>
      </c>
      <c r="X13" s="1681"/>
      <c r="Y13" s="3338"/>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9"/>
      <c r="M14" s="2995"/>
      <c r="N14" s="2995"/>
      <c r="O14" s="3043"/>
      <c r="P14" s="3467"/>
      <c r="Q14" s="1633">
        <f t="shared" si="6"/>
        <v>111</v>
      </c>
      <c r="R14" s="1679" t="s">
        <v>25</v>
      </c>
      <c r="S14" s="1680">
        <f t="shared" si="0"/>
        <v>100</v>
      </c>
      <c r="T14" s="1679" t="s">
        <v>25</v>
      </c>
      <c r="U14" s="1680">
        <f t="shared" si="1"/>
        <v>100</v>
      </c>
      <c r="V14" s="1679" t="s">
        <v>25</v>
      </c>
      <c r="W14" s="1680">
        <f t="shared" si="2"/>
        <v>100</v>
      </c>
      <c r="X14" s="1681"/>
      <c r="Y14" s="3338"/>
      <c r="Z14" s="1692">
        <f t="shared" si="7"/>
        <v>111</v>
      </c>
      <c r="AA14" s="1682">
        <f>D14/F14</f>
        <v>1</v>
      </c>
      <c r="AB14" s="1682">
        <f>D14/H14</f>
        <v>1</v>
      </c>
      <c r="AC14" s="1682">
        <f>D14/J14</f>
        <v>1</v>
      </c>
    </row>
    <row r="15" spans="1:30" ht="99.75">
      <c r="A15" s="1661" t="s">
        <v>2269</v>
      </c>
      <c r="B15" s="1971" t="s">
        <v>1704</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9"/>
      <c r="M15" s="2995"/>
      <c r="N15" s="2995"/>
      <c r="O15" s="3043"/>
      <c r="P15" s="3456" t="s">
        <v>2270</v>
      </c>
      <c r="Q15" s="1614" t="str">
        <f t="shared" si="6"/>
        <v>居住社区成熟度</v>
      </c>
      <c r="R15" s="1724" t="s">
        <v>25</v>
      </c>
      <c r="S15" s="1725">
        <f t="shared" si="0"/>
        <v>100</v>
      </c>
      <c r="T15" s="1724" t="s">
        <v>25</v>
      </c>
      <c r="U15" s="1725">
        <f t="shared" si="1"/>
        <v>100</v>
      </c>
      <c r="V15" s="1724" t="s">
        <v>25</v>
      </c>
      <c r="W15" s="1725">
        <f t="shared" si="2"/>
        <v>100</v>
      </c>
      <c r="X15" s="1664"/>
      <c r="Y15" s="3456" t="s">
        <v>2270</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9"/>
      <c r="M16" s="2995"/>
      <c r="N16" s="2995"/>
      <c r="O16" s="3043"/>
      <c r="P16" s="3457"/>
      <c r="Q16" s="1614"/>
      <c r="R16" s="1724"/>
      <c r="S16" s="1725"/>
      <c r="T16" s="1724"/>
      <c r="U16" s="1725"/>
      <c r="V16" s="1724"/>
      <c r="W16" s="1725"/>
      <c r="X16" s="1664"/>
      <c r="Y16" s="3457"/>
      <c r="Z16" s="1726"/>
      <c r="AA16" s="1727">
        <v>1</v>
      </c>
      <c r="AB16" s="1727">
        <v>1</v>
      </c>
      <c r="AC16" s="1727">
        <v>1</v>
      </c>
    </row>
    <row r="17" spans="1:29" ht="71.25">
      <c r="A17" s="1666"/>
      <c r="B17" s="1975" t="s">
        <v>2355</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9"/>
      <c r="M17" s="2995"/>
      <c r="N17" s="2995"/>
      <c r="O17" s="3043"/>
      <c r="P17" s="3457"/>
      <c r="Q17" s="1614" t="str">
        <f>B17</f>
        <v>商业繁华度</v>
      </c>
      <c r="R17" s="1724" t="s">
        <v>25</v>
      </c>
      <c r="S17" s="1725">
        <f>F17</f>
        <v>100</v>
      </c>
      <c r="T17" s="1724" t="s">
        <v>25</v>
      </c>
      <c r="U17" s="1725">
        <f>H17</f>
        <v>100</v>
      </c>
      <c r="V17" s="1724" t="s">
        <v>25</v>
      </c>
      <c r="W17" s="1725">
        <f>J17</f>
        <v>100</v>
      </c>
      <c r="X17" s="1664"/>
      <c r="Y17" s="3457"/>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9"/>
      <c r="M18" s="2995"/>
      <c r="N18" s="2995"/>
      <c r="O18" s="3043"/>
      <c r="P18" s="3457"/>
      <c r="Q18" s="1614"/>
      <c r="R18" s="1724"/>
      <c r="S18" s="1725"/>
      <c r="T18" s="1724"/>
      <c r="U18" s="1725"/>
      <c r="V18" s="1724"/>
      <c r="W18" s="1725"/>
      <c r="X18" s="1664"/>
      <c r="Y18" s="3457"/>
      <c r="Z18" s="1726"/>
      <c r="AA18" s="1727">
        <v>1</v>
      </c>
      <c r="AB18" s="1727">
        <v>1</v>
      </c>
      <c r="AC18" s="1727">
        <v>1</v>
      </c>
    </row>
    <row r="19" spans="1:29" ht="71.25">
      <c r="A19" s="1666"/>
      <c r="B19" s="1975" t="s">
        <v>2384</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9"/>
      <c r="M19" s="2995"/>
      <c r="N19" s="2995"/>
      <c r="O19" s="3043"/>
      <c r="P19" s="3457"/>
      <c r="Q19" s="1614" t="str">
        <f>B19</f>
        <v>办公集聚程度</v>
      </c>
      <c r="R19" s="1724" t="s">
        <v>25</v>
      </c>
      <c r="S19" s="1725">
        <f>F19</f>
        <v>100</v>
      </c>
      <c r="T19" s="1724" t="s">
        <v>25</v>
      </c>
      <c r="U19" s="1725">
        <f>H19</f>
        <v>100</v>
      </c>
      <c r="V19" s="1724" t="s">
        <v>25</v>
      </c>
      <c r="W19" s="1725">
        <f>J19</f>
        <v>100</v>
      </c>
      <c r="X19" s="1664"/>
      <c r="Y19" s="3457"/>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9"/>
      <c r="M20" s="2995"/>
      <c r="N20" s="2995"/>
      <c r="O20" s="3043"/>
      <c r="P20" s="3457"/>
      <c r="Q20" s="1614"/>
      <c r="R20" s="1724"/>
      <c r="S20" s="1725"/>
      <c r="T20" s="1724"/>
      <c r="U20" s="1725"/>
      <c r="V20" s="1724"/>
      <c r="W20" s="1725"/>
      <c r="X20" s="1664"/>
      <c r="Y20" s="3457"/>
      <c r="Z20" s="1726"/>
      <c r="AA20" s="1727">
        <v>1</v>
      </c>
      <c r="AB20" s="1727">
        <v>1</v>
      </c>
      <c r="AC20" s="1727">
        <v>1</v>
      </c>
    </row>
    <row r="21" spans="1:29" ht="85.5">
      <c r="A21" s="1666"/>
      <c r="B21" s="1975" t="s">
        <v>2407</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9"/>
      <c r="M21" s="2995"/>
      <c r="N21" s="2995"/>
      <c r="O21" s="3043"/>
      <c r="P21" s="3457"/>
      <c r="Q21" s="1614" t="str">
        <f>B21</f>
        <v>交通便捷度</v>
      </c>
      <c r="R21" s="1724" t="s">
        <v>25</v>
      </c>
      <c r="S21" s="1725">
        <f>F21</f>
        <v>100</v>
      </c>
      <c r="T21" s="1724" t="s">
        <v>25</v>
      </c>
      <c r="U21" s="1725">
        <f>H21</f>
        <v>100</v>
      </c>
      <c r="V21" s="1724" t="s">
        <v>25</v>
      </c>
      <c r="W21" s="1725">
        <f>J21</f>
        <v>100</v>
      </c>
      <c r="X21" s="1664"/>
      <c r="Y21" s="3457"/>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9"/>
      <c r="M22" s="2995"/>
      <c r="N22" s="2995"/>
      <c r="O22" s="3043"/>
      <c r="P22" s="3457"/>
      <c r="Q22" s="1614"/>
      <c r="R22" s="1724"/>
      <c r="S22" s="1725"/>
      <c r="T22" s="1724"/>
      <c r="U22" s="1725"/>
      <c r="V22" s="1724"/>
      <c r="W22" s="1725"/>
      <c r="X22" s="1664"/>
      <c r="Y22" s="3457"/>
      <c r="Z22" s="1726"/>
      <c r="AA22" s="1727">
        <v>1</v>
      </c>
      <c r="AB22" s="1727">
        <v>1</v>
      </c>
      <c r="AC22" s="1727">
        <v>1</v>
      </c>
    </row>
    <row r="23" spans="1:29" ht="15">
      <c r="A23" s="1666"/>
      <c r="B23" s="1456"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9"/>
      <c r="M23" s="2995"/>
      <c r="N23" s="2995"/>
      <c r="O23" s="3043"/>
      <c r="P23" s="3457"/>
      <c r="Q23" s="1614" t="str">
        <f t="shared" ref="Q23:Q37" si="8">B23</f>
        <v>区域土地利用方向</v>
      </c>
      <c r="R23" s="1724" t="s">
        <v>25</v>
      </c>
      <c r="S23" s="1725">
        <f>F23</f>
        <v>100</v>
      </c>
      <c r="T23" s="1724" t="s">
        <v>25</v>
      </c>
      <c r="U23" s="1725">
        <f>H23</f>
        <v>100</v>
      </c>
      <c r="V23" s="1724" t="s">
        <v>25</v>
      </c>
      <c r="W23" s="1725">
        <f>J23</f>
        <v>100</v>
      </c>
      <c r="X23" s="1664"/>
      <c r="Y23" s="3457"/>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9"/>
      <c r="M24" s="2995"/>
      <c r="N24" s="2995"/>
      <c r="O24" s="3043"/>
      <c r="P24" s="3457"/>
      <c r="Q24" s="1614"/>
      <c r="R24" s="1724"/>
      <c r="S24" s="1725"/>
      <c r="T24" s="1724"/>
      <c r="U24" s="1725"/>
      <c r="V24" s="1724"/>
      <c r="W24" s="1725"/>
      <c r="X24" s="1664"/>
      <c r="Y24" s="3457"/>
      <c r="Z24" s="1726"/>
      <c r="AA24" s="1727"/>
      <c r="AB24" s="1727"/>
      <c r="AC24" s="1727"/>
    </row>
    <row r="25" spans="1:29" ht="57">
      <c r="A25" s="1666"/>
      <c r="B25" s="1980" t="s">
        <v>2448</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9"/>
      <c r="M25" s="2995"/>
      <c r="N25" s="2995"/>
      <c r="O25" s="3043"/>
      <c r="P25" s="3457"/>
      <c r="Q25" s="1614" t="str">
        <f t="shared" si="8"/>
        <v>自然及人文环境状况</v>
      </c>
      <c r="R25" s="1724" t="s">
        <v>25</v>
      </c>
      <c r="S25" s="1725">
        <f>F25</f>
        <v>100</v>
      </c>
      <c r="T25" s="1724" t="s">
        <v>25</v>
      </c>
      <c r="U25" s="1725">
        <f>H25</f>
        <v>100</v>
      </c>
      <c r="V25" s="1724" t="s">
        <v>25</v>
      </c>
      <c r="W25" s="1725">
        <f>J25</f>
        <v>100</v>
      </c>
      <c r="X25" s="1664"/>
      <c r="Y25" s="3457"/>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9"/>
      <c r="M26" s="2995"/>
      <c r="N26" s="2995"/>
      <c r="O26" s="3043"/>
      <c r="P26" s="3457"/>
      <c r="Q26" s="1614"/>
      <c r="R26" s="1724"/>
      <c r="S26" s="1725"/>
      <c r="T26" s="1724"/>
      <c r="U26" s="1725"/>
      <c r="V26" s="1724"/>
      <c r="W26" s="1725"/>
      <c r="X26" s="1664"/>
      <c r="Y26" s="3457"/>
      <c r="Z26" s="1726"/>
      <c r="AA26" s="1727">
        <v>1</v>
      </c>
      <c r="AB26" s="1727">
        <v>1</v>
      </c>
      <c r="AC26" s="1727">
        <v>1</v>
      </c>
    </row>
    <row r="27" spans="1:29" ht="42.75">
      <c r="A27" s="1666"/>
      <c r="B27" s="1980" t="s">
        <v>2356</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9"/>
      <c r="M27" s="2995"/>
      <c r="N27" s="2995"/>
      <c r="O27" s="3043"/>
      <c r="P27" s="3457"/>
      <c r="Q27" s="1633" t="str">
        <f t="shared" ref="Q27" si="9">B27</f>
        <v>公共配套设施</v>
      </c>
      <c r="R27" s="1679" t="s">
        <v>25</v>
      </c>
      <c r="S27" s="1680">
        <f>F27</f>
        <v>100</v>
      </c>
      <c r="T27" s="1679" t="s">
        <v>25</v>
      </c>
      <c r="U27" s="1680">
        <f>H27</f>
        <v>100</v>
      </c>
      <c r="V27" s="1679" t="s">
        <v>25</v>
      </c>
      <c r="W27" s="1680">
        <f>J27</f>
        <v>100</v>
      </c>
      <c r="X27" s="1664"/>
      <c r="Y27" s="3457"/>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9"/>
      <c r="M28" s="2995"/>
      <c r="N28" s="2995"/>
      <c r="O28" s="3043"/>
      <c r="P28" s="3457"/>
      <c r="Q28" s="1614"/>
      <c r="R28" s="1724"/>
      <c r="S28" s="1725"/>
      <c r="T28" s="1724"/>
      <c r="U28" s="1725"/>
      <c r="V28" s="1724"/>
      <c r="W28" s="1725"/>
      <c r="X28" s="1664"/>
      <c r="Y28" s="3457"/>
      <c r="Z28" s="1692"/>
      <c r="AA28" s="1727">
        <v>1</v>
      </c>
      <c r="AB28" s="1727">
        <v>1</v>
      </c>
      <c r="AC28" s="1727">
        <v>1</v>
      </c>
    </row>
    <row r="29" spans="1:29" s="1683" customFormat="1" ht="28.5">
      <c r="A29" s="1986"/>
      <c r="B29" s="1980" t="s">
        <v>2357</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4"/>
      <c r="M29" s="2967"/>
      <c r="N29" s="2967"/>
      <c r="O29" s="3041"/>
      <c r="P29" s="3457"/>
      <c r="Q29" s="1633" t="str">
        <f t="shared" si="8"/>
        <v>基础设施水平</v>
      </c>
      <c r="R29" s="1679" t="s">
        <v>25</v>
      </c>
      <c r="S29" s="1680">
        <f>F29</f>
        <v>100</v>
      </c>
      <c r="T29" s="1679" t="s">
        <v>25</v>
      </c>
      <c r="U29" s="1680">
        <f>H29</f>
        <v>100</v>
      </c>
      <c r="V29" s="1679" t="s">
        <v>25</v>
      </c>
      <c r="W29" s="1680">
        <f>J29</f>
        <v>100</v>
      </c>
      <c r="X29" s="1681"/>
      <c r="Y29" s="3457"/>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4"/>
      <c r="M30" s="2967"/>
      <c r="N30" s="2967"/>
      <c r="O30" s="3041"/>
      <c r="P30" s="3457"/>
      <c r="Q30" s="1633"/>
      <c r="R30" s="1679"/>
      <c r="S30" s="1680"/>
      <c r="T30" s="1679"/>
      <c r="U30" s="1680"/>
      <c r="V30" s="1679"/>
      <c r="W30" s="1680"/>
      <c r="X30" s="1681"/>
      <c r="Y30" s="3457"/>
      <c r="Z30" s="1692"/>
      <c r="AA30" s="1727">
        <v>1</v>
      </c>
      <c r="AB30" s="1727">
        <v>1</v>
      </c>
      <c r="AC30" s="1727">
        <v>1</v>
      </c>
    </row>
    <row r="31" spans="1:29" ht="15">
      <c r="A31" s="1666"/>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9"/>
      <c r="M31" s="2995"/>
      <c r="N31" s="2995"/>
      <c r="O31" s="3043"/>
      <c r="P31" s="3457"/>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57"/>
      <c r="Z31" s="1726" t="str">
        <f t="shared" ref="Z31:Z45" si="13">Q31</f>
        <v>临街状况</v>
      </c>
      <c r="AA31" s="1727">
        <f t="shared" si="3"/>
        <v>1</v>
      </c>
      <c r="AB31" s="1727">
        <f t="shared" si="4"/>
        <v>1</v>
      </c>
      <c r="AC31" s="1727">
        <f t="shared" si="5"/>
        <v>1</v>
      </c>
    </row>
    <row r="32" spans="1:29" ht="27">
      <c r="A32" s="1666"/>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9"/>
      <c r="M32" s="2995"/>
      <c r="N32" s="2995"/>
      <c r="O32" s="3043"/>
      <c r="P32" s="3457"/>
      <c r="Q32" s="1614" t="str">
        <f t="shared" si="8"/>
        <v>毗邻道路的类型与等级</v>
      </c>
      <c r="R32" s="1724" t="s">
        <v>25</v>
      </c>
      <c r="S32" s="1725">
        <f t="shared" si="10"/>
        <v>100</v>
      </c>
      <c r="T32" s="1724" t="s">
        <v>25</v>
      </c>
      <c r="U32" s="1725">
        <f t="shared" si="11"/>
        <v>100</v>
      </c>
      <c r="V32" s="1724" t="s">
        <v>25</v>
      </c>
      <c r="W32" s="1725">
        <f t="shared" si="12"/>
        <v>100</v>
      </c>
      <c r="X32" s="1664"/>
      <c r="Y32" s="3457"/>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9"/>
      <c r="M33" s="2995"/>
      <c r="N33" s="2995"/>
      <c r="O33" s="3043"/>
      <c r="P33" s="3457"/>
      <c r="Q33" s="1614"/>
      <c r="R33" s="1724"/>
      <c r="S33" s="1725"/>
      <c r="T33" s="1724"/>
      <c r="U33" s="1725"/>
      <c r="V33" s="1724"/>
      <c r="W33" s="1725"/>
      <c r="X33" s="1664"/>
      <c r="Y33" s="3457"/>
      <c r="Z33" s="1726"/>
      <c r="AA33" s="1727">
        <v>1</v>
      </c>
      <c r="AB33" s="1727">
        <v>1</v>
      </c>
      <c r="AC33" s="1727">
        <v>1</v>
      </c>
    </row>
    <row r="34" spans="1:29" ht="15">
      <c r="A34" s="1666"/>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9"/>
      <c r="M34" s="2995"/>
      <c r="N34" s="2995"/>
      <c r="O34" s="3043"/>
      <c r="P34" s="3457"/>
      <c r="Q34" s="1614" t="str">
        <f t="shared" si="8"/>
        <v>土地级别</v>
      </c>
      <c r="R34" s="1724" t="s">
        <v>25</v>
      </c>
      <c r="S34" s="1725">
        <f t="shared" si="10"/>
        <v>100</v>
      </c>
      <c r="T34" s="1724" t="s">
        <v>25</v>
      </c>
      <c r="U34" s="1725">
        <f t="shared" si="11"/>
        <v>100</v>
      </c>
      <c r="V34" s="1724" t="s">
        <v>25</v>
      </c>
      <c r="W34" s="1725">
        <f t="shared" si="12"/>
        <v>100</v>
      </c>
      <c r="X34" s="1664"/>
      <c r="Y34" s="3457"/>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9"/>
      <c r="M35" s="2995"/>
      <c r="N35" s="2995"/>
      <c r="O35" s="3043"/>
      <c r="P35" s="3457"/>
      <c r="Q35" s="1614">
        <f t="shared" si="8"/>
        <v>111</v>
      </c>
      <c r="R35" s="1724" t="s">
        <v>25</v>
      </c>
      <c r="S35" s="1725">
        <f t="shared" si="10"/>
        <v>100</v>
      </c>
      <c r="T35" s="1724" t="s">
        <v>25</v>
      </c>
      <c r="U35" s="1725">
        <f t="shared" si="11"/>
        <v>100</v>
      </c>
      <c r="V35" s="1724" t="s">
        <v>25</v>
      </c>
      <c r="W35" s="1725">
        <f t="shared" si="12"/>
        <v>100</v>
      </c>
      <c r="X35" s="1664"/>
      <c r="Y35" s="3457"/>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9"/>
      <c r="M36" s="2995"/>
      <c r="N36" s="2995"/>
      <c r="O36" s="3043"/>
      <c r="P36" s="3478" t="s">
        <v>2276</v>
      </c>
      <c r="Q36" s="1614">
        <f t="shared" si="8"/>
        <v>111</v>
      </c>
      <c r="R36" s="1724" t="s">
        <v>25</v>
      </c>
      <c r="S36" s="1725">
        <f t="shared" si="10"/>
        <v>100</v>
      </c>
      <c r="T36" s="1724" t="s">
        <v>25</v>
      </c>
      <c r="U36" s="1725">
        <f t="shared" si="11"/>
        <v>100</v>
      </c>
      <c r="V36" s="1724" t="s">
        <v>25</v>
      </c>
      <c r="W36" s="1725">
        <f t="shared" si="12"/>
        <v>100</v>
      </c>
      <c r="X36" s="1664"/>
      <c r="Y36" s="3461"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8"/>
      <c r="M37" s="2058"/>
      <c r="N37" s="2058"/>
      <c r="O37" s="3044"/>
      <c r="P37" s="3461"/>
      <c r="Q37" s="1614">
        <f t="shared" si="8"/>
        <v>111</v>
      </c>
      <c r="R37" s="1766" t="s">
        <v>25</v>
      </c>
      <c r="S37" s="1767">
        <f t="shared" si="10"/>
        <v>100</v>
      </c>
      <c r="T37" s="1766" t="s">
        <v>25</v>
      </c>
      <c r="U37" s="1767">
        <f t="shared" si="11"/>
        <v>100</v>
      </c>
      <c r="V37" s="1766" t="s">
        <v>25</v>
      </c>
      <c r="W37" s="1767">
        <f t="shared" si="12"/>
        <v>100</v>
      </c>
      <c r="X37" s="1768"/>
      <c r="Y37" s="3461"/>
      <c r="Z37" s="1769">
        <f t="shared" si="13"/>
        <v>111</v>
      </c>
      <c r="AA37" s="1727">
        <f t="shared" si="3"/>
        <v>1</v>
      </c>
      <c r="AB37" s="1727">
        <f t="shared" si="4"/>
        <v>1</v>
      </c>
      <c r="AC37" s="1727">
        <f t="shared" si="5"/>
        <v>1</v>
      </c>
    </row>
    <row r="38" spans="1:29" ht="15">
      <c r="A38" s="1661"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9"/>
      <c r="M38" s="2995"/>
      <c r="N38" s="2995"/>
      <c r="O38" s="3043"/>
      <c r="P38" s="3461"/>
      <c r="Q38" s="1614" t="str">
        <f>B38</f>
        <v>宗地面积</v>
      </c>
      <c r="R38" s="1724" t="s">
        <v>25</v>
      </c>
      <c r="S38" s="1725" t="e">
        <f t="shared" si="10"/>
        <v>#N/A</v>
      </c>
      <c r="T38" s="1724" t="s">
        <v>25</v>
      </c>
      <c r="U38" s="1725" t="e">
        <f t="shared" si="11"/>
        <v>#N/A</v>
      </c>
      <c r="V38" s="1724" t="s">
        <v>25</v>
      </c>
      <c r="W38" s="1725" t="e">
        <f t="shared" si="12"/>
        <v>#N/A</v>
      </c>
      <c r="X38" s="1664"/>
      <c r="Y38" s="3461"/>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9"/>
      <c r="M39" s="2995"/>
      <c r="N39" s="2995"/>
      <c r="O39" s="3043"/>
      <c r="P39" s="3461"/>
      <c r="Q39" s="1614" t="str">
        <f t="shared" ref="Q39:Q45" si="14">B39</f>
        <v>宗地形状</v>
      </c>
      <c r="R39" s="1724" t="s">
        <v>25</v>
      </c>
      <c r="S39" s="1725">
        <f t="shared" si="10"/>
        <v>100</v>
      </c>
      <c r="T39" s="1724" t="s">
        <v>25</v>
      </c>
      <c r="U39" s="1725">
        <f t="shared" si="11"/>
        <v>100</v>
      </c>
      <c r="V39" s="1724" t="s">
        <v>25</v>
      </c>
      <c r="W39" s="1725">
        <f t="shared" si="12"/>
        <v>100</v>
      </c>
      <c r="X39" s="1664"/>
      <c r="Y39" s="3461"/>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9"/>
      <c r="M40" s="2995"/>
      <c r="N40" s="2995"/>
      <c r="O40" s="3043"/>
      <c r="P40" s="3461"/>
      <c r="Q40" s="1614" t="str">
        <f t="shared" si="14"/>
        <v>临街宽度及深度</v>
      </c>
      <c r="R40" s="1724" t="s">
        <v>25</v>
      </c>
      <c r="S40" s="1725">
        <f t="shared" si="10"/>
        <v>100</v>
      </c>
      <c r="T40" s="1724" t="s">
        <v>25</v>
      </c>
      <c r="U40" s="1725">
        <f t="shared" si="11"/>
        <v>100</v>
      </c>
      <c r="V40" s="1724" t="s">
        <v>25</v>
      </c>
      <c r="W40" s="1725">
        <f t="shared" si="12"/>
        <v>100</v>
      </c>
      <c r="X40" s="1664"/>
      <c r="Y40" s="3461"/>
      <c r="Z40" s="1726" t="str">
        <f t="shared" si="13"/>
        <v>临街宽度及深度</v>
      </c>
      <c r="AA40" s="1727">
        <f t="shared" si="3"/>
        <v>1</v>
      </c>
      <c r="AB40" s="1727">
        <f t="shared" si="4"/>
        <v>1</v>
      </c>
      <c r="AC40" s="1727">
        <f t="shared" si="5"/>
        <v>1</v>
      </c>
    </row>
    <row r="41" spans="1:29" s="1683"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4"/>
      <c r="M41" s="2967"/>
      <c r="N41" s="2967"/>
      <c r="O41" s="3041"/>
      <c r="P41" s="3461"/>
      <c r="Q41" s="1614" t="str">
        <f t="shared" si="14"/>
        <v>宗地开发程度</v>
      </c>
      <c r="R41" s="1679" t="s">
        <v>25</v>
      </c>
      <c r="S41" s="1680">
        <f t="shared" si="10"/>
        <v>100</v>
      </c>
      <c r="T41" s="1679" t="s">
        <v>25</v>
      </c>
      <c r="U41" s="1680">
        <f t="shared" si="11"/>
        <v>100</v>
      </c>
      <c r="V41" s="1679" t="s">
        <v>25</v>
      </c>
      <c r="W41" s="1680">
        <f t="shared" si="12"/>
        <v>100</v>
      </c>
      <c r="X41" s="1681"/>
      <c r="Y41" s="3461"/>
      <c r="Z41" s="1692" t="str">
        <f t="shared" si="13"/>
        <v>宗地开发程度</v>
      </c>
      <c r="AA41" s="1682">
        <f t="shared" si="3"/>
        <v>1</v>
      </c>
      <c r="AB41" s="1682">
        <f t="shared" si="4"/>
        <v>1</v>
      </c>
      <c r="AC41" s="1682">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9"/>
      <c r="M42" s="2995"/>
      <c r="N42" s="2995"/>
      <c r="O42" s="3043"/>
      <c r="P42" s="3461" t="s">
        <v>2276</v>
      </c>
      <c r="Q42" s="1614" t="str">
        <f t="shared" si="14"/>
        <v>工程地质条件</v>
      </c>
      <c r="R42" s="1724" t="s">
        <v>25</v>
      </c>
      <c r="S42" s="1725">
        <f t="shared" si="10"/>
        <v>100</v>
      </c>
      <c r="T42" s="1724" t="s">
        <v>25</v>
      </c>
      <c r="U42" s="1725">
        <f t="shared" si="11"/>
        <v>100</v>
      </c>
      <c r="V42" s="1724" t="s">
        <v>25</v>
      </c>
      <c r="W42" s="1725">
        <f t="shared" si="12"/>
        <v>100</v>
      </c>
      <c r="X42" s="1664"/>
      <c r="Y42" s="3461"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9"/>
      <c r="M43" s="2995"/>
      <c r="N43" s="2995"/>
      <c r="O43" s="3043"/>
      <c r="P43" s="3461"/>
      <c r="Q43" s="1614">
        <f t="shared" si="14"/>
        <v>111</v>
      </c>
      <c r="R43" s="1724" t="s">
        <v>25</v>
      </c>
      <c r="S43" s="1725">
        <f t="shared" si="10"/>
        <v>100</v>
      </c>
      <c r="T43" s="1724" t="s">
        <v>25</v>
      </c>
      <c r="U43" s="1725">
        <f t="shared" si="11"/>
        <v>100</v>
      </c>
      <c r="V43" s="1724" t="s">
        <v>25</v>
      </c>
      <c r="W43" s="1725">
        <f t="shared" si="12"/>
        <v>100</v>
      </c>
      <c r="X43" s="1664"/>
      <c r="Y43" s="3461"/>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9"/>
      <c r="M44" s="2995"/>
      <c r="N44" s="2995"/>
      <c r="O44" s="3043"/>
      <c r="P44" s="3461"/>
      <c r="Q44" s="1614">
        <f t="shared" si="14"/>
        <v>111</v>
      </c>
      <c r="R44" s="1724" t="s">
        <v>25</v>
      </c>
      <c r="S44" s="1725">
        <f t="shared" si="10"/>
        <v>100</v>
      </c>
      <c r="T44" s="1724" t="s">
        <v>25</v>
      </c>
      <c r="U44" s="1725">
        <f t="shared" si="11"/>
        <v>100</v>
      </c>
      <c r="V44" s="1724" t="s">
        <v>25</v>
      </c>
      <c r="W44" s="1725">
        <f t="shared" si="12"/>
        <v>100</v>
      </c>
      <c r="X44" s="1664"/>
      <c r="Y44" s="3461"/>
      <c r="Z44" s="1726">
        <f t="shared" si="13"/>
        <v>111</v>
      </c>
      <c r="AA44" s="1727">
        <f t="shared" si="3"/>
        <v>1</v>
      </c>
      <c r="AB44" s="1727">
        <f t="shared" si="4"/>
        <v>1</v>
      </c>
      <c r="AC44" s="1727">
        <f t="shared" si="5"/>
        <v>1</v>
      </c>
    </row>
    <row r="45" spans="1:29" s="1770" customFormat="1" ht="15.75" thickBot="1">
      <c r="A45" s="1763"/>
      <c r="B45" s="2002">
        <v>111</v>
      </c>
      <c r="C45" s="2003"/>
      <c r="D45" s="3145">
        <v>100</v>
      </c>
      <c r="E45" s="1970"/>
      <c r="F45" s="1714">
        <f>SUMIF(131:131,E45,132:132)-SUMIF(131:131,C45,132:132)+100</f>
        <v>100</v>
      </c>
      <c r="G45" s="1970"/>
      <c r="H45" s="1714">
        <f>SUMIF(131:131,G45,132:132)-SUMIF(131:131,C45,132:132)+100</f>
        <v>100</v>
      </c>
      <c r="I45" s="1970"/>
      <c r="J45" s="1714">
        <f>SUMIF(131:131,I45,132:132)-SUMIF(131:131,C45,132:132)+100</f>
        <v>100</v>
      </c>
      <c r="K45" s="2004"/>
      <c r="L45" s="2998"/>
      <c r="M45" s="2058"/>
      <c r="N45" s="2058"/>
      <c r="O45" s="3044"/>
      <c r="P45" s="3461"/>
      <c r="Q45" s="1614">
        <f t="shared" si="14"/>
        <v>111</v>
      </c>
      <c r="R45" s="1766" t="s">
        <v>25</v>
      </c>
      <c r="S45" s="1767">
        <f t="shared" si="10"/>
        <v>100</v>
      </c>
      <c r="T45" s="1766" t="s">
        <v>25</v>
      </c>
      <c r="U45" s="1767">
        <f t="shared" si="11"/>
        <v>100</v>
      </c>
      <c r="V45" s="1766" t="s">
        <v>25</v>
      </c>
      <c r="W45" s="1767">
        <f t="shared" si="12"/>
        <v>100</v>
      </c>
      <c r="X45" s="1768"/>
      <c r="Y45" s="3461"/>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0"/>
      <c r="N46" s="2995"/>
      <c r="P46" s="3467" t="str">
        <f>A46</f>
        <v>成交单价</v>
      </c>
      <c r="Q46" s="3467"/>
      <c r="R46" s="3447">
        <f>E46</f>
        <v>0</v>
      </c>
      <c r="S46" s="3447"/>
      <c r="T46" s="3447">
        <f>G46</f>
        <v>0</v>
      </c>
      <c r="U46" s="3447"/>
      <c r="V46" s="3447">
        <f>I46</f>
        <v>0</v>
      </c>
      <c r="W46" s="3447"/>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3000"/>
      <c r="P47" s="3467" t="str">
        <f>A47</f>
        <v>比较价值（元/平方米）</v>
      </c>
      <c r="Q47" s="3467"/>
      <c r="R47" s="3521" t="e">
        <f>ROUND(PRODUCT(R46,AA7:AA45),0)</f>
        <v>#DIV/0!</v>
      </c>
      <c r="S47" s="3521"/>
      <c r="T47" s="3521" t="e">
        <f>ROUND(PRODUCT(T46,AB7:AB45),0)</f>
        <v>#DIV/0!</v>
      </c>
      <c r="U47" s="3521"/>
      <c r="V47" s="3521" t="e">
        <f>ROUND(PRODUCT(V46,AC7:AC45),0)</f>
        <v>#DIV/0!</v>
      </c>
      <c r="W47" s="3521"/>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0"/>
      <c r="P48" s="3473" t="str">
        <f>A48</f>
        <v>估价对象XX用房的比较价值（楼面单价，元/平方米）</v>
      </c>
      <c r="Q48" s="3474"/>
      <c r="R48" s="3522" t="e">
        <f>ROUND(IF(D47="简单平均",AVERAGE(R47:W47),R47*F47+T47*H47+V47*J47),0)</f>
        <v>#DIV/0!</v>
      </c>
      <c r="S48" s="3522"/>
      <c r="T48" s="3522"/>
      <c r="U48" s="3522"/>
      <c r="V48" s="3522"/>
      <c r="W48" s="3522"/>
      <c r="X48" s="1790"/>
      <c r="Y48" s="1790"/>
      <c r="Z48" s="1790"/>
      <c r="AA48" s="1790"/>
      <c r="AB48" s="1790"/>
      <c r="AC48" s="1790"/>
    </row>
    <row r="49" spans="1:14">
      <c r="G49" s="3004"/>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7"/>
      <c r="L53" s="3001"/>
    </row>
    <row r="54" spans="1:14" s="1812" customFormat="1" ht="15" thickBot="1">
      <c r="B54" s="3005"/>
      <c r="C54" s="3006"/>
      <c r="K54" s="3007"/>
      <c r="L54" s="3001"/>
    </row>
    <row r="55" spans="1:14" ht="27">
      <c r="A55" s="564" t="s">
        <v>2456</v>
      </c>
      <c r="B55" s="2018" t="s">
        <v>2457</v>
      </c>
      <c r="C55" s="2019" t="s">
        <v>2458</v>
      </c>
      <c r="D55" s="2020" t="s">
        <v>2459</v>
      </c>
      <c r="E55" s="2021" t="s">
        <v>2460</v>
      </c>
      <c r="F55" s="2022" t="s">
        <v>2461</v>
      </c>
      <c r="G55" s="1917" t="s">
        <v>2462</v>
      </c>
      <c r="H55" s="1917" t="str">
        <f>项目基本情况!G8</f>
        <v>XX</v>
      </c>
      <c r="I55" s="1592"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7"/>
      <c r="L56" s="3001"/>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5"/>
      <c r="J57" s="1908"/>
      <c r="K57" s="1909"/>
      <c r="L57" s="1909"/>
      <c r="M57" s="1665"/>
      <c r="N57" s="1665"/>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7"/>
      <c r="L58" s="3001"/>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5"/>
      <c r="J59" s="1908"/>
      <c r="K59" s="1909"/>
      <c r="L59" s="1909"/>
      <c r="M59" s="1665"/>
      <c r="N59" s="1665"/>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7"/>
      <c r="L60" s="3001"/>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5"/>
      <c r="J61" s="1908"/>
      <c r="K61" s="1909"/>
      <c r="L61" s="1909"/>
      <c r="M61" s="1665"/>
      <c r="N61" s="1665"/>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7"/>
      <c r="L62" s="3001"/>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5"/>
      <c r="J63" s="1908"/>
      <c r="K63" s="1909"/>
      <c r="L63" s="1909"/>
      <c r="M63" s="1665"/>
      <c r="N63" s="1665"/>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7"/>
      <c r="L64" s="3001"/>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5"/>
      <c r="J65" s="1908"/>
      <c r="K65" s="1909"/>
      <c r="L65" s="1909"/>
      <c r="M65" s="1665"/>
      <c r="N65" s="1665"/>
    </row>
    <row r="66" spans="1:17" s="2030" customFormat="1" ht="13.5" thickBot="1">
      <c r="A66" s="2035" t="s">
        <v>2474</v>
      </c>
      <c r="B66" s="2036" t="s">
        <v>39</v>
      </c>
      <c r="C66" s="2036" t="s">
        <v>40</v>
      </c>
      <c r="D66" s="2036" t="s">
        <v>36</v>
      </c>
      <c r="E66" s="2036">
        <f>SUM(E56:E65)</f>
        <v>120</v>
      </c>
      <c r="F66" s="2037" t="e">
        <f>SUM(F56:F65)</f>
        <v>#DIV/0!</v>
      </c>
      <c r="G66" s="2038"/>
      <c r="H66" s="2038"/>
      <c r="I66" s="3045"/>
      <c r="J66" s="3045"/>
      <c r="K66" s="3045"/>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2476</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3" customFormat="1" ht="15">
      <c r="A73" s="1838" t="s">
        <v>2260</v>
      </c>
      <c r="B73" s="1828"/>
      <c r="C73" s="1839" t="s">
        <v>2261</v>
      </c>
      <c r="D73" s="409"/>
      <c r="E73" s="409"/>
      <c r="F73" s="409"/>
      <c r="G73" s="409"/>
      <c r="H73" s="409"/>
      <c r="I73" s="409"/>
      <c r="J73" s="409"/>
      <c r="K73" s="409"/>
      <c r="L73" s="409"/>
      <c r="M73" s="1840"/>
      <c r="N73" s="3012"/>
      <c r="O73" s="3012"/>
      <c r="P73" s="2055"/>
      <c r="Q73" s="1820"/>
    </row>
    <row r="74" spans="1:17" s="1683" customFormat="1" ht="15.75" thickBot="1">
      <c r="A74" s="1838"/>
      <c r="B74" s="1828"/>
      <c r="C74" s="1829">
        <v>100</v>
      </c>
      <c r="D74" s="1830"/>
      <c r="E74" s="1830"/>
      <c r="F74" s="1830"/>
      <c r="G74" s="1830"/>
      <c r="H74" s="1830"/>
      <c r="I74" s="1830"/>
      <c r="J74" s="1830"/>
      <c r="K74" s="1830"/>
      <c r="L74" s="1830"/>
      <c r="M74" s="1844"/>
      <c r="N74" s="3012"/>
      <c r="O74" s="3012"/>
      <c r="P74" s="1820"/>
      <c r="Q74" s="1820"/>
    </row>
    <row r="75" spans="1:17">
      <c r="A75" s="1845" t="s">
        <v>2299</v>
      </c>
      <c r="B75" s="1846" t="s">
        <v>2264</v>
      </c>
      <c r="C75" s="1848"/>
      <c r="D75" s="1848"/>
      <c r="E75" s="1848"/>
      <c r="F75" s="1848"/>
      <c r="G75" s="1848"/>
      <c r="H75" s="1848"/>
      <c r="I75" s="1848"/>
      <c r="J75" s="1848"/>
      <c r="K75" s="417"/>
      <c r="L75" s="417"/>
      <c r="M75" s="1849"/>
      <c r="N75" s="3013"/>
      <c r="O75" s="3013"/>
      <c r="P75" s="2056"/>
      <c r="Q75" s="1820"/>
    </row>
    <row r="76" spans="1:17" ht="15.75" thickBot="1">
      <c r="A76" s="1852"/>
      <c r="B76" s="1853"/>
      <c r="C76" s="1854"/>
      <c r="D76" s="1854"/>
      <c r="E76" s="1854"/>
      <c r="F76" s="1854"/>
      <c r="G76" s="1854"/>
      <c r="H76" s="1854"/>
      <c r="I76" s="1854"/>
      <c r="J76" s="1854"/>
      <c r="K76" s="1854"/>
      <c r="L76" s="1854"/>
      <c r="M76" s="1855"/>
      <c r="N76" s="3014"/>
      <c r="O76" s="3014"/>
      <c r="P76" s="2056"/>
      <c r="Q76" s="1820"/>
    </row>
    <row r="77" spans="1:17" ht="27.75" thickTop="1">
      <c r="A77" s="1852"/>
      <c r="B77" s="1857" t="s">
        <v>2267</v>
      </c>
      <c r="C77" s="1858"/>
      <c r="D77" s="1858"/>
      <c r="E77" s="1858"/>
      <c r="F77" s="1858"/>
      <c r="G77" s="1858"/>
      <c r="H77" s="1858"/>
      <c r="I77" s="1858"/>
      <c r="J77" s="1858"/>
      <c r="K77" s="428"/>
      <c r="L77" s="428"/>
      <c r="M77" s="1859"/>
      <c r="N77" s="3013"/>
      <c r="O77" s="3013"/>
      <c r="P77" s="2056"/>
      <c r="Q77" s="1820"/>
    </row>
    <row r="78" spans="1:17" ht="15.75" thickBot="1">
      <c r="A78" s="1852"/>
      <c r="B78" s="1860"/>
      <c r="C78" s="1861"/>
      <c r="D78" s="1861"/>
      <c r="E78" s="1861"/>
      <c r="F78" s="1861"/>
      <c r="G78" s="1861"/>
      <c r="H78" s="1861"/>
      <c r="I78" s="1861"/>
      <c r="J78" s="1861"/>
      <c r="K78" s="1861"/>
      <c r="L78" s="1861"/>
      <c r="M78" s="1862"/>
      <c r="N78" s="3014"/>
      <c r="O78" s="3014"/>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4"/>
      <c r="O79" s="3014"/>
      <c r="P79" s="2056"/>
      <c r="Q79" s="1820"/>
    </row>
    <row r="80" spans="1:17" ht="15">
      <c r="A80" s="1852"/>
      <c r="B80" s="1865"/>
      <c r="C80" s="1866"/>
      <c r="D80" s="1866"/>
      <c r="E80" s="1866"/>
      <c r="F80" s="1866"/>
      <c r="G80" s="1866"/>
      <c r="H80" s="1866"/>
      <c r="I80" s="1866"/>
      <c r="J80" s="1866"/>
      <c r="K80" s="438"/>
      <c r="L80" s="438"/>
      <c r="M80" s="1867"/>
      <c r="N80" s="3013"/>
      <c r="O80" s="3013"/>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4"/>
      <c r="O81" s="3014"/>
      <c r="P81" s="2056"/>
      <c r="Q81" s="1820"/>
    </row>
    <row r="82" spans="1:17" s="1770" customFormat="1" ht="15.75" thickTop="1">
      <c r="A82" s="1868"/>
      <c r="B82" s="1857" t="str">
        <f>B12</f>
        <v>配建</v>
      </c>
      <c r="C82" s="468"/>
      <c r="D82" s="468"/>
      <c r="E82" s="468"/>
      <c r="F82" s="468"/>
      <c r="G82" s="468"/>
      <c r="H82" s="443"/>
      <c r="I82" s="443"/>
      <c r="J82" s="443"/>
      <c r="K82" s="443"/>
      <c r="L82" s="443"/>
      <c r="M82" s="1869"/>
      <c r="N82" s="3015"/>
      <c r="O82" s="3015"/>
      <c r="P82" s="2057"/>
      <c r="Q82" s="1872"/>
    </row>
    <row r="83" spans="1:17" s="1770" customFormat="1" ht="15.75" thickBot="1">
      <c r="A83" s="1868"/>
      <c r="B83" s="1860"/>
      <c r="C83" s="1873"/>
      <c r="D83" s="1854"/>
      <c r="E83" s="1854"/>
      <c r="F83" s="1854"/>
      <c r="G83" s="1854"/>
      <c r="H83" s="1854"/>
      <c r="I83" s="1854"/>
      <c r="J83" s="1854"/>
      <c r="K83" s="1854"/>
      <c r="L83" s="1854"/>
      <c r="M83" s="1855"/>
      <c r="N83" s="3014"/>
      <c r="O83" s="3014"/>
      <c r="P83" s="2057"/>
      <c r="Q83" s="1872"/>
    </row>
    <row r="84" spans="1:17" s="1770" customFormat="1" ht="15.75" thickTop="1">
      <c r="A84" s="1868"/>
      <c r="B84" s="1857">
        <f>B13</f>
        <v>111</v>
      </c>
      <c r="C84" s="468"/>
      <c r="D84" s="468"/>
      <c r="E84" s="468"/>
      <c r="F84" s="468"/>
      <c r="G84" s="468"/>
      <c r="H84" s="443"/>
      <c r="I84" s="443"/>
      <c r="J84" s="443"/>
      <c r="K84" s="443"/>
      <c r="L84" s="443"/>
      <c r="M84" s="1869"/>
      <c r="N84" s="3015"/>
      <c r="O84" s="3015"/>
      <c r="P84" s="2058"/>
      <c r="Q84" s="1875"/>
    </row>
    <row r="85" spans="1:17" s="1770" customFormat="1" ht="15.75" thickBot="1">
      <c r="A85" s="1868"/>
      <c r="B85" s="1860"/>
      <c r="C85" s="1873"/>
      <c r="D85" s="1873"/>
      <c r="E85" s="1873"/>
      <c r="F85" s="1873"/>
      <c r="G85" s="1873"/>
      <c r="H85" s="1876"/>
      <c r="I85" s="1876"/>
      <c r="J85" s="1876"/>
      <c r="K85" s="1876"/>
      <c r="L85" s="1876"/>
      <c r="M85" s="1877"/>
      <c r="N85" s="3015"/>
      <c r="O85" s="3015"/>
      <c r="P85" s="2057"/>
      <c r="Q85" s="1872"/>
    </row>
    <row r="86" spans="1:17" s="1770" customFormat="1" ht="15.75" thickTop="1">
      <c r="A86" s="1868"/>
      <c r="B86" s="1863">
        <f>B14</f>
        <v>111</v>
      </c>
      <c r="C86" s="409"/>
      <c r="D86" s="409"/>
      <c r="E86" s="409"/>
      <c r="F86" s="409"/>
      <c r="G86" s="409"/>
      <c r="H86" s="453"/>
      <c r="I86" s="453"/>
      <c r="J86" s="453"/>
      <c r="K86" s="453"/>
      <c r="L86" s="453"/>
      <c r="M86" s="1878"/>
      <c r="N86" s="3015"/>
      <c r="O86" s="3015"/>
      <c r="P86" s="2057"/>
      <c r="Q86" s="1872"/>
    </row>
    <row r="87" spans="1:17" s="1770" customFormat="1" ht="15.75" thickBot="1">
      <c r="A87" s="1879"/>
      <c r="B87" s="1880"/>
      <c r="C87" s="1881"/>
      <c r="D87" s="1881"/>
      <c r="E87" s="1881"/>
      <c r="F87" s="1881"/>
      <c r="G87" s="1881"/>
      <c r="H87" s="1882"/>
      <c r="I87" s="1882"/>
      <c r="J87" s="1882"/>
      <c r="K87" s="1882"/>
      <c r="L87" s="1882"/>
      <c r="M87" s="1883"/>
      <c r="N87" s="3015"/>
      <c r="O87" s="3015"/>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3"/>
      <c r="O88" s="3013"/>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4"/>
      <c r="O89" s="3014"/>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3"/>
      <c r="O90" s="3013"/>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4"/>
      <c r="O91" s="3014"/>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3"/>
      <c r="O92" s="3013"/>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4"/>
      <c r="O93" s="3014"/>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3"/>
      <c r="O94" s="3013"/>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4"/>
      <c r="O95" s="3014"/>
      <c r="P95" s="2056"/>
      <c r="Q95" s="1820"/>
    </row>
    <row r="96" spans="1:17" s="1683" customFormat="1" ht="15.75" thickTop="1">
      <c r="A96" s="1888"/>
      <c r="B96" s="1857" t="s">
        <v>2478</v>
      </c>
      <c r="C96" s="579" t="s">
        <v>2308</v>
      </c>
      <c r="D96" s="579" t="s">
        <v>2309</v>
      </c>
      <c r="E96" s="579" t="s">
        <v>2310</v>
      </c>
      <c r="F96" s="579" t="s">
        <v>2311</v>
      </c>
      <c r="G96" s="579" t="s">
        <v>2312</v>
      </c>
      <c r="H96" s="579"/>
      <c r="I96" s="579"/>
      <c r="J96" s="579"/>
      <c r="K96" s="579"/>
      <c r="L96" s="579"/>
      <c r="M96" s="2059"/>
      <c r="N96" s="3012"/>
      <c r="O96" s="3012"/>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4"/>
      <c r="O97" s="3014"/>
      <c r="P97" s="2056"/>
      <c r="Q97" s="1820"/>
    </row>
    <row r="98" spans="1:17" s="1683" customFormat="1" ht="27.75" thickTop="1">
      <c r="A98" s="1888"/>
      <c r="B98" s="1857" t="s">
        <v>2479</v>
      </c>
      <c r="C98" s="1884" t="s">
        <v>2308</v>
      </c>
      <c r="D98" s="1884" t="s">
        <v>2309</v>
      </c>
      <c r="E98" s="1884" t="s">
        <v>2310</v>
      </c>
      <c r="F98" s="1884" t="s">
        <v>2311</v>
      </c>
      <c r="G98" s="1884" t="s">
        <v>2312</v>
      </c>
      <c r="H98" s="579"/>
      <c r="I98" s="579"/>
      <c r="J98" s="579"/>
      <c r="K98" s="579"/>
      <c r="L98" s="579"/>
      <c r="M98" s="2059"/>
      <c r="N98" s="3012"/>
      <c r="O98" s="3012"/>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4"/>
      <c r="O99" s="3014"/>
      <c r="P99" s="2056"/>
      <c r="Q99" s="1820"/>
    </row>
    <row r="100" spans="1:17" s="1683"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4"/>
      <c r="O100" s="3014"/>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4"/>
      <c r="O101" s="3014"/>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5"/>
      <c r="O102" s="3015"/>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5"/>
      <c r="O103" s="3015"/>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3"/>
      <c r="O104" s="3013"/>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4"/>
      <c r="O105" s="3014"/>
      <c r="P105" s="2056"/>
      <c r="Q105" s="1820"/>
    </row>
    <row r="106" spans="1:17" ht="27.75" thickTop="1">
      <c r="A106" s="1852"/>
      <c r="B106" s="1857" t="s">
        <v>2388</v>
      </c>
      <c r="C106" s="468"/>
      <c r="D106" s="468"/>
      <c r="E106" s="468"/>
      <c r="F106" s="468"/>
      <c r="G106" s="468"/>
      <c r="H106" s="1576"/>
      <c r="I106" s="1576"/>
      <c r="J106" s="1576"/>
      <c r="K106" s="473"/>
      <c r="L106" s="473"/>
      <c r="M106" s="1892"/>
      <c r="N106" s="3013"/>
      <c r="O106" s="3013"/>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4"/>
      <c r="O107" s="3014"/>
      <c r="P107" s="2056"/>
      <c r="Q107" s="1820"/>
    </row>
    <row r="108" spans="1:17" ht="15.75" thickTop="1">
      <c r="A108" s="1852"/>
      <c r="B108" s="1857" t="s">
        <v>2449</v>
      </c>
      <c r="C108" s="1576"/>
      <c r="D108" s="1576"/>
      <c r="E108" s="1576"/>
      <c r="F108" s="1576"/>
      <c r="G108" s="1576"/>
      <c r="H108" s="1576"/>
      <c r="I108" s="1576"/>
      <c r="J108" s="1576"/>
      <c r="K108" s="473"/>
      <c r="L108" s="473"/>
      <c r="M108" s="1892"/>
      <c r="N108" s="3013"/>
      <c r="O108" s="3013"/>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4"/>
      <c r="O109" s="3014"/>
      <c r="P109" s="2056"/>
      <c r="Q109" s="1820"/>
    </row>
    <row r="110" spans="1:17" ht="15.75" thickTop="1">
      <c r="A110" s="1852"/>
      <c r="B110" s="1863">
        <f>B35</f>
        <v>111</v>
      </c>
      <c r="C110" s="468"/>
      <c r="D110" s="468"/>
      <c r="E110" s="468"/>
      <c r="F110" s="468"/>
      <c r="G110" s="1893"/>
      <c r="H110" s="1893"/>
      <c r="I110" s="1893"/>
      <c r="J110" s="1893"/>
      <c r="K110" s="477"/>
      <c r="L110" s="477"/>
      <c r="M110" s="1894"/>
      <c r="N110" s="3013"/>
      <c r="O110" s="3013"/>
      <c r="P110" s="2056"/>
      <c r="Q110" s="1820"/>
    </row>
    <row r="111" spans="1:17" ht="15.75" thickBot="1">
      <c r="A111" s="1852"/>
      <c r="B111" s="1880"/>
      <c r="C111" s="1873"/>
      <c r="D111" s="1873"/>
      <c r="E111" s="1873"/>
      <c r="F111" s="1873"/>
      <c r="G111" s="1896"/>
      <c r="H111" s="1896"/>
      <c r="I111" s="1896"/>
      <c r="J111" s="1896"/>
      <c r="K111" s="1896"/>
      <c r="L111" s="1896"/>
      <c r="M111" s="1897"/>
      <c r="N111" s="3014"/>
      <c r="O111" s="3014"/>
      <c r="P111" s="2056"/>
      <c r="Q111" s="1820"/>
    </row>
    <row r="112" spans="1:17" ht="15" thickTop="1">
      <c r="A112" s="1993"/>
      <c r="B112" s="1857">
        <f>B36</f>
        <v>111</v>
      </c>
      <c r="C112" s="409"/>
      <c r="D112" s="409"/>
      <c r="E112" s="409"/>
      <c r="F112" s="409"/>
      <c r="G112" s="1576"/>
      <c r="H112" s="1576"/>
      <c r="I112" s="1576"/>
      <c r="J112" s="1576"/>
      <c r="K112" s="473"/>
      <c r="L112" s="473"/>
      <c r="M112" s="1892"/>
      <c r="N112" s="3013"/>
      <c r="O112" s="3013"/>
      <c r="P112" s="2056"/>
      <c r="Q112" s="1820"/>
    </row>
    <row r="113" spans="1:17" ht="15.75" thickBot="1">
      <c r="A113" s="1852"/>
      <c r="B113" s="1860"/>
      <c r="C113" s="1881"/>
      <c r="D113" s="1881"/>
      <c r="E113" s="1881"/>
      <c r="F113" s="1881"/>
      <c r="G113" s="1854"/>
      <c r="H113" s="1854"/>
      <c r="I113" s="1854"/>
      <c r="J113" s="1854"/>
      <c r="K113" s="1854"/>
      <c r="L113" s="1854"/>
      <c r="M113" s="1855"/>
      <c r="N113" s="3014"/>
      <c r="O113" s="3014"/>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5"/>
      <c r="O114" s="3015"/>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4"/>
      <c r="O115" s="3014"/>
      <c r="P115" s="2057"/>
      <c r="Q115" s="1872"/>
    </row>
    <row r="116" spans="1:17">
      <c r="A116" s="1845" t="s">
        <v>2274</v>
      </c>
      <c r="B116" s="1846" t="s">
        <v>2484</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62" t="str">
        <f>M117&amp;"(含)"&amp;"-"&amp;P117</f>
        <v>(含)-</v>
      </c>
      <c r="N116" s="3013"/>
      <c r="O116" s="3013"/>
      <c r="P116" s="2056"/>
      <c r="Q116" s="1820"/>
    </row>
    <row r="117" spans="1:17" ht="15">
      <c r="A117" s="1852"/>
      <c r="B117" s="1863"/>
      <c r="C117" s="1900"/>
      <c r="D117" s="1900"/>
      <c r="E117" s="1900"/>
      <c r="F117" s="1900"/>
      <c r="G117" s="1900"/>
      <c r="H117" s="1900"/>
      <c r="I117" s="1900"/>
      <c r="J117" s="485"/>
      <c r="K117" s="485"/>
      <c r="L117" s="485"/>
      <c r="M117" s="1901"/>
      <c r="N117" s="3013"/>
      <c r="O117" s="3013"/>
      <c r="P117" s="2056"/>
      <c r="Q117" s="1820"/>
    </row>
    <row r="118" spans="1:17" ht="15.75" thickBot="1">
      <c r="A118" s="1852"/>
      <c r="B118" s="1860"/>
      <c r="C118" s="1881"/>
      <c r="D118" s="1896"/>
      <c r="E118" s="1896"/>
      <c r="F118" s="1896"/>
      <c r="G118" s="1896"/>
      <c r="H118" s="1896"/>
      <c r="I118" s="1896"/>
      <c r="J118" s="1896"/>
      <c r="K118" s="1896"/>
      <c r="L118" s="1896"/>
      <c r="M118" s="1897"/>
      <c r="N118" s="3014"/>
      <c r="O118" s="3014"/>
      <c r="P118" s="2056"/>
      <c r="Q118" s="1820"/>
    </row>
    <row r="119" spans="1:17" ht="15" thickTop="1">
      <c r="A119" s="1902"/>
      <c r="B119" s="1857" t="s">
        <v>2485</v>
      </c>
      <c r="C119" s="1576"/>
      <c r="D119" s="1576"/>
      <c r="E119" s="1576"/>
      <c r="F119" s="1576"/>
      <c r="G119" s="1576"/>
      <c r="H119" s="1576"/>
      <c r="I119" s="1576"/>
      <c r="J119" s="1576"/>
      <c r="K119" s="473"/>
      <c r="L119" s="473"/>
      <c r="M119" s="1892"/>
      <c r="N119" s="3013"/>
      <c r="O119" s="3013"/>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4"/>
      <c r="O120" s="3014"/>
      <c r="P120" s="2056"/>
      <c r="Q120" s="1820"/>
    </row>
    <row r="121" spans="1:17" ht="15" thickTop="1">
      <c r="A121" s="1902"/>
      <c r="B121" s="1857" t="s">
        <v>2486</v>
      </c>
      <c r="C121" s="468"/>
      <c r="D121" s="468"/>
      <c r="E121" s="468"/>
      <c r="F121" s="1576"/>
      <c r="G121" s="1576"/>
      <c r="H121" s="1576"/>
      <c r="I121" s="1576"/>
      <c r="J121" s="1576"/>
      <c r="K121" s="473"/>
      <c r="L121" s="473"/>
      <c r="M121" s="1892"/>
      <c r="N121" s="3013"/>
      <c r="O121" s="3013"/>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4"/>
      <c r="O122" s="3014"/>
      <c r="P122" s="2056"/>
      <c r="Q122" s="1820"/>
    </row>
    <row r="123" spans="1:17" s="1770" customFormat="1" ht="15" thickTop="1">
      <c r="A123" s="1898"/>
      <c r="B123" s="1857" t="s">
        <v>2487</v>
      </c>
      <c r="C123" s="468"/>
      <c r="D123" s="468"/>
      <c r="E123" s="468"/>
      <c r="F123" s="468"/>
      <c r="G123" s="468"/>
      <c r="H123" s="1576"/>
      <c r="I123" s="1576"/>
      <c r="J123" s="1576"/>
      <c r="K123" s="473"/>
      <c r="L123" s="473"/>
      <c r="M123" s="1892"/>
      <c r="N123" s="3015"/>
      <c r="O123" s="3015"/>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5"/>
      <c r="O124" s="3015"/>
      <c r="P124" s="2057"/>
      <c r="Q124" s="1872"/>
    </row>
    <row r="125" spans="1:17" ht="15" thickTop="1">
      <c r="A125" s="1902"/>
      <c r="B125" s="1857" t="s">
        <v>2488</v>
      </c>
      <c r="C125" s="468"/>
      <c r="D125" s="468"/>
      <c r="E125" s="1576"/>
      <c r="F125" s="1576"/>
      <c r="G125" s="1576"/>
      <c r="H125" s="1576"/>
      <c r="I125" s="1576"/>
      <c r="J125" s="1576"/>
      <c r="K125" s="473"/>
      <c r="L125" s="473"/>
      <c r="M125" s="1892"/>
      <c r="N125" s="3013"/>
      <c r="O125" s="3013"/>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4"/>
      <c r="O126" s="3014"/>
      <c r="P126" s="2056"/>
      <c r="Q126" s="1820"/>
    </row>
    <row r="127" spans="1:17" ht="15" thickTop="1">
      <c r="A127" s="1902"/>
      <c r="B127" s="1857">
        <f>B43</f>
        <v>111</v>
      </c>
      <c r="C127" s="468"/>
      <c r="D127" s="468"/>
      <c r="E127" s="468"/>
      <c r="F127" s="468"/>
      <c r="G127" s="468"/>
      <c r="H127" s="1576"/>
      <c r="I127" s="1576"/>
      <c r="J127" s="1576"/>
      <c r="K127" s="473"/>
      <c r="L127" s="473"/>
      <c r="M127" s="1892"/>
      <c r="N127" s="3013"/>
      <c r="O127" s="3013"/>
      <c r="P127" s="2056"/>
      <c r="Q127" s="1820"/>
    </row>
    <row r="128" spans="1:17" ht="15.75" thickBot="1">
      <c r="A128" s="1852"/>
      <c r="B128" s="1860"/>
      <c r="C128" s="1873"/>
      <c r="D128" s="1873"/>
      <c r="E128" s="1873"/>
      <c r="F128" s="1873"/>
      <c r="G128" s="1854"/>
      <c r="H128" s="1854"/>
      <c r="I128" s="1854"/>
      <c r="J128" s="1854"/>
      <c r="K128" s="1854"/>
      <c r="L128" s="1854"/>
      <c r="M128" s="1855"/>
      <c r="N128" s="3014"/>
      <c r="O128" s="3014"/>
      <c r="P128" s="2056"/>
      <c r="Q128" s="1820"/>
    </row>
    <row r="129" spans="1:17" ht="15" thickTop="1">
      <c r="A129" s="1902"/>
      <c r="B129" s="1857">
        <f>B44</f>
        <v>111</v>
      </c>
      <c r="C129" s="409"/>
      <c r="D129" s="409"/>
      <c r="E129" s="409"/>
      <c r="F129" s="409"/>
      <c r="G129" s="1576"/>
      <c r="H129" s="1576"/>
      <c r="I129" s="1576"/>
      <c r="J129" s="1576"/>
      <c r="K129" s="473"/>
      <c r="L129" s="473"/>
      <c r="M129" s="1892"/>
      <c r="N129" s="3013"/>
      <c r="O129" s="3013"/>
      <c r="P129" s="2056"/>
      <c r="Q129" s="1820"/>
    </row>
    <row r="130" spans="1:17" ht="15.75" thickBot="1">
      <c r="A130" s="1852"/>
      <c r="B130" s="1860"/>
      <c r="C130" s="1881"/>
      <c r="D130" s="1881"/>
      <c r="E130" s="1881"/>
      <c r="F130" s="1881"/>
      <c r="G130" s="1854"/>
      <c r="H130" s="1854"/>
      <c r="I130" s="1854"/>
      <c r="J130" s="1854"/>
      <c r="K130" s="1854"/>
      <c r="L130" s="1854"/>
      <c r="M130" s="1855"/>
      <c r="N130" s="3014"/>
      <c r="O130" s="3014"/>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5"/>
      <c r="O131" s="3015"/>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5"/>
      <c r="O132" s="3015"/>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2"/>
      <c r="E1" s="612"/>
      <c r="F1" s="611" t="s">
        <v>2243</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1914</v>
      </c>
      <c r="B2" s="552" t="e">
        <f>F61</f>
        <v>#DIV/0!</v>
      </c>
      <c r="C2" s="610" t="s">
        <v>2443</v>
      </c>
      <c r="D2" s="3017"/>
      <c r="E2" s="3017"/>
      <c r="F2" s="3020"/>
      <c r="G2" s="3017"/>
      <c r="H2" s="3017"/>
      <c r="I2" s="3017"/>
      <c r="J2" s="3017"/>
      <c r="K2" s="3021"/>
      <c r="L2" s="3018"/>
      <c r="M2" s="3019"/>
      <c r="N2" s="3019"/>
      <c r="O2" s="3019"/>
      <c r="P2" s="623"/>
      <c r="Q2" s="623"/>
      <c r="R2" s="623"/>
      <c r="S2" s="623"/>
      <c r="T2" s="623"/>
      <c r="U2" s="623"/>
      <c r="V2" s="623"/>
      <c r="W2" s="623"/>
      <c r="X2" s="623"/>
      <c r="Y2" s="623"/>
      <c r="Z2" s="623"/>
      <c r="AA2" s="623"/>
      <c r="AB2" s="623"/>
      <c r="AC2" s="624"/>
    </row>
    <row r="3" spans="1:29" s="291" customFormat="1" ht="28.5" customHeight="1" thickBot="1">
      <c r="A3" s="83" t="s">
        <v>1915</v>
      </c>
      <c r="B3" s="495" t="e">
        <f>ROUND(B2/'数据-取费表'!B5,0)</f>
        <v>#DIV/0!</v>
      </c>
      <c r="C3" s="610" t="s">
        <v>2444</v>
      </c>
      <c r="D3" s="3017"/>
      <c r="E3" s="3017"/>
      <c r="F3" s="3020"/>
      <c r="G3" s="3017"/>
      <c r="H3" s="3017"/>
      <c r="I3" s="3017"/>
      <c r="J3" s="3017"/>
      <c r="K3" s="3021"/>
      <c r="L3" s="3018"/>
      <c r="M3" s="3019"/>
      <c r="N3" s="3019"/>
      <c r="O3" s="3019"/>
      <c r="P3" s="623"/>
      <c r="Q3" s="623"/>
      <c r="R3" s="623"/>
      <c r="S3" s="623"/>
      <c r="T3" s="623"/>
      <c r="U3" s="623"/>
      <c r="V3" s="623"/>
      <c r="W3" s="623"/>
      <c r="X3" s="623"/>
      <c r="Y3" s="623"/>
      <c r="Z3" s="623"/>
      <c r="AA3" s="623"/>
      <c r="AB3" s="642"/>
      <c r="AC3" s="637"/>
    </row>
    <row r="4" spans="1:29" ht="15">
      <c r="A4" s="294" t="s">
        <v>2245</v>
      </c>
      <c r="B4" s="295"/>
      <c r="C4" s="3491" t="s">
        <v>2246</v>
      </c>
      <c r="D4" s="3492"/>
      <c r="E4" s="3493" t="s">
        <v>2247</v>
      </c>
      <c r="F4" s="3494"/>
      <c r="G4" s="3491" t="s">
        <v>2248</v>
      </c>
      <c r="H4" s="3492"/>
      <c r="I4" s="3491" t="s">
        <v>2249</v>
      </c>
      <c r="J4" s="3492"/>
      <c r="K4" s="496" t="s">
        <v>2250</v>
      </c>
      <c r="L4" s="3022"/>
      <c r="M4" s="3023"/>
      <c r="N4" s="3023"/>
      <c r="O4" s="3023"/>
      <c r="P4" s="3495" t="s">
        <v>2251</v>
      </c>
      <c r="Q4" s="3496"/>
      <c r="R4" s="3501" t="s">
        <v>2247</v>
      </c>
      <c r="S4" s="3502"/>
      <c r="T4" s="3501" t="s">
        <v>2248</v>
      </c>
      <c r="U4" s="3502"/>
      <c r="V4" s="3507" t="s">
        <v>2249</v>
      </c>
      <c r="W4" s="3507"/>
      <c r="X4" s="1333"/>
      <c r="Y4" s="3501" t="s">
        <v>2251</v>
      </c>
      <c r="Z4" s="3502"/>
      <c r="AA4" s="3488" t="s">
        <v>2247</v>
      </c>
      <c r="AB4" s="3489" t="s">
        <v>2248</v>
      </c>
      <c r="AC4" s="3488" t="s">
        <v>2249</v>
      </c>
    </row>
    <row r="5" spans="1:29" ht="15">
      <c r="A5" s="297"/>
      <c r="B5" s="298"/>
      <c r="C5" s="3484" t="s">
        <v>2252</v>
      </c>
      <c r="D5" s="3485"/>
      <c r="E5" s="3508" t="s">
        <v>2253</v>
      </c>
      <c r="F5" s="3509"/>
      <c r="G5" s="3484" t="s">
        <v>2254</v>
      </c>
      <c r="H5" s="3485"/>
      <c r="I5" s="3484" t="s">
        <v>2255</v>
      </c>
      <c r="J5" s="3485"/>
      <c r="K5" s="496"/>
      <c r="L5" s="3022"/>
      <c r="M5" s="3023"/>
      <c r="N5" s="3023"/>
      <c r="O5" s="3023"/>
      <c r="P5" s="3497"/>
      <c r="Q5" s="3498"/>
      <c r="R5" s="3503"/>
      <c r="S5" s="3504"/>
      <c r="T5" s="3503"/>
      <c r="U5" s="3504"/>
      <c r="V5" s="3507"/>
      <c r="W5" s="3507"/>
      <c r="X5" s="1333"/>
      <c r="Y5" s="3503"/>
      <c r="Z5" s="3504"/>
      <c r="AA5" s="3489"/>
      <c r="AB5" s="3489"/>
      <c r="AC5" s="3489"/>
    </row>
    <row r="6" spans="1:29" ht="15.75" thickBot="1">
      <c r="A6" s="299"/>
      <c r="B6" s="300"/>
      <c r="C6" s="3481" t="s">
        <v>2256</v>
      </c>
      <c r="D6" s="3482"/>
      <c r="E6" s="3479" t="s">
        <v>2256</v>
      </c>
      <c r="F6" s="3480"/>
      <c r="G6" s="3481" t="s">
        <v>2256</v>
      </c>
      <c r="H6" s="3482"/>
      <c r="I6" s="3481" t="s">
        <v>2256</v>
      </c>
      <c r="J6" s="3482"/>
      <c r="K6" s="496" t="s">
        <v>2257</v>
      </c>
      <c r="L6" s="3022"/>
      <c r="M6" s="3023"/>
      <c r="N6" s="3023"/>
      <c r="O6" s="3023"/>
      <c r="P6" s="3499"/>
      <c r="Q6" s="3500"/>
      <c r="R6" s="3503"/>
      <c r="S6" s="3504"/>
      <c r="T6" s="3505"/>
      <c r="U6" s="3506"/>
      <c r="V6" s="3507"/>
      <c r="W6" s="3507"/>
      <c r="X6" s="1333"/>
      <c r="Y6" s="3505"/>
      <c r="Z6" s="3506"/>
      <c r="AA6" s="3490"/>
      <c r="AB6" s="3490"/>
      <c r="AC6" s="3490"/>
    </row>
    <row r="7" spans="1:29" s="25" customFormat="1" ht="15.75" thickBot="1">
      <c r="A7" s="301" t="s">
        <v>2258</v>
      </c>
      <c r="B7" s="302"/>
      <c r="C7" s="303">
        <f>'数据-取费表'!B2</f>
        <v>44270</v>
      </c>
      <c r="D7" s="304">
        <v>100</v>
      </c>
      <c r="E7" s="305"/>
      <c r="F7" s="306">
        <f>SUMIF(65:65,YEAR(E7)&amp;"-"&amp;INT((MONTH(E7)+2)/3),66:66)</f>
        <v>0</v>
      </c>
      <c r="G7" s="1573"/>
      <c r="H7" s="304">
        <f>SUMIF(65:65,YEAR(G7)&amp;"-"&amp;INT((MONTH(G7)+2)/3),66:66)</f>
        <v>0</v>
      </c>
      <c r="I7" s="1573"/>
      <c r="J7" s="304">
        <f>SUMIF(65:65,YEAR(I7)&amp;"-"&amp;INT((MONTH(I7)+2)/3),66:66)</f>
        <v>0</v>
      </c>
      <c r="K7" s="497"/>
      <c r="L7" s="3024"/>
      <c r="M7" s="3025"/>
      <c r="N7" s="3025"/>
      <c r="O7" s="3025"/>
      <c r="P7" s="3486" t="s">
        <v>2259</v>
      </c>
      <c r="Q7" s="3510"/>
      <c r="R7" s="625" t="s">
        <v>25</v>
      </c>
      <c r="S7" s="626">
        <f t="shared" ref="S7:S15" si="0">F7</f>
        <v>0</v>
      </c>
      <c r="T7" s="625" t="s">
        <v>25</v>
      </c>
      <c r="U7" s="626">
        <f t="shared" ref="U7:U15" si="1">H7</f>
        <v>0</v>
      </c>
      <c r="V7" s="625" t="s">
        <v>25</v>
      </c>
      <c r="W7" s="626">
        <f t="shared" ref="W7:W15" si="2">J7</f>
        <v>0</v>
      </c>
      <c r="X7" s="627"/>
      <c r="Y7" s="3486" t="s">
        <v>2259</v>
      </c>
      <c r="Z7" s="3487"/>
      <c r="AA7" s="628" t="e">
        <f>D7/F7</f>
        <v>#DIV/0!</v>
      </c>
      <c r="AB7" s="628" t="e">
        <f>D7/H7</f>
        <v>#DIV/0!</v>
      </c>
      <c r="AC7" s="628"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86" t="s">
        <v>2262</v>
      </c>
      <c r="Q8" s="3487"/>
      <c r="R8" s="625" t="s">
        <v>25</v>
      </c>
      <c r="S8" s="626">
        <f t="shared" si="0"/>
        <v>0</v>
      </c>
      <c r="T8" s="625" t="s">
        <v>25</v>
      </c>
      <c r="U8" s="626">
        <f t="shared" si="1"/>
        <v>0</v>
      </c>
      <c r="V8" s="625" t="s">
        <v>25</v>
      </c>
      <c r="W8" s="626">
        <f t="shared" si="2"/>
        <v>0</v>
      </c>
      <c r="X8" s="627"/>
      <c r="Y8" s="3486" t="s">
        <v>2262</v>
      </c>
      <c r="Z8" s="3487"/>
      <c r="AA8" s="628" t="e">
        <f t="shared" ref="AA8:AA40" si="3">D8/F8</f>
        <v>#DIV/0!</v>
      </c>
      <c r="AB8" s="628" t="e">
        <f t="shared" ref="AB8:AB40" si="4">D8/H8</f>
        <v>#DIV/0!</v>
      </c>
      <c r="AC8" s="628"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4"/>
      <c r="M9" s="3025"/>
      <c r="N9" s="3025"/>
      <c r="O9" s="3026"/>
      <c r="P9" s="3483" t="s">
        <v>2265</v>
      </c>
      <c r="Q9" s="1325" t="str">
        <f t="shared" ref="Q9:Q15" si="6">B9</f>
        <v>用途</v>
      </c>
      <c r="R9" s="625" t="s">
        <v>25</v>
      </c>
      <c r="S9" s="626">
        <f t="shared" si="0"/>
        <v>100</v>
      </c>
      <c r="T9" s="625" t="s">
        <v>25</v>
      </c>
      <c r="U9" s="626">
        <f t="shared" si="1"/>
        <v>100</v>
      </c>
      <c r="V9" s="625" t="s">
        <v>25</v>
      </c>
      <c r="W9" s="626">
        <f t="shared" si="2"/>
        <v>100</v>
      </c>
      <c r="X9" s="627"/>
      <c r="Y9" s="3513" t="s">
        <v>2266</v>
      </c>
      <c r="Z9" s="19" t="str">
        <f t="shared" ref="Z9:Z15" si="7">Q9</f>
        <v>用途</v>
      </c>
      <c r="AA9" s="628">
        <f t="shared" si="3"/>
        <v>1</v>
      </c>
      <c r="AB9" s="628">
        <f t="shared" si="4"/>
        <v>1</v>
      </c>
      <c r="AC9" s="628">
        <f t="shared" si="5"/>
        <v>1</v>
      </c>
    </row>
    <row r="10" spans="1:29" s="317" customFormat="1" ht="27">
      <c r="A10" s="312"/>
      <c r="B10" s="313" t="s">
        <v>2267</v>
      </c>
      <c r="C10" s="322"/>
      <c r="D10" s="29">
        <v>100</v>
      </c>
      <c r="E10" s="322"/>
      <c r="F10" s="29">
        <f>ROUND(100/'数据-取费表'!B14,0)</f>
        <v>127</v>
      </c>
      <c r="G10" s="322"/>
      <c r="H10" s="29">
        <f>ROUND(100/'数据-取费表'!B14,0)</f>
        <v>127</v>
      </c>
      <c r="I10" s="322"/>
      <c r="J10" s="29">
        <f>ROUND(100/'数据-取费表'!B14,0)</f>
        <v>127</v>
      </c>
      <c r="K10" s="553"/>
      <c r="L10" s="3027"/>
      <c r="M10" s="3028"/>
      <c r="N10" s="3028"/>
      <c r="O10" s="3029"/>
      <c r="P10" s="3483"/>
      <c r="Q10" s="1325" t="str">
        <f t="shared" si="6"/>
        <v>土地使用年限（年）</v>
      </c>
      <c r="R10" s="625" t="s">
        <v>25</v>
      </c>
      <c r="S10" s="626">
        <f t="shared" si="0"/>
        <v>127</v>
      </c>
      <c r="T10" s="625" t="s">
        <v>25</v>
      </c>
      <c r="U10" s="626">
        <f t="shared" si="1"/>
        <v>127</v>
      </c>
      <c r="V10" s="625" t="s">
        <v>25</v>
      </c>
      <c r="W10" s="626">
        <f t="shared" si="2"/>
        <v>127</v>
      </c>
      <c r="X10" s="627"/>
      <c r="Y10" s="3513"/>
      <c r="Z10" s="19" t="str">
        <f t="shared" si="7"/>
        <v>土地使用年限（年）</v>
      </c>
      <c r="AA10" s="628">
        <f t="shared" si="3"/>
        <v>0.78740157480314965</v>
      </c>
      <c r="AB10" s="628">
        <f t="shared" si="4"/>
        <v>0.78740157480314965</v>
      </c>
      <c r="AC10" s="628">
        <f t="shared" si="5"/>
        <v>0.78740157480314965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83"/>
      <c r="Q11" s="1325" t="str">
        <f t="shared" si="6"/>
        <v>容积率</v>
      </c>
      <c r="R11" s="625" t="s">
        <v>25</v>
      </c>
      <c r="S11" s="626" t="e">
        <f t="shared" si="0"/>
        <v>#N/A</v>
      </c>
      <c r="T11" s="625" t="s">
        <v>25</v>
      </c>
      <c r="U11" s="626" t="e">
        <f t="shared" si="1"/>
        <v>#N/A</v>
      </c>
      <c r="V11" s="625" t="s">
        <v>25</v>
      </c>
      <c r="W11" s="626" t="e">
        <f t="shared" si="2"/>
        <v>#N/A</v>
      </c>
      <c r="X11" s="627"/>
      <c r="Y11" s="3513"/>
      <c r="Z11" s="19" t="str">
        <f t="shared" si="7"/>
        <v>容积率</v>
      </c>
      <c r="AA11" s="628" t="e">
        <f t="shared" si="3"/>
        <v>#N/A</v>
      </c>
      <c r="AB11" s="628" t="e">
        <f t="shared" si="4"/>
        <v>#N/A</v>
      </c>
      <c r="AC11" s="628"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83"/>
      <c r="Q12" s="1325">
        <f t="shared" si="6"/>
        <v>111</v>
      </c>
      <c r="R12" s="625" t="s">
        <v>25</v>
      </c>
      <c r="S12" s="626">
        <f t="shared" si="0"/>
        <v>100</v>
      </c>
      <c r="T12" s="625" t="s">
        <v>25</v>
      </c>
      <c r="U12" s="626">
        <f t="shared" si="1"/>
        <v>100</v>
      </c>
      <c r="V12" s="625" t="s">
        <v>25</v>
      </c>
      <c r="W12" s="626">
        <f t="shared" si="2"/>
        <v>100</v>
      </c>
      <c r="X12" s="627"/>
      <c r="Y12" s="3513"/>
      <c r="Z12" s="19">
        <f t="shared" si="7"/>
        <v>111</v>
      </c>
      <c r="AA12" s="628">
        <f>D12/F12</f>
        <v>1</v>
      </c>
      <c r="AB12" s="628">
        <f>D12/H12</f>
        <v>1</v>
      </c>
      <c r="AC12" s="628">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83"/>
      <c r="Q13" s="1325">
        <f t="shared" si="6"/>
        <v>111</v>
      </c>
      <c r="R13" s="625" t="s">
        <v>25</v>
      </c>
      <c r="S13" s="626">
        <f t="shared" si="0"/>
        <v>100</v>
      </c>
      <c r="T13" s="625" t="s">
        <v>25</v>
      </c>
      <c r="U13" s="626">
        <f t="shared" si="1"/>
        <v>100</v>
      </c>
      <c r="V13" s="625" t="s">
        <v>25</v>
      </c>
      <c r="W13" s="626">
        <f t="shared" si="2"/>
        <v>100</v>
      </c>
      <c r="X13" s="627"/>
      <c r="Y13" s="3513"/>
      <c r="Z13" s="19">
        <f t="shared" si="7"/>
        <v>111</v>
      </c>
      <c r="AA13" s="628">
        <f t="shared" si="3"/>
        <v>1</v>
      </c>
      <c r="AB13" s="628">
        <f t="shared" si="4"/>
        <v>1</v>
      </c>
      <c r="AC13" s="628">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83"/>
      <c r="Q14" s="1325">
        <f t="shared" si="6"/>
        <v>111</v>
      </c>
      <c r="R14" s="625" t="s">
        <v>25</v>
      </c>
      <c r="S14" s="626">
        <f t="shared" si="0"/>
        <v>100</v>
      </c>
      <c r="T14" s="625" t="s">
        <v>25</v>
      </c>
      <c r="U14" s="626">
        <f t="shared" si="1"/>
        <v>100</v>
      </c>
      <c r="V14" s="625" t="s">
        <v>25</v>
      </c>
      <c r="W14" s="626">
        <f t="shared" si="2"/>
        <v>100</v>
      </c>
      <c r="X14" s="627"/>
      <c r="Y14" s="3513"/>
      <c r="Z14" s="19">
        <f t="shared" si="7"/>
        <v>111</v>
      </c>
      <c r="AA14" s="628">
        <f t="shared" si="3"/>
        <v>1</v>
      </c>
      <c r="AB14" s="628">
        <f t="shared" si="4"/>
        <v>1</v>
      </c>
      <c r="AC14" s="628">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11" t="s">
        <v>2270</v>
      </c>
      <c r="Q15" s="1332" t="str">
        <f t="shared" si="6"/>
        <v>产业集聚程度</v>
      </c>
      <c r="R15" s="629" t="s">
        <v>25</v>
      </c>
      <c r="S15" s="630">
        <f t="shared" si="0"/>
        <v>100</v>
      </c>
      <c r="T15" s="629" t="s">
        <v>25</v>
      </c>
      <c r="U15" s="630">
        <f t="shared" si="1"/>
        <v>100</v>
      </c>
      <c r="V15" s="629" t="s">
        <v>25</v>
      </c>
      <c r="W15" s="630">
        <f t="shared" si="2"/>
        <v>100</v>
      </c>
      <c r="X15" s="1333"/>
      <c r="Y15" s="3511" t="s">
        <v>2270</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32"/>
      <c r="M16" s="3023"/>
      <c r="N16" s="3023"/>
      <c r="O16" s="3031"/>
      <c r="P16" s="3512"/>
      <c r="Q16" s="1332"/>
      <c r="R16" s="629"/>
      <c r="S16" s="630"/>
      <c r="T16" s="629"/>
      <c r="U16" s="630"/>
      <c r="V16" s="629"/>
      <c r="W16" s="630"/>
      <c r="X16" s="1333"/>
      <c r="Y16" s="3512"/>
      <c r="Z16" s="1334"/>
      <c r="AA16" s="1335">
        <v>1</v>
      </c>
      <c r="AB16" s="1335">
        <v>1</v>
      </c>
      <c r="AC16" s="1335">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12"/>
      <c r="Q17" s="1332" t="str">
        <f>B17</f>
        <v>交通便捷度</v>
      </c>
      <c r="R17" s="629" t="s">
        <v>25</v>
      </c>
      <c r="S17" s="630">
        <f>F17</f>
        <v>100</v>
      </c>
      <c r="T17" s="629" t="s">
        <v>25</v>
      </c>
      <c r="U17" s="630">
        <f>H17</f>
        <v>100</v>
      </c>
      <c r="V17" s="629" t="s">
        <v>25</v>
      </c>
      <c r="W17" s="630">
        <f>J17</f>
        <v>100</v>
      </c>
      <c r="X17" s="1333"/>
      <c r="Y17" s="3512"/>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4"/>
      <c r="J18" s="336"/>
      <c r="K18" s="553"/>
      <c r="L18" s="3032"/>
      <c r="M18" s="3023"/>
      <c r="N18" s="3023"/>
      <c r="O18" s="3031"/>
      <c r="P18" s="3512"/>
      <c r="Q18" s="1332"/>
      <c r="R18" s="629"/>
      <c r="S18" s="630"/>
      <c r="T18" s="629"/>
      <c r="U18" s="630"/>
      <c r="V18" s="629"/>
      <c r="W18" s="630"/>
      <c r="X18" s="1333"/>
      <c r="Y18" s="3512"/>
      <c r="Z18" s="1334"/>
      <c r="AA18" s="1335">
        <v>1</v>
      </c>
      <c r="AB18" s="1335">
        <v>1</v>
      </c>
      <c r="AC18" s="1335">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12"/>
      <c r="Q19" s="1332" t="str">
        <f t="shared" ref="Q19:Q33" si="8">B19</f>
        <v>区域土地利用方向</v>
      </c>
      <c r="R19" s="629" t="s">
        <v>25</v>
      </c>
      <c r="S19" s="630">
        <f>F19</f>
        <v>100</v>
      </c>
      <c r="T19" s="629" t="s">
        <v>25</v>
      </c>
      <c r="U19" s="630">
        <f>H19</f>
        <v>100</v>
      </c>
      <c r="V19" s="629" t="s">
        <v>25</v>
      </c>
      <c r="W19" s="630">
        <f>J19</f>
        <v>100</v>
      </c>
      <c r="X19" s="1333"/>
      <c r="Y19" s="3512"/>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3"/>
      <c r="L20" s="3032"/>
      <c r="M20" s="3023"/>
      <c r="N20" s="3023"/>
      <c r="O20" s="3031"/>
      <c r="P20" s="3512"/>
      <c r="Q20" s="1332"/>
      <c r="R20" s="629"/>
      <c r="S20" s="630"/>
      <c r="T20" s="629"/>
      <c r="U20" s="630"/>
      <c r="V20" s="629"/>
      <c r="W20" s="630"/>
      <c r="X20" s="1333"/>
      <c r="Y20" s="3512"/>
      <c r="Z20" s="1334"/>
      <c r="AA20" s="1335"/>
      <c r="AB20" s="1335"/>
      <c r="AC20" s="1335"/>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12"/>
      <c r="Q21" s="1332" t="str">
        <f t="shared" si="8"/>
        <v>环境状况</v>
      </c>
      <c r="R21" s="629" t="s">
        <v>25</v>
      </c>
      <c r="S21" s="630">
        <f>F21</f>
        <v>100</v>
      </c>
      <c r="T21" s="629" t="s">
        <v>25</v>
      </c>
      <c r="U21" s="630">
        <f>H21</f>
        <v>100</v>
      </c>
      <c r="V21" s="629" t="s">
        <v>25</v>
      </c>
      <c r="W21" s="630">
        <f>J21</f>
        <v>100</v>
      </c>
      <c r="X21" s="1333"/>
      <c r="Y21" s="3512"/>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32"/>
      <c r="M22" s="3023"/>
      <c r="N22" s="3023"/>
      <c r="O22" s="3031"/>
      <c r="P22" s="3512"/>
      <c r="Q22" s="1332"/>
      <c r="R22" s="629"/>
      <c r="S22" s="630"/>
      <c r="T22" s="629"/>
      <c r="U22" s="630"/>
      <c r="V22" s="629"/>
      <c r="W22" s="630"/>
      <c r="X22" s="1333"/>
      <c r="Y22" s="3512"/>
      <c r="Z22" s="1334"/>
      <c r="AA22" s="1335">
        <v>1</v>
      </c>
      <c r="AB22" s="1335">
        <v>1</v>
      </c>
      <c r="AC22" s="1335">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12"/>
      <c r="Q23" s="1325" t="str">
        <f t="shared" si="8"/>
        <v>公共配套设施</v>
      </c>
      <c r="R23" s="625" t="s">
        <v>25</v>
      </c>
      <c r="S23" s="626">
        <f>F23</f>
        <v>100</v>
      </c>
      <c r="T23" s="625" t="s">
        <v>25</v>
      </c>
      <c r="U23" s="626">
        <f>H23</f>
        <v>100</v>
      </c>
      <c r="V23" s="625" t="s">
        <v>25</v>
      </c>
      <c r="W23" s="626">
        <f>J23</f>
        <v>100</v>
      </c>
      <c r="X23" s="627"/>
      <c r="Y23" s="3512"/>
      <c r="Z23" s="19" t="str">
        <f>Q23</f>
        <v>公共配套设施</v>
      </c>
      <c r="AA23" s="1335">
        <f>D23/F23</f>
        <v>1</v>
      </c>
      <c r="AB23" s="1335">
        <f>D23/H23</f>
        <v>1</v>
      </c>
      <c r="AC23" s="1335">
        <f>D23/J23</f>
        <v>1</v>
      </c>
    </row>
    <row r="24" spans="1:29" s="25" customFormat="1" ht="15">
      <c r="A24" s="531"/>
      <c r="B24" s="514"/>
      <c r="C24" s="1594"/>
      <c r="D24" s="336"/>
      <c r="E24" s="1133"/>
      <c r="F24" s="336"/>
      <c r="G24" s="1133"/>
      <c r="H24" s="336"/>
      <c r="I24" s="335"/>
      <c r="J24" s="336"/>
      <c r="K24" s="553"/>
      <c r="L24" s="3024"/>
      <c r="M24" s="3025"/>
      <c r="N24" s="3025"/>
      <c r="O24" s="3026"/>
      <c r="P24" s="3512"/>
      <c r="Q24" s="1325"/>
      <c r="R24" s="625"/>
      <c r="S24" s="626"/>
      <c r="T24" s="625"/>
      <c r="U24" s="626"/>
      <c r="V24" s="625"/>
      <c r="W24" s="626"/>
      <c r="X24" s="627"/>
      <c r="Y24" s="3512"/>
      <c r="Z24" s="19"/>
      <c r="AA24" s="628">
        <v>1</v>
      </c>
      <c r="AB24" s="628">
        <v>1</v>
      </c>
      <c r="AC24" s="628">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12"/>
      <c r="Q25" s="1325" t="str">
        <f t="shared" ref="Q25" si="9">B25</f>
        <v>基础设施水平</v>
      </c>
      <c r="R25" s="625" t="s">
        <v>25</v>
      </c>
      <c r="S25" s="626">
        <f>F25</f>
        <v>100</v>
      </c>
      <c r="T25" s="625" t="s">
        <v>25</v>
      </c>
      <c r="U25" s="626">
        <f>H25</f>
        <v>100</v>
      </c>
      <c r="V25" s="625" t="s">
        <v>25</v>
      </c>
      <c r="W25" s="626">
        <f>J25</f>
        <v>100</v>
      </c>
      <c r="X25" s="627"/>
      <c r="Y25" s="3512"/>
      <c r="Z25" s="19" t="str">
        <f>Q25</f>
        <v>基础设施水平</v>
      </c>
      <c r="AA25" s="1335">
        <f>D25/F25</f>
        <v>1</v>
      </c>
      <c r="AB25" s="1335">
        <f>D25/H25</f>
        <v>1</v>
      </c>
      <c r="AC25" s="1335">
        <f>D25/J25</f>
        <v>1</v>
      </c>
    </row>
    <row r="26" spans="1:29" s="25" customFormat="1" ht="15">
      <c r="A26" s="531"/>
      <c r="B26" s="514"/>
      <c r="C26" s="1594"/>
      <c r="D26" s="336"/>
      <c r="E26" s="1585"/>
      <c r="F26" s="336"/>
      <c r="G26" s="1585"/>
      <c r="H26" s="336"/>
      <c r="I26" s="1585"/>
      <c r="J26" s="336"/>
      <c r="K26" s="553"/>
      <c r="L26" s="3024"/>
      <c r="M26" s="3025"/>
      <c r="N26" s="3025"/>
      <c r="O26" s="3026"/>
      <c r="P26" s="3512"/>
      <c r="Q26" s="1325"/>
      <c r="R26" s="625"/>
      <c r="S26" s="626"/>
      <c r="T26" s="625"/>
      <c r="U26" s="626"/>
      <c r="V26" s="625"/>
      <c r="W26" s="626"/>
      <c r="X26" s="627"/>
      <c r="Y26" s="3512"/>
      <c r="Z26" s="19"/>
      <c r="AA26" s="628">
        <v>1</v>
      </c>
      <c r="AB26" s="628">
        <v>1</v>
      </c>
      <c r="AC26" s="628">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12"/>
      <c r="Q27" s="1332" t="str">
        <f t="shared" si="8"/>
        <v>临街状况</v>
      </c>
      <c r="R27" s="629" t="s">
        <v>25</v>
      </c>
      <c r="S27" s="630">
        <f t="shared" ref="S27:S40" si="10">F27</f>
        <v>100</v>
      </c>
      <c r="T27" s="629" t="s">
        <v>25</v>
      </c>
      <c r="U27" s="630">
        <f t="shared" ref="U27:U40" si="11">H27</f>
        <v>100</v>
      </c>
      <c r="V27" s="629" t="s">
        <v>25</v>
      </c>
      <c r="W27" s="630">
        <f t="shared" ref="W27:W40" si="12">J27</f>
        <v>100</v>
      </c>
      <c r="X27" s="1333"/>
      <c r="Y27" s="3512"/>
      <c r="Z27" s="1334" t="str">
        <f t="shared" ref="Z27:Z40" si="13">Q27</f>
        <v>临街状况</v>
      </c>
      <c r="AA27" s="1335">
        <f t="shared" si="3"/>
        <v>1</v>
      </c>
      <c r="AB27" s="1335">
        <f t="shared" si="4"/>
        <v>1</v>
      </c>
      <c r="AC27" s="1335">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12"/>
      <c r="Q28" s="1332" t="str">
        <f t="shared" si="8"/>
        <v>毗邻道路的类型与等级</v>
      </c>
      <c r="R28" s="629" t="s">
        <v>25</v>
      </c>
      <c r="S28" s="630">
        <f t="shared" si="10"/>
        <v>100</v>
      </c>
      <c r="T28" s="629" t="s">
        <v>25</v>
      </c>
      <c r="U28" s="630">
        <f t="shared" si="11"/>
        <v>100</v>
      </c>
      <c r="V28" s="629" t="s">
        <v>25</v>
      </c>
      <c r="W28" s="630">
        <f t="shared" si="12"/>
        <v>100</v>
      </c>
      <c r="X28" s="1333"/>
      <c r="Y28" s="3512"/>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32"/>
      <c r="M29" s="3023"/>
      <c r="N29" s="3023"/>
      <c r="O29" s="3031"/>
      <c r="P29" s="3512"/>
      <c r="Q29" s="1332"/>
      <c r="R29" s="629"/>
      <c r="S29" s="630"/>
      <c r="T29" s="629"/>
      <c r="U29" s="630"/>
      <c r="V29" s="629"/>
      <c r="W29" s="630"/>
      <c r="X29" s="1333"/>
      <c r="Y29" s="3512"/>
      <c r="Z29" s="1334"/>
      <c r="AA29" s="1335">
        <v>1</v>
      </c>
      <c r="AB29" s="1335">
        <v>1</v>
      </c>
      <c r="AC29" s="1335">
        <v>1</v>
      </c>
    </row>
    <row r="30" spans="1:29" ht="15">
      <c r="A30" s="318"/>
      <c r="B30" s="535" t="s">
        <v>2449</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12"/>
      <c r="Q30" s="1332" t="str">
        <f t="shared" si="8"/>
        <v>土地级别</v>
      </c>
      <c r="R30" s="629" t="s">
        <v>25</v>
      </c>
      <c r="S30" s="630">
        <f t="shared" si="10"/>
        <v>100</v>
      </c>
      <c r="T30" s="629" t="s">
        <v>25</v>
      </c>
      <c r="U30" s="630">
        <f t="shared" si="11"/>
        <v>100</v>
      </c>
      <c r="V30" s="629" t="s">
        <v>25</v>
      </c>
      <c r="W30" s="630">
        <f t="shared" si="12"/>
        <v>100</v>
      </c>
      <c r="X30" s="1333"/>
      <c r="Y30" s="3512"/>
      <c r="Z30" s="1334" t="str">
        <f t="shared" si="13"/>
        <v>土地级别</v>
      </c>
      <c r="AA30" s="1335">
        <f t="shared" si="3"/>
        <v>1</v>
      </c>
      <c r="AB30" s="1335">
        <f t="shared" si="4"/>
        <v>1</v>
      </c>
      <c r="AC30" s="1335">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12"/>
      <c r="Q31" s="1332">
        <f t="shared" si="8"/>
        <v>111</v>
      </c>
      <c r="R31" s="629" t="s">
        <v>25</v>
      </c>
      <c r="S31" s="630">
        <f t="shared" si="10"/>
        <v>100</v>
      </c>
      <c r="T31" s="629" t="s">
        <v>25</v>
      </c>
      <c r="U31" s="630">
        <f t="shared" si="11"/>
        <v>100</v>
      </c>
      <c r="V31" s="629" t="s">
        <v>25</v>
      </c>
      <c r="W31" s="630">
        <f t="shared" si="12"/>
        <v>100</v>
      </c>
      <c r="X31" s="1333"/>
      <c r="Y31" s="3512"/>
      <c r="Z31" s="1334">
        <f t="shared" si="13"/>
        <v>111</v>
      </c>
      <c r="AA31" s="1335">
        <f t="shared" si="3"/>
        <v>1</v>
      </c>
      <c r="AB31" s="1335">
        <f t="shared" si="4"/>
        <v>1</v>
      </c>
      <c r="AC31" s="1335">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14" t="s">
        <v>2276</v>
      </c>
      <c r="Q32" s="1332">
        <f t="shared" si="8"/>
        <v>111</v>
      </c>
      <c r="R32" s="629" t="s">
        <v>25</v>
      </c>
      <c r="S32" s="630">
        <f t="shared" si="10"/>
        <v>100</v>
      </c>
      <c r="T32" s="629" t="s">
        <v>25</v>
      </c>
      <c r="U32" s="630">
        <f t="shared" si="11"/>
        <v>100</v>
      </c>
      <c r="V32" s="629" t="s">
        <v>25</v>
      </c>
      <c r="W32" s="630">
        <f t="shared" si="12"/>
        <v>100</v>
      </c>
      <c r="X32" s="1333"/>
      <c r="Y32" s="3515" t="s">
        <v>2276</v>
      </c>
      <c r="Z32" s="1334">
        <f t="shared" si="13"/>
        <v>111</v>
      </c>
      <c r="AA32" s="1335">
        <f t="shared" si="3"/>
        <v>1</v>
      </c>
      <c r="AB32" s="1335">
        <f t="shared" si="4"/>
        <v>1</v>
      </c>
      <c r="AC32" s="1335">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15"/>
      <c r="Q33" s="1332">
        <f t="shared" si="8"/>
        <v>111</v>
      </c>
      <c r="R33" s="632" t="s">
        <v>25</v>
      </c>
      <c r="S33" s="633">
        <f t="shared" si="10"/>
        <v>100</v>
      </c>
      <c r="T33" s="632" t="s">
        <v>25</v>
      </c>
      <c r="U33" s="633">
        <f t="shared" si="11"/>
        <v>100</v>
      </c>
      <c r="V33" s="632" t="s">
        <v>25</v>
      </c>
      <c r="W33" s="633">
        <f t="shared" si="12"/>
        <v>100</v>
      </c>
      <c r="X33" s="634"/>
      <c r="Y33" s="3515"/>
      <c r="Z33" s="635">
        <f t="shared" si="13"/>
        <v>111</v>
      </c>
      <c r="AA33" s="1335">
        <f t="shared" si="3"/>
        <v>1</v>
      </c>
      <c r="AB33" s="1335">
        <f t="shared" si="4"/>
        <v>1</v>
      </c>
      <c r="AC33" s="1335">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15"/>
      <c r="Q34" s="1332" t="str">
        <f>B34</f>
        <v>宗地面积</v>
      </c>
      <c r="R34" s="629" t="s">
        <v>25</v>
      </c>
      <c r="S34" s="630" t="e">
        <f t="shared" si="10"/>
        <v>#N/A</v>
      </c>
      <c r="T34" s="629" t="s">
        <v>25</v>
      </c>
      <c r="U34" s="630" t="e">
        <f t="shared" si="11"/>
        <v>#N/A</v>
      </c>
      <c r="V34" s="629" t="s">
        <v>25</v>
      </c>
      <c r="W34" s="630" t="e">
        <f t="shared" si="12"/>
        <v>#N/A</v>
      </c>
      <c r="X34" s="1333"/>
      <c r="Y34" s="3515"/>
      <c r="Z34" s="1334" t="str">
        <f t="shared" si="13"/>
        <v>宗地面积</v>
      </c>
      <c r="AA34" s="1335" t="e">
        <f t="shared" si="3"/>
        <v>#N/A</v>
      </c>
      <c r="AB34" s="1335" t="e">
        <f t="shared" si="4"/>
        <v>#N/A</v>
      </c>
      <c r="AC34" s="1335"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2"/>
      <c r="M35" s="3023"/>
      <c r="N35" s="3023"/>
      <c r="O35" s="3031"/>
      <c r="P35" s="3515"/>
      <c r="Q35" s="1332" t="str">
        <f t="shared" ref="Q35:Q40" si="14">B35</f>
        <v>宗地形状</v>
      </c>
      <c r="R35" s="629" t="s">
        <v>25</v>
      </c>
      <c r="S35" s="630">
        <f t="shared" si="10"/>
        <v>100</v>
      </c>
      <c r="T35" s="629" t="s">
        <v>25</v>
      </c>
      <c r="U35" s="630">
        <f t="shared" si="11"/>
        <v>100</v>
      </c>
      <c r="V35" s="629" t="s">
        <v>25</v>
      </c>
      <c r="W35" s="630">
        <f t="shared" si="12"/>
        <v>100</v>
      </c>
      <c r="X35" s="1333"/>
      <c r="Y35" s="3515"/>
      <c r="Z35" s="1334" t="str">
        <f t="shared" si="13"/>
        <v>宗地形状</v>
      </c>
      <c r="AA35" s="1335">
        <f t="shared" si="3"/>
        <v>1</v>
      </c>
      <c r="AB35" s="1335">
        <f t="shared" si="4"/>
        <v>1</v>
      </c>
      <c r="AC35" s="1335">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4"/>
      <c r="M36" s="3025"/>
      <c r="N36" s="3025"/>
      <c r="O36" s="3026"/>
      <c r="P36" s="3515"/>
      <c r="Q36" s="1332" t="str">
        <f t="shared" si="14"/>
        <v>宗地开发程度</v>
      </c>
      <c r="R36" s="625" t="s">
        <v>25</v>
      </c>
      <c r="S36" s="626">
        <f t="shared" si="10"/>
        <v>100</v>
      </c>
      <c r="T36" s="625" t="s">
        <v>25</v>
      </c>
      <c r="U36" s="626">
        <f t="shared" si="11"/>
        <v>100</v>
      </c>
      <c r="V36" s="625" t="s">
        <v>25</v>
      </c>
      <c r="W36" s="626">
        <f t="shared" si="12"/>
        <v>100</v>
      </c>
      <c r="X36" s="627"/>
      <c r="Y36" s="3515"/>
      <c r="Z36" s="19" t="str">
        <f t="shared" si="13"/>
        <v>宗地开发程度</v>
      </c>
      <c r="AA36" s="628">
        <f t="shared" si="3"/>
        <v>1</v>
      </c>
      <c r="AB36" s="628">
        <f t="shared" si="4"/>
        <v>1</v>
      </c>
      <c r="AC36" s="628">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2"/>
      <c r="M37" s="3023"/>
      <c r="N37" s="3023"/>
      <c r="O37" s="3031"/>
      <c r="P37" s="3515" t="s">
        <v>2276</v>
      </c>
      <c r="Q37" s="1332" t="str">
        <f t="shared" si="14"/>
        <v>工程地质条件</v>
      </c>
      <c r="R37" s="629" t="s">
        <v>25</v>
      </c>
      <c r="S37" s="630">
        <f t="shared" si="10"/>
        <v>100</v>
      </c>
      <c r="T37" s="629" t="s">
        <v>25</v>
      </c>
      <c r="U37" s="630">
        <f t="shared" si="11"/>
        <v>100</v>
      </c>
      <c r="V37" s="629" t="s">
        <v>25</v>
      </c>
      <c r="W37" s="630">
        <f t="shared" si="12"/>
        <v>100</v>
      </c>
      <c r="X37" s="1333"/>
      <c r="Y37" s="3515" t="s">
        <v>2276</v>
      </c>
      <c r="Z37" s="1334" t="str">
        <f t="shared" si="13"/>
        <v>工程地质条件</v>
      </c>
      <c r="AA37" s="1335">
        <f t="shared" si="3"/>
        <v>1</v>
      </c>
      <c r="AB37" s="1335">
        <f t="shared" si="4"/>
        <v>1</v>
      </c>
      <c r="AC37" s="1335">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15"/>
      <c r="Q38" s="1332">
        <f t="shared" si="14"/>
        <v>111</v>
      </c>
      <c r="R38" s="629" t="s">
        <v>25</v>
      </c>
      <c r="S38" s="630">
        <f t="shared" si="10"/>
        <v>100</v>
      </c>
      <c r="T38" s="629" t="s">
        <v>25</v>
      </c>
      <c r="U38" s="630">
        <f t="shared" si="11"/>
        <v>100</v>
      </c>
      <c r="V38" s="629" t="s">
        <v>25</v>
      </c>
      <c r="W38" s="630">
        <f t="shared" si="12"/>
        <v>100</v>
      </c>
      <c r="X38" s="1333"/>
      <c r="Y38" s="3515"/>
      <c r="Z38" s="1334">
        <f t="shared" si="13"/>
        <v>111</v>
      </c>
      <c r="AA38" s="1335">
        <f t="shared" si="3"/>
        <v>1</v>
      </c>
      <c r="AB38" s="1335">
        <f t="shared" si="4"/>
        <v>1</v>
      </c>
      <c r="AC38" s="1335">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15"/>
      <c r="Q39" s="1332">
        <f t="shared" si="14"/>
        <v>111</v>
      </c>
      <c r="R39" s="629" t="s">
        <v>25</v>
      </c>
      <c r="S39" s="630">
        <f t="shared" si="10"/>
        <v>100</v>
      </c>
      <c r="T39" s="629" t="s">
        <v>25</v>
      </c>
      <c r="U39" s="630">
        <f t="shared" si="11"/>
        <v>100</v>
      </c>
      <c r="V39" s="629" t="s">
        <v>25</v>
      </c>
      <c r="W39" s="630">
        <f t="shared" si="12"/>
        <v>100</v>
      </c>
      <c r="X39" s="1333"/>
      <c r="Y39" s="3515"/>
      <c r="Z39" s="1334">
        <f t="shared" si="13"/>
        <v>111</v>
      </c>
      <c r="AA39" s="1335">
        <f t="shared" si="3"/>
        <v>1</v>
      </c>
      <c r="AB39" s="1335">
        <f t="shared" si="4"/>
        <v>1</v>
      </c>
      <c r="AC39" s="1335">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15"/>
      <c r="Q40" s="1332">
        <f t="shared" si="14"/>
        <v>111</v>
      </c>
      <c r="R40" s="632" t="s">
        <v>25</v>
      </c>
      <c r="S40" s="633">
        <f t="shared" si="10"/>
        <v>100</v>
      </c>
      <c r="T40" s="632" t="s">
        <v>25</v>
      </c>
      <c r="U40" s="633">
        <f t="shared" si="11"/>
        <v>100</v>
      </c>
      <c r="V40" s="632" t="s">
        <v>25</v>
      </c>
      <c r="W40" s="633">
        <f t="shared" si="12"/>
        <v>100</v>
      </c>
      <c r="X40" s="634"/>
      <c r="Y40" s="3515"/>
      <c r="Z40" s="635">
        <f t="shared" si="13"/>
        <v>111</v>
      </c>
      <c r="AA40" s="1335">
        <f t="shared" si="3"/>
        <v>1</v>
      </c>
      <c r="AB40" s="1335">
        <f t="shared" si="4"/>
        <v>1</v>
      </c>
      <c r="AC40" s="1335">
        <f t="shared" si="5"/>
        <v>1</v>
      </c>
    </row>
    <row r="41" spans="1:29" ht="15">
      <c r="A41" s="367" t="s">
        <v>2418</v>
      </c>
      <c r="B41" s="1589" t="s">
        <v>2493</v>
      </c>
      <c r="C41" s="562" t="s">
        <v>1</v>
      </c>
      <c r="D41" s="369"/>
      <c r="E41" s="370"/>
      <c r="F41" s="371"/>
      <c r="G41" s="372"/>
      <c r="H41" s="373"/>
      <c r="I41" s="370"/>
      <c r="J41" s="373"/>
      <c r="K41" s="638"/>
      <c r="L41" s="3034"/>
      <c r="M41" s="3023"/>
      <c r="N41" s="3023"/>
      <c r="P41" s="3483" t="str">
        <f>A41</f>
        <v>成交单价</v>
      </c>
      <c r="Q41" s="3483"/>
      <c r="R41" s="3507">
        <f>E41</f>
        <v>0</v>
      </c>
      <c r="S41" s="3507"/>
      <c r="T41" s="3507">
        <f>G41</f>
        <v>0</v>
      </c>
      <c r="U41" s="3507"/>
      <c r="V41" s="3507">
        <f>I41</f>
        <v>0</v>
      </c>
      <c r="W41" s="3507"/>
      <c r="X41" s="616"/>
      <c r="Y41" s="636"/>
      <c r="Z41" s="616"/>
      <c r="AA41" s="616"/>
      <c r="AB41" s="616"/>
      <c r="AC41" s="616"/>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4"/>
      <c r="M42" s="3023"/>
      <c r="N42" s="3023"/>
      <c r="P42" s="3483" t="str">
        <f>A42</f>
        <v>比较价值（元/平方米）</v>
      </c>
      <c r="Q42" s="3483"/>
      <c r="R42" s="3524" t="e">
        <f>ROUND(PRODUCT(R41,AA7:AA40),0)</f>
        <v>#DIV/0!</v>
      </c>
      <c r="S42" s="3524"/>
      <c r="T42" s="3524" t="e">
        <f>ROUND(PRODUCT(T41,AB7:AB40),0)</f>
        <v>#DIV/0!</v>
      </c>
      <c r="U42" s="3524"/>
      <c r="V42" s="3524" t="e">
        <f>ROUND(PRODUCT(V41,AC7:AC40),0)</f>
        <v>#DIV/0!</v>
      </c>
      <c r="W42" s="3524"/>
      <c r="X42" s="616"/>
      <c r="Y42" s="616"/>
      <c r="Z42" s="616"/>
      <c r="AA42" s="616"/>
      <c r="AB42" s="616"/>
      <c r="AC42" s="616"/>
    </row>
    <row r="43" spans="1:29" ht="15.75" thickBot="1">
      <c r="A43" s="378" t="s">
        <v>2394</v>
      </c>
      <c r="B43" s="379"/>
      <c r="C43" s="380" t="e">
        <f>R43</f>
        <v>#DIV/0!</v>
      </c>
      <c r="D43" s="380"/>
      <c r="E43" s="380"/>
      <c r="F43" s="380"/>
      <c r="G43" s="380"/>
      <c r="H43" s="380"/>
      <c r="I43" s="380"/>
      <c r="J43" s="380"/>
      <c r="K43" s="639"/>
      <c r="L43" s="3034"/>
      <c r="M43" s="3023"/>
      <c r="N43" s="3023"/>
      <c r="P43" s="3518" t="str">
        <f>A43</f>
        <v>估价对象XX用房的比较价值（楼面单价，元/平方米）</v>
      </c>
      <c r="Q43" s="3519"/>
      <c r="R43" s="3523" t="e">
        <f>ROUND(IF(D42="简单平均",AVERAGE(R42:W42),R42*F42+T42*H42+V42*J42),0)</f>
        <v>#DIV/0!</v>
      </c>
      <c r="S43" s="3523"/>
      <c r="T43" s="3523"/>
      <c r="U43" s="3523"/>
      <c r="V43" s="3523"/>
      <c r="W43" s="3523"/>
      <c r="X43" s="616"/>
      <c r="Y43" s="616"/>
      <c r="Z43" s="616"/>
      <c r="AA43" s="616"/>
      <c r="AB43" s="616"/>
      <c r="AC43" s="616"/>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0" t="s">
        <v>2458</v>
      </c>
      <c r="D50" s="1591" t="s">
        <v>2459</v>
      </c>
      <c r="E50" s="566" t="s">
        <v>2460</v>
      </c>
      <c r="F50" s="567" t="s">
        <v>2461</v>
      </c>
      <c r="G50" s="1334" t="s">
        <v>2494</v>
      </c>
      <c r="H50" s="1334" t="str">
        <f>项目基本情况!G8</f>
        <v>XX</v>
      </c>
      <c r="I50" s="1308" t="s">
        <v>2463</v>
      </c>
      <c r="J50" s="956"/>
      <c r="K50" s="954"/>
    </row>
    <row r="51" spans="1:17" s="572" customFormat="1">
      <c r="A51" s="568" t="s">
        <v>2464</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2465</v>
      </c>
      <c r="B52" s="94" t="e">
        <f>ROUND($C$43*C52*D52,0)</f>
        <v>#DIV/0!</v>
      </c>
      <c r="C52" s="51">
        <f>IF($C$50="北京市系数",G52,H52)</f>
        <v>0.7</v>
      </c>
      <c r="D52" s="980">
        <v>0.25</v>
      </c>
      <c r="E52" s="574">
        <v>0</v>
      </c>
      <c r="F52" s="571" t="e">
        <f t="shared" si="15"/>
        <v>#DIV/0!</v>
      </c>
      <c r="G52" s="794">
        <f>SUMIF(修正!$A$45:$A$56,项目基本情况!$F$9,修正!B45:B56)</f>
        <v>0.7</v>
      </c>
      <c r="H52" s="795"/>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0">
        <v>0.25</v>
      </c>
      <c r="E53" s="574">
        <v>0</v>
      </c>
      <c r="F53" s="571" t="e">
        <f t="shared" si="15"/>
        <v>#DIV/0!</v>
      </c>
      <c r="G53" s="794">
        <f>SUMIF(修正!$A$45:$A$56,项目基本情况!$F$9,修正!C45:C56)</f>
        <v>0.4</v>
      </c>
      <c r="H53" s="795"/>
      <c r="I53" s="388"/>
      <c r="J53" s="381"/>
      <c r="K53" s="382"/>
      <c r="L53" s="382"/>
      <c r="M53" s="296"/>
      <c r="N53" s="296"/>
      <c r="O53" s="296"/>
    </row>
    <row r="54" spans="1:17" s="572" customFormat="1">
      <c r="A54" s="573" t="s">
        <v>2467</v>
      </c>
      <c r="B54" s="94" t="e">
        <f t="shared" si="16"/>
        <v>#DIV/0!</v>
      </c>
      <c r="C54" s="51">
        <f t="shared" si="17"/>
        <v>0.28000000000000003</v>
      </c>
      <c r="D54" s="980">
        <v>0.25</v>
      </c>
      <c r="E54" s="574">
        <v>0</v>
      </c>
      <c r="F54" s="571" t="e">
        <f t="shared" si="15"/>
        <v>#DIV/0!</v>
      </c>
      <c r="G54" s="794">
        <f>SUMIF(修正!$A$45:$A$56,项目基本情况!$F$9,修正!D45:D56)</f>
        <v>0.28000000000000003</v>
      </c>
      <c r="H54" s="795"/>
      <c r="I54" s="296"/>
      <c r="J54" s="381"/>
      <c r="K54" s="382"/>
      <c r="L54" s="382"/>
      <c r="M54" s="296"/>
      <c r="N54" s="296"/>
      <c r="O54" s="296"/>
    </row>
    <row r="55" spans="1:17" s="572" customFormat="1">
      <c r="A55" s="573" t="s">
        <v>2468</v>
      </c>
      <c r="B55" s="94" t="e">
        <f t="shared" si="16"/>
        <v>#DIV/0!</v>
      </c>
      <c r="C55" s="51">
        <f t="shared" si="17"/>
        <v>0.25</v>
      </c>
      <c r="D55" s="980">
        <v>0.25</v>
      </c>
      <c r="E55" s="574">
        <v>0</v>
      </c>
      <c r="F55" s="571" t="e">
        <f t="shared" si="15"/>
        <v>#DIV/0!</v>
      </c>
      <c r="G55" s="794">
        <f>SUMIF(修正!$A$45:$A$56,项目基本情况!$F$9,修正!E45:E56)</f>
        <v>0.25</v>
      </c>
      <c r="H55" s="795"/>
      <c r="I55" s="388"/>
      <c r="J55" s="381"/>
      <c r="K55" s="382"/>
      <c r="L55" s="382"/>
      <c r="M55" s="296"/>
      <c r="N55" s="296"/>
      <c r="O55" s="296"/>
    </row>
    <row r="56" spans="1:17" s="572" customFormat="1">
      <c r="A56" s="573" t="s">
        <v>2469</v>
      </c>
      <c r="B56" s="94" t="e">
        <f t="shared" si="16"/>
        <v>#DIV/0!</v>
      </c>
      <c r="C56" s="51">
        <f t="shared" si="17"/>
        <v>0.2</v>
      </c>
      <c r="D56" s="980">
        <v>0.25</v>
      </c>
      <c r="E56" s="574">
        <v>0</v>
      </c>
      <c r="F56" s="571" t="e">
        <f t="shared" si="15"/>
        <v>#DIV/0!</v>
      </c>
      <c r="G56" s="794">
        <f>SUMIF(修正!A40:A51,项目基本情况!F9,修正!F45:F56)</f>
        <v>0.2</v>
      </c>
      <c r="H56" s="795"/>
      <c r="I56" s="296"/>
      <c r="J56" s="381"/>
      <c r="K56" s="382"/>
      <c r="L56" s="382"/>
      <c r="M56" s="296"/>
      <c r="N56" s="296"/>
      <c r="O56" s="296"/>
    </row>
    <row r="57" spans="1:17" s="572" customFormat="1">
      <c r="A57" s="573" t="s">
        <v>2470</v>
      </c>
      <c r="B57" s="94" t="e">
        <f t="shared" si="16"/>
        <v>#DIV/0!</v>
      </c>
      <c r="C57" s="51">
        <f t="shared" si="17"/>
        <v>0.2</v>
      </c>
      <c r="D57" s="980">
        <v>0.25</v>
      </c>
      <c r="E57" s="574">
        <v>0</v>
      </c>
      <c r="F57" s="571" t="e">
        <f t="shared" si="15"/>
        <v>#DIV/0!</v>
      </c>
      <c r="G57" s="794">
        <f>SUMIF(修正!A40:A51,项目基本情况!F9,修正!G45:G56)</f>
        <v>0.2</v>
      </c>
      <c r="H57" s="795"/>
      <c r="I57" s="388"/>
      <c r="J57" s="381"/>
      <c r="K57" s="382"/>
      <c r="L57" s="382"/>
      <c r="M57" s="296"/>
      <c r="N57" s="296"/>
      <c r="O57" s="296"/>
    </row>
    <row r="58" spans="1:17" s="572" customFormat="1">
      <c r="A58" s="573" t="s">
        <v>2471</v>
      </c>
      <c r="B58" s="94" t="e">
        <f t="shared" si="16"/>
        <v>#DIV/0!</v>
      </c>
      <c r="C58" s="51">
        <f t="shared" si="17"/>
        <v>0.15</v>
      </c>
      <c r="D58" s="980">
        <v>0.25</v>
      </c>
      <c r="E58" s="574">
        <v>0</v>
      </c>
      <c r="F58" s="571" t="e">
        <f t="shared" si="15"/>
        <v>#DIV/0!</v>
      </c>
      <c r="G58" s="794">
        <f>SUMIF(修正!A40:A51,项目基本情况!F9,修正!H45:H56)</f>
        <v>0.15</v>
      </c>
      <c r="H58" s="795"/>
      <c r="I58" s="296"/>
      <c r="J58" s="381"/>
      <c r="K58" s="382"/>
      <c r="L58" s="382"/>
      <c r="M58" s="296"/>
      <c r="N58" s="296"/>
      <c r="O58" s="296"/>
    </row>
    <row r="59" spans="1:17" s="572" customFormat="1">
      <c r="A59" s="573" t="s">
        <v>2472</v>
      </c>
      <c r="B59" s="94" t="e">
        <f t="shared" si="16"/>
        <v>#DIV/0!</v>
      </c>
      <c r="C59" s="51">
        <f t="shared" si="17"/>
        <v>0.15</v>
      </c>
      <c r="D59" s="980">
        <v>0.25</v>
      </c>
      <c r="E59" s="574">
        <v>0</v>
      </c>
      <c r="F59" s="571" t="e">
        <f t="shared" si="15"/>
        <v>#DIV/0!</v>
      </c>
      <c r="G59" s="794">
        <f>G58</f>
        <v>0.15</v>
      </c>
      <c r="H59" s="795"/>
      <c r="I59" s="388"/>
      <c r="J59" s="381"/>
      <c r="K59" s="382"/>
      <c r="L59" s="382"/>
      <c r="M59" s="296"/>
      <c r="N59" s="296"/>
      <c r="O59" s="296"/>
    </row>
    <row r="60" spans="1:17" s="572" customFormat="1">
      <c r="A60" s="573" t="s">
        <v>2473</v>
      </c>
      <c r="B60" s="94" t="e">
        <f t="shared" si="16"/>
        <v>#DIV/0!</v>
      </c>
      <c r="C60" s="51">
        <f t="shared" si="17"/>
        <v>0.15</v>
      </c>
      <c r="D60" s="980">
        <v>0.25</v>
      </c>
      <c r="E60" s="574">
        <v>0</v>
      </c>
      <c r="F60" s="571" t="e">
        <f t="shared" si="15"/>
        <v>#DIV/0!</v>
      </c>
      <c r="G60" s="794">
        <f>G58</f>
        <v>0.15</v>
      </c>
      <c r="H60" s="795"/>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8"/>
      <c r="H61" s="958"/>
      <c r="I61" s="304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80" t="str">
        <f>YEAR(C7)&amp;"-"&amp;MONTH(C7)&amp;"-1"</f>
        <v>2021-3-1</v>
      </c>
      <c r="D63" s="1180">
        <f>EDATE(C63,-3)</f>
        <v>44166</v>
      </c>
      <c r="E63" s="1180">
        <f t="shared" ref="E63:O63" si="18">EDATE(D63,-3)</f>
        <v>44075</v>
      </c>
      <c r="F63" s="1180">
        <f t="shared" si="18"/>
        <v>43983</v>
      </c>
      <c r="G63" s="1180">
        <f t="shared" si="18"/>
        <v>43891</v>
      </c>
      <c r="H63" s="1180">
        <f t="shared" si="18"/>
        <v>43800</v>
      </c>
      <c r="I63" s="1180">
        <f t="shared" si="18"/>
        <v>43709</v>
      </c>
      <c r="J63" s="1180">
        <f t="shared" si="18"/>
        <v>43617</v>
      </c>
      <c r="K63" s="1180">
        <f t="shared" si="18"/>
        <v>43525</v>
      </c>
      <c r="L63" s="1180">
        <f t="shared" si="18"/>
        <v>43435</v>
      </c>
      <c r="M63" s="1180">
        <f t="shared" si="18"/>
        <v>43344</v>
      </c>
      <c r="N63" s="1180">
        <f t="shared" si="18"/>
        <v>43252</v>
      </c>
      <c r="O63" s="1180">
        <f t="shared" si="18"/>
        <v>43160</v>
      </c>
    </row>
    <row r="64" spans="1:17" ht="21.75" thickBot="1">
      <c r="A64" s="618" t="s">
        <v>2376</v>
      </c>
      <c r="B64" s="616"/>
      <c r="C64" s="619"/>
      <c r="D64" s="619"/>
      <c r="E64" s="619"/>
      <c r="F64" s="620"/>
      <c r="G64" s="620"/>
      <c r="H64" s="619"/>
      <c r="I64" s="961"/>
      <c r="J64" s="961"/>
      <c r="K64" s="959"/>
      <c r="L64" s="960"/>
      <c r="M64" s="961"/>
      <c r="N64" s="961"/>
      <c r="O64" s="961"/>
      <c r="P64" s="389"/>
      <c r="Q64" s="390"/>
    </row>
    <row r="65" spans="1:17" s="394" customFormat="1" ht="15">
      <c r="A65" s="1593" t="s">
        <v>2475</v>
      </c>
      <c r="B65" s="1124"/>
      <c r="C65" s="1181" t="str">
        <f>YEAR(C63)&amp;"-"&amp;ROUNDUP(MONTH(C63)/3,0)</f>
        <v>2021-1</v>
      </c>
      <c r="D65" s="1181" t="str">
        <f t="shared" ref="D65:O65" si="19">YEAR(D63)&amp;"-"&amp;ROUNDUP(MONTH(D63)/3,0)</f>
        <v>2020-4</v>
      </c>
      <c r="E65" s="1181" t="str">
        <f t="shared" si="19"/>
        <v>2020-3</v>
      </c>
      <c r="F65" s="1181" t="str">
        <f t="shared" si="19"/>
        <v>2020-2</v>
      </c>
      <c r="G65" s="1181" t="str">
        <f t="shared" si="19"/>
        <v>2020-1</v>
      </c>
      <c r="H65" s="1181" t="str">
        <f t="shared" si="19"/>
        <v>2019-4</v>
      </c>
      <c r="I65" s="1181" t="str">
        <f t="shared" si="19"/>
        <v>2019-3</v>
      </c>
      <c r="J65" s="1181" t="str">
        <f t="shared" si="19"/>
        <v>2019-2</v>
      </c>
      <c r="K65" s="1181" t="str">
        <f t="shared" si="19"/>
        <v>2019-1</v>
      </c>
      <c r="L65" s="1181" t="str">
        <f t="shared" si="19"/>
        <v>2018-4</v>
      </c>
      <c r="M65" s="1181" t="str">
        <f t="shared" si="19"/>
        <v>2018-3</v>
      </c>
      <c r="N65" s="1181" t="str">
        <f t="shared" si="19"/>
        <v>2018-2</v>
      </c>
      <c r="O65" s="1181" t="str">
        <f t="shared" si="19"/>
        <v>2018-1</v>
      </c>
      <c r="P65" s="393"/>
    </row>
    <row r="66" spans="1:17" s="25" customFormat="1" ht="33.75" customHeight="1">
      <c r="A66" s="1598" t="s">
        <v>2495</v>
      </c>
      <c r="B66" s="200" t="str">
        <f>"北京市平均增长率"&amp;TEXT(基准地价修正!P24,"0.00%")</f>
        <v>北京市平均增长率1.19%</v>
      </c>
      <c r="C66" s="491">
        <v>100</v>
      </c>
      <c r="D66" s="483"/>
      <c r="E66" s="483"/>
      <c r="F66" s="483"/>
      <c r="G66" s="483"/>
      <c r="H66" s="483"/>
      <c r="I66" s="483"/>
      <c r="J66" s="483"/>
      <c r="K66" s="483"/>
      <c r="L66" s="483"/>
      <c r="M66" s="1179"/>
      <c r="N66" s="483"/>
      <c r="O66" s="1182"/>
      <c r="P66" s="390"/>
    </row>
    <row r="67" spans="1:17" s="25" customFormat="1" ht="15.75" thickBot="1">
      <c r="A67" s="400" t="s">
        <v>2296</v>
      </c>
      <c r="B67" s="401"/>
      <c r="C67" s="402"/>
      <c r="D67" s="403"/>
      <c r="E67" s="403"/>
      <c r="F67" s="403"/>
      <c r="G67" s="403"/>
      <c r="H67" s="403"/>
      <c r="I67" s="403"/>
      <c r="J67" s="403"/>
      <c r="K67" s="403"/>
      <c r="L67" s="403"/>
      <c r="M67" s="404"/>
      <c r="N67" s="403"/>
      <c r="O67" s="1183"/>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525" t="s">
        <v>779</v>
      </c>
      <c r="B1" s="3525"/>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f>IF(基准地价修正!E2="商业",SUMIF(基准地价修正!L1:L12,基准地价修正!G2,基准地价修正!N1:N12),"——")</f>
        <v>0.125</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f>估价对象房地状况!C10</f>
        <v>0</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24">
      <c r="A15" s="679" t="s">
        <v>722</v>
      </c>
      <c r="B15" s="685" t="str">
        <f>估价对象房地状况!C5</f>
        <v>估价对象位于XX商圈，周边办公楼项目较多，入驻率高，办公集聚程度较好</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f>估价对象房地状况!C10</f>
        <v>0</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f>估价对象房地状况!C10</f>
        <v>0</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8" priority="4" stopIfTrue="1" operator="notEqual">
      <formula>"——"</formula>
    </cfRule>
  </conditionalFormatting>
  <conditionalFormatting sqref="G15">
    <cfRule type="cellIs" dxfId="7" priority="3" stopIfTrue="1" operator="notEqual">
      <formula>"——"</formula>
    </cfRule>
  </conditionalFormatting>
  <conditionalFormatting sqref="G26">
    <cfRule type="cellIs" dxfId="6" priority="2" stopIfTrue="1" operator="notEqual">
      <formula>"——"</formula>
    </cfRule>
  </conditionalFormatting>
  <conditionalFormatting sqref="G37">
    <cfRule type="cellIs" dxfId="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1254</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1255</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估价对象为北京市房地产，为XX所有。根据《不动产权证书》[]，估价对象建筑面积为1715.28平方米。根据《》[]，估价对象（分摊）出让国有建设用地使用权面积为平方米。估价对象用途为。</v>
      </c>
      <c r="B6" s="1347"/>
      <c r="C6" s="1347"/>
      <c r="D6" s="1347"/>
      <c r="E6" s="1347"/>
      <c r="F6" s="1347"/>
      <c r="G6" s="1347"/>
    </row>
    <row r="7" spans="1:7" ht="18.75">
      <c r="A7" s="1348" t="s">
        <v>1256</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1257</v>
      </c>
      <c r="B9" s="1352"/>
    </row>
    <row r="10" spans="1:7" ht="18">
      <c r="A10" s="1353" t="str">
        <f>TEXT(项目基本情况!D2,"yyyy年m月d日;;")&amp;IF(项目基本情况!B2=项目基本情况!D2,"（评估专业人员实地查勘之日）","")</f>
        <v>2021年3月15日（评估专业人员实地查勘之日）</v>
      </c>
      <c r="B10" s="1354"/>
      <c r="C10" s="1354"/>
      <c r="D10" s="1354"/>
      <c r="E10" s="1354"/>
      <c r="F10" s="1354"/>
      <c r="G10" s="1354"/>
    </row>
    <row r="11" spans="1:7" ht="18.75">
      <c r="A11" s="1345" t="s">
        <v>1258</v>
      </c>
    </row>
    <row r="12" spans="1:7" ht="75">
      <c r="A12" s="1347" t="s">
        <v>1259</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c r="B13" s="1347"/>
      <c r="C13" s="1347"/>
      <c r="D13" s="1347"/>
      <c r="E13" s="1347"/>
      <c r="F13" s="1347"/>
      <c r="G13" s="1347"/>
    </row>
    <row r="14" spans="1:7" ht="72">
      <c r="A14" s="13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5"/>
      <c r="C14" s="1355"/>
      <c r="D14" s="1355"/>
      <c r="E14" s="1355"/>
      <c r="F14" s="1355"/>
      <c r="G14" s="1355"/>
    </row>
    <row r="15" spans="1:7" ht="56.25">
      <c r="A15" s="1347" t="s">
        <v>1253</v>
      </c>
      <c r="B15" s="1347"/>
      <c r="C15" s="1347"/>
      <c r="D15" s="1347"/>
      <c r="E15" s="1347"/>
      <c r="F15" s="1347"/>
      <c r="G15" s="1347"/>
    </row>
    <row r="16" spans="1:7" ht="54">
      <c r="A16" s="13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5"/>
      <c r="C16" s="1355"/>
      <c r="D16" s="1355"/>
      <c r="E16" s="1355"/>
      <c r="F16" s="1355"/>
      <c r="G16" s="1355"/>
    </row>
    <row r="17" spans="1:1" ht="18.75">
      <c r="A17" s="1345" t="s">
        <v>1252</v>
      </c>
    </row>
    <row r="18" spans="1:1" ht="18">
      <c r="A18" s="135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525" t="s">
        <v>105</v>
      </c>
      <c r="B1" s="3525"/>
      <c r="C1" s="3525"/>
      <c r="D1" s="3525"/>
      <c r="E1" s="3525"/>
      <c r="F1" s="352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526" t="s">
        <v>118</v>
      </c>
      <c r="B2" s="3526"/>
      <c r="C2" s="3526"/>
      <c r="D2" s="3526"/>
      <c r="E2" s="3526"/>
      <c r="F2" s="352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527"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528"/>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9810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2717</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529" t="s">
        <v>132</v>
      </c>
      <c r="B18" s="766" t="s">
        <v>517</v>
      </c>
      <c r="C18" s="767" t="s">
        <v>518</v>
      </c>
      <c r="D18" s="768"/>
      <c r="E18" s="766">
        <v>1</v>
      </c>
      <c r="F18" s="769" t="s">
        <v>519</v>
      </c>
      <c r="G18" s="770"/>
      <c r="H18" s="762"/>
      <c r="I18" s="762"/>
    </row>
    <row r="19" spans="1:9" s="771" customFormat="1" ht="19.5" customHeight="1">
      <c r="A19" s="3529"/>
      <c r="B19" s="3529" t="s">
        <v>520</v>
      </c>
      <c r="C19" s="767" t="s">
        <v>521</v>
      </c>
      <c r="D19" s="768"/>
      <c r="E19" s="766">
        <v>0.9</v>
      </c>
      <c r="F19" s="769" t="s">
        <v>522</v>
      </c>
      <c r="G19" s="770"/>
      <c r="H19" s="762"/>
      <c r="I19" s="762"/>
    </row>
    <row r="20" spans="1:9" s="771" customFormat="1" ht="19.5" customHeight="1">
      <c r="A20" s="3529"/>
      <c r="B20" s="3529"/>
      <c r="C20" s="767" t="s">
        <v>523</v>
      </c>
      <c r="D20" s="768"/>
      <c r="E20" s="766">
        <v>1.1000000000000001</v>
      </c>
      <c r="F20" s="769" t="s">
        <v>524</v>
      </c>
      <c r="G20" s="770"/>
      <c r="H20" s="762"/>
      <c r="I20" s="762"/>
    </row>
    <row r="21" spans="1:9" s="771" customFormat="1" ht="19.5" customHeight="1">
      <c r="A21" s="3529"/>
      <c r="B21" s="3529"/>
      <c r="C21" s="767" t="s">
        <v>525</v>
      </c>
      <c r="D21" s="768"/>
      <c r="E21" s="766">
        <v>0.8</v>
      </c>
      <c r="F21" s="769" t="s">
        <v>526</v>
      </c>
      <c r="G21" s="770"/>
      <c r="H21" s="762"/>
      <c r="I21" s="762"/>
    </row>
    <row r="22" spans="1:9" s="771" customFormat="1" ht="19.5" customHeight="1">
      <c r="A22" s="3529"/>
      <c r="B22" s="3529"/>
      <c r="C22" s="767" t="s">
        <v>527</v>
      </c>
      <c r="D22" s="768"/>
      <c r="E22" s="766">
        <v>0.5</v>
      </c>
      <c r="F22" s="769"/>
      <c r="G22" s="770"/>
      <c r="H22" s="762"/>
      <c r="I22" s="762"/>
    </row>
    <row r="23" spans="1:9" s="771" customFormat="1" ht="19.5" customHeight="1">
      <c r="A23" s="3529" t="s">
        <v>133</v>
      </c>
      <c r="B23" s="766" t="s">
        <v>517</v>
      </c>
      <c r="C23" s="767" t="s">
        <v>528</v>
      </c>
      <c r="D23" s="768"/>
      <c r="E23" s="766">
        <v>1</v>
      </c>
      <c r="F23" s="769" t="s">
        <v>529</v>
      </c>
      <c r="G23" s="770"/>
      <c r="H23" s="762"/>
      <c r="I23" s="762"/>
    </row>
    <row r="24" spans="1:9" s="771" customFormat="1" ht="19.5" customHeight="1">
      <c r="A24" s="3529"/>
      <c r="B24" s="3529" t="s">
        <v>520</v>
      </c>
      <c r="C24" s="767" t="s">
        <v>530</v>
      </c>
      <c r="D24" s="768"/>
      <c r="E24" s="766">
        <v>0.5</v>
      </c>
      <c r="F24" s="769"/>
      <c r="G24" s="770"/>
      <c r="H24" s="762"/>
      <c r="I24" s="762"/>
    </row>
    <row r="25" spans="1:9" s="771" customFormat="1" ht="19.5" customHeight="1">
      <c r="A25" s="3529"/>
      <c r="B25" s="3529"/>
      <c r="C25" s="767" t="s">
        <v>531</v>
      </c>
      <c r="D25" s="768"/>
      <c r="E25" s="766">
        <v>1.1000000000000001</v>
      </c>
      <c r="F25" s="769"/>
      <c r="G25" s="770"/>
      <c r="H25" s="762"/>
      <c r="I25" s="762"/>
    </row>
    <row r="26" spans="1:9" s="771" customFormat="1" ht="19.5" customHeight="1">
      <c r="A26" s="3529"/>
      <c r="B26" s="3529"/>
      <c r="C26" s="767" t="s">
        <v>532</v>
      </c>
      <c r="D26" s="768"/>
      <c r="E26" s="766">
        <v>1.1000000000000001</v>
      </c>
      <c r="F26" s="769"/>
      <c r="G26" s="770"/>
      <c r="H26" s="762"/>
      <c r="I26" s="762"/>
    </row>
    <row r="27" spans="1:9" s="771" customFormat="1" ht="19.5" customHeight="1">
      <c r="A27" s="3529"/>
      <c r="B27" s="3529"/>
      <c r="C27" s="767" t="s">
        <v>533</v>
      </c>
      <c r="D27" s="768"/>
      <c r="E27" s="766">
        <v>0.9</v>
      </c>
      <c r="F27" s="769" t="s">
        <v>534</v>
      </c>
      <c r="G27" s="770"/>
      <c r="H27" s="762"/>
      <c r="I27" s="762"/>
    </row>
    <row r="28" spans="1:9" s="771" customFormat="1" ht="19.5" customHeight="1">
      <c r="A28" s="3529"/>
      <c r="B28" s="3529"/>
      <c r="C28" s="767" t="s">
        <v>535</v>
      </c>
      <c r="D28" s="768"/>
      <c r="E28" s="766">
        <v>0.9</v>
      </c>
      <c r="F28" s="769" t="s">
        <v>536</v>
      </c>
      <c r="G28" s="770"/>
      <c r="H28" s="762"/>
      <c r="I28" s="762"/>
    </row>
    <row r="29" spans="1:9" s="771" customFormat="1" ht="19.5" customHeight="1">
      <c r="A29" s="3529"/>
      <c r="B29" s="3529"/>
      <c r="C29" s="767" t="s">
        <v>537</v>
      </c>
      <c r="D29" s="768"/>
      <c r="E29" s="766">
        <v>0.9</v>
      </c>
      <c r="F29" s="769" t="s">
        <v>538</v>
      </c>
      <c r="G29" s="770"/>
      <c r="H29" s="762"/>
      <c r="I29" s="762"/>
    </row>
    <row r="30" spans="1:9" s="771" customFormat="1" ht="19.5" customHeight="1">
      <c r="A30" s="3529"/>
      <c r="B30" s="3529"/>
      <c r="C30" s="767" t="s">
        <v>539</v>
      </c>
      <c r="D30" s="768"/>
      <c r="E30" s="766">
        <v>0.9</v>
      </c>
      <c r="F30" s="769" t="s">
        <v>540</v>
      </c>
      <c r="G30" s="770"/>
      <c r="H30" s="762"/>
      <c r="I30" s="762"/>
    </row>
    <row r="31" spans="1:9" s="771" customFormat="1" ht="19.5" customHeight="1">
      <c r="A31" s="3529"/>
      <c r="B31" s="3529"/>
      <c r="C31" s="767" t="s">
        <v>541</v>
      </c>
      <c r="D31" s="768"/>
      <c r="E31" s="766">
        <v>0.8</v>
      </c>
      <c r="F31" s="769" t="s">
        <v>542</v>
      </c>
      <c r="G31" s="770"/>
      <c r="H31" s="762"/>
      <c r="I31" s="762"/>
    </row>
    <row r="32" spans="1:9" s="771" customFormat="1" ht="19.5" customHeight="1">
      <c r="A32" s="3529"/>
      <c r="B32" s="3529"/>
      <c r="C32" s="767" t="s">
        <v>543</v>
      </c>
      <c r="D32" s="768"/>
      <c r="E32" s="766">
        <v>0.8</v>
      </c>
      <c r="F32" s="769" t="s">
        <v>544</v>
      </c>
      <c r="G32" s="770"/>
      <c r="H32" s="762"/>
      <c r="I32" s="762"/>
    </row>
    <row r="33" spans="1:9" s="771" customFormat="1" ht="19.5" customHeight="1">
      <c r="A33" s="3529" t="s">
        <v>134</v>
      </c>
      <c r="B33" s="766" t="s">
        <v>517</v>
      </c>
      <c r="C33" s="767" t="s">
        <v>545</v>
      </c>
      <c r="D33" s="768"/>
      <c r="E33" s="766">
        <v>1</v>
      </c>
      <c r="F33" s="769" t="s">
        <v>546</v>
      </c>
      <c r="G33" s="770"/>
      <c r="H33" s="762"/>
      <c r="I33" s="762"/>
    </row>
    <row r="34" spans="1:9" s="771" customFormat="1" ht="19.5" customHeight="1">
      <c r="A34" s="3529"/>
      <c r="B34" s="766" t="s">
        <v>520</v>
      </c>
      <c r="C34" s="767" t="s">
        <v>547</v>
      </c>
      <c r="D34" s="768"/>
      <c r="E34" s="766">
        <v>1.5</v>
      </c>
      <c r="F34" s="769" t="s">
        <v>548</v>
      </c>
      <c r="G34" s="770"/>
      <c r="H34" s="762"/>
      <c r="I34" s="762"/>
    </row>
    <row r="35" spans="1:9" s="771" customFormat="1" ht="19.5" customHeight="1">
      <c r="A35" s="3529" t="s">
        <v>135</v>
      </c>
      <c r="B35" s="766" t="s">
        <v>517</v>
      </c>
      <c r="C35" s="767" t="s">
        <v>549</v>
      </c>
      <c r="D35" s="768"/>
      <c r="E35" s="766">
        <v>1</v>
      </c>
      <c r="F35" s="769" t="s">
        <v>550</v>
      </c>
      <c r="G35" s="770"/>
      <c r="H35" s="762"/>
      <c r="I35" s="762"/>
    </row>
    <row r="36" spans="1:9" s="771" customFormat="1" ht="19.5" customHeight="1">
      <c r="A36" s="3529"/>
      <c r="B36" s="3529" t="s">
        <v>520</v>
      </c>
      <c r="C36" s="767" t="s">
        <v>551</v>
      </c>
      <c r="D36" s="768"/>
      <c r="E36" s="766">
        <v>1</v>
      </c>
      <c r="F36" s="769" t="s">
        <v>552</v>
      </c>
      <c r="G36" s="770"/>
      <c r="H36" s="762"/>
      <c r="I36" s="762"/>
    </row>
    <row r="37" spans="1:9" s="771" customFormat="1" ht="19.5" customHeight="1">
      <c r="A37" s="3529"/>
      <c r="B37" s="3529"/>
      <c r="C37" s="767" t="s">
        <v>553</v>
      </c>
      <c r="D37" s="768"/>
      <c r="E37" s="766">
        <v>1.5</v>
      </c>
      <c r="F37" s="769" t="s">
        <v>554</v>
      </c>
      <c r="G37" s="770"/>
      <c r="H37" s="762"/>
      <c r="I37" s="762"/>
    </row>
    <row r="38" spans="1:9" s="771" customFormat="1" ht="19.5" customHeight="1">
      <c r="A38" s="3529"/>
      <c r="B38" s="3529"/>
      <c r="C38" s="767" t="s">
        <v>555</v>
      </c>
      <c r="D38" s="768"/>
      <c r="E38" s="766">
        <v>1</v>
      </c>
      <c r="F38" s="769" t="s">
        <v>556</v>
      </c>
      <c r="G38" s="770"/>
      <c r="H38" s="762"/>
      <c r="I38" s="762"/>
    </row>
    <row r="39" spans="1:9" s="771" customFormat="1" ht="19.5" customHeight="1">
      <c r="A39" s="3529"/>
      <c r="B39" s="3529"/>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529" t="s">
        <v>571</v>
      </c>
      <c r="C61" s="680" t="s">
        <v>572</v>
      </c>
      <c r="D61" s="680" t="s">
        <v>573</v>
      </c>
      <c r="E61" s="779">
        <v>0.5</v>
      </c>
      <c r="F61" s="766">
        <v>80</v>
      </c>
    </row>
    <row r="62" spans="1:8" s="762" customFormat="1" ht="24">
      <c r="A62" s="766">
        <v>2</v>
      </c>
      <c r="B62" s="3529"/>
      <c r="C62" s="680" t="s">
        <v>574</v>
      </c>
      <c r="D62" s="680" t="s">
        <v>575</v>
      </c>
      <c r="E62" s="779">
        <v>0.5</v>
      </c>
      <c r="F62" s="766">
        <v>80</v>
      </c>
    </row>
    <row r="63" spans="1:8" s="762" customFormat="1" ht="36">
      <c r="A63" s="766">
        <v>3</v>
      </c>
      <c r="B63" s="3529"/>
      <c r="C63" s="680" t="s">
        <v>576</v>
      </c>
      <c r="D63" s="680" t="s">
        <v>577</v>
      </c>
      <c r="E63" s="779">
        <v>0.5</v>
      </c>
      <c r="F63" s="766">
        <v>80</v>
      </c>
    </row>
    <row r="64" spans="1:8" s="762" customFormat="1" ht="36">
      <c r="A64" s="766">
        <v>4</v>
      </c>
      <c r="B64" s="3529"/>
      <c r="C64" s="680" t="s">
        <v>578</v>
      </c>
      <c r="D64" s="680" t="s">
        <v>579</v>
      </c>
      <c r="E64" s="779">
        <v>0.4</v>
      </c>
      <c r="F64" s="766">
        <v>60</v>
      </c>
    </row>
    <row r="65" spans="1:6" s="762" customFormat="1" ht="36">
      <c r="A65" s="766">
        <v>5</v>
      </c>
      <c r="B65" s="3529"/>
      <c r="C65" s="680" t="s">
        <v>580</v>
      </c>
      <c r="D65" s="680" t="s">
        <v>581</v>
      </c>
      <c r="E65" s="779">
        <v>0.2</v>
      </c>
      <c r="F65" s="766">
        <v>30</v>
      </c>
    </row>
    <row r="66" spans="1:6" s="762" customFormat="1" ht="36">
      <c r="A66" s="766">
        <v>6</v>
      </c>
      <c r="B66" s="3529"/>
      <c r="C66" s="680" t="s">
        <v>582</v>
      </c>
      <c r="D66" s="680" t="s">
        <v>583</v>
      </c>
      <c r="E66" s="779">
        <v>0.3</v>
      </c>
      <c r="F66" s="766">
        <v>50</v>
      </c>
    </row>
    <row r="67" spans="1:6" s="762" customFormat="1" ht="36">
      <c r="A67" s="766">
        <v>7</v>
      </c>
      <c r="B67" s="3529"/>
      <c r="C67" s="680" t="s">
        <v>584</v>
      </c>
      <c r="D67" s="680" t="s">
        <v>585</v>
      </c>
      <c r="E67" s="779">
        <v>0.2</v>
      </c>
      <c r="F67" s="766">
        <v>30</v>
      </c>
    </row>
    <row r="68" spans="1:6" s="762" customFormat="1" ht="36">
      <c r="A68" s="766">
        <v>8</v>
      </c>
      <c r="B68" s="3529"/>
      <c r="C68" s="680" t="s">
        <v>586</v>
      </c>
      <c r="D68" s="680" t="s">
        <v>587</v>
      </c>
      <c r="E68" s="779">
        <v>0.2</v>
      </c>
      <c r="F68" s="766">
        <v>30</v>
      </c>
    </row>
    <row r="69" spans="1:6" s="762" customFormat="1" ht="36">
      <c r="A69" s="766">
        <v>9</v>
      </c>
      <c r="B69" s="3529"/>
      <c r="C69" s="680" t="s">
        <v>588</v>
      </c>
      <c r="D69" s="680" t="s">
        <v>589</v>
      </c>
      <c r="E69" s="779">
        <v>0.2</v>
      </c>
      <c r="F69" s="766">
        <v>30</v>
      </c>
    </row>
    <row r="70" spans="1:6" s="762" customFormat="1" ht="48">
      <c r="A70" s="766">
        <v>10</v>
      </c>
      <c r="B70" s="3529"/>
      <c r="C70" s="680" t="s">
        <v>590</v>
      </c>
      <c r="D70" s="680" t="s">
        <v>591</v>
      </c>
      <c r="E70" s="779">
        <v>0.2</v>
      </c>
      <c r="F70" s="766">
        <v>30</v>
      </c>
    </row>
    <row r="71" spans="1:6" s="762" customFormat="1" ht="48">
      <c r="A71" s="766">
        <v>11</v>
      </c>
      <c r="B71" s="3529"/>
      <c r="C71" s="680" t="s">
        <v>592</v>
      </c>
      <c r="D71" s="680" t="s">
        <v>593</v>
      </c>
      <c r="E71" s="779">
        <v>0.2</v>
      </c>
      <c r="F71" s="766">
        <v>30</v>
      </c>
    </row>
    <row r="72" spans="1:6" s="762" customFormat="1" ht="36">
      <c r="A72" s="766">
        <v>12</v>
      </c>
      <c r="B72" s="3529"/>
      <c r="C72" s="680" t="s">
        <v>594</v>
      </c>
      <c r="D72" s="680" t="s">
        <v>595</v>
      </c>
      <c r="E72" s="779">
        <v>0.5</v>
      </c>
      <c r="F72" s="766">
        <v>80</v>
      </c>
    </row>
    <row r="73" spans="1:6" s="762" customFormat="1" ht="24">
      <c r="A73" s="766">
        <v>13</v>
      </c>
      <c r="B73" s="3529"/>
      <c r="C73" s="680" t="s">
        <v>596</v>
      </c>
      <c r="D73" s="680" t="s">
        <v>597</v>
      </c>
      <c r="E73" s="779">
        <v>0.4</v>
      </c>
      <c r="F73" s="766">
        <v>60</v>
      </c>
    </row>
    <row r="74" spans="1:6" s="762" customFormat="1" ht="24">
      <c r="A74" s="766">
        <v>14</v>
      </c>
      <c r="B74" s="3529"/>
      <c r="C74" s="680" t="s">
        <v>598</v>
      </c>
      <c r="D74" s="680" t="s">
        <v>599</v>
      </c>
      <c r="E74" s="779">
        <v>0.2</v>
      </c>
      <c r="F74" s="766">
        <v>30</v>
      </c>
    </row>
    <row r="75" spans="1:6" s="762" customFormat="1" ht="24">
      <c r="A75" s="766">
        <v>15</v>
      </c>
      <c r="B75" s="3529"/>
      <c r="C75" s="680" t="s">
        <v>600</v>
      </c>
      <c r="D75" s="680" t="s">
        <v>601</v>
      </c>
      <c r="E75" s="779">
        <v>0.2</v>
      </c>
      <c r="F75" s="766">
        <v>30</v>
      </c>
    </row>
    <row r="76" spans="1:6" s="762" customFormat="1" ht="24">
      <c r="A76" s="766">
        <v>16</v>
      </c>
      <c r="B76" s="3529" t="s">
        <v>602</v>
      </c>
      <c r="C76" s="680" t="s">
        <v>603</v>
      </c>
      <c r="D76" s="680" t="s">
        <v>604</v>
      </c>
      <c r="E76" s="779">
        <v>0.5</v>
      </c>
      <c r="F76" s="766">
        <v>80</v>
      </c>
    </row>
    <row r="77" spans="1:6" s="762" customFormat="1" ht="24">
      <c r="A77" s="766">
        <v>17</v>
      </c>
      <c r="B77" s="3529"/>
      <c r="C77" s="680" t="s">
        <v>605</v>
      </c>
      <c r="D77" s="680" t="s">
        <v>606</v>
      </c>
      <c r="E77" s="779">
        <v>0.5</v>
      </c>
      <c r="F77" s="766">
        <v>80</v>
      </c>
    </row>
    <row r="78" spans="1:6" s="762" customFormat="1" ht="24">
      <c r="A78" s="766">
        <v>18</v>
      </c>
      <c r="B78" s="3529"/>
      <c r="C78" s="680" t="s">
        <v>607</v>
      </c>
      <c r="D78" s="680" t="s">
        <v>608</v>
      </c>
      <c r="E78" s="779">
        <v>0.2</v>
      </c>
      <c r="F78" s="766">
        <v>30</v>
      </c>
    </row>
    <row r="79" spans="1:6" s="762" customFormat="1" ht="24">
      <c r="A79" s="766">
        <v>19</v>
      </c>
      <c r="B79" s="3529"/>
      <c r="C79" s="680" t="s">
        <v>609</v>
      </c>
      <c r="D79" s="680" t="s">
        <v>610</v>
      </c>
      <c r="E79" s="779">
        <v>0.5</v>
      </c>
      <c r="F79" s="766">
        <v>80</v>
      </c>
    </row>
    <row r="80" spans="1:6" s="762" customFormat="1" ht="36">
      <c r="A80" s="766">
        <v>20</v>
      </c>
      <c r="B80" s="3529"/>
      <c r="C80" s="680" t="s">
        <v>611</v>
      </c>
      <c r="D80" s="680" t="s">
        <v>612</v>
      </c>
      <c r="E80" s="779">
        <v>0.2</v>
      </c>
      <c r="F80" s="766">
        <v>30</v>
      </c>
    </row>
    <row r="81" spans="1:6" s="762" customFormat="1" ht="36">
      <c r="A81" s="766">
        <v>21</v>
      </c>
      <c r="B81" s="3529"/>
      <c r="C81" s="680" t="s">
        <v>613</v>
      </c>
      <c r="D81" s="680" t="s">
        <v>614</v>
      </c>
      <c r="E81" s="779">
        <v>0.2</v>
      </c>
      <c r="F81" s="766">
        <v>30</v>
      </c>
    </row>
    <row r="82" spans="1:6" s="762" customFormat="1" ht="48">
      <c r="A82" s="766">
        <v>22</v>
      </c>
      <c r="B82" s="3529"/>
      <c r="C82" s="680" t="s">
        <v>615</v>
      </c>
      <c r="D82" s="680" t="s">
        <v>616</v>
      </c>
      <c r="E82" s="779">
        <v>0.2</v>
      </c>
      <c r="F82" s="766">
        <v>30</v>
      </c>
    </row>
    <row r="83" spans="1:6" s="762" customFormat="1" ht="48">
      <c r="A83" s="766">
        <v>23</v>
      </c>
      <c r="B83" s="3529"/>
      <c r="C83" s="680" t="s">
        <v>617</v>
      </c>
      <c r="D83" s="680" t="s">
        <v>618</v>
      </c>
      <c r="E83" s="779">
        <v>0.2</v>
      </c>
      <c r="F83" s="766">
        <v>30</v>
      </c>
    </row>
    <row r="84" spans="1:6" s="762" customFormat="1" ht="36">
      <c r="A84" s="766">
        <v>24</v>
      </c>
      <c r="B84" s="3529"/>
      <c r="C84" s="680" t="s">
        <v>619</v>
      </c>
      <c r="D84" s="680" t="s">
        <v>620</v>
      </c>
      <c r="E84" s="779">
        <v>0.2</v>
      </c>
      <c r="F84" s="766">
        <v>30</v>
      </c>
    </row>
    <row r="85" spans="1:6" s="762" customFormat="1" ht="36">
      <c r="A85" s="766">
        <v>25</v>
      </c>
      <c r="B85" s="3529"/>
      <c r="C85" s="680" t="s">
        <v>621</v>
      </c>
      <c r="D85" s="680" t="s">
        <v>622</v>
      </c>
      <c r="E85" s="779">
        <v>0.5</v>
      </c>
      <c r="F85" s="766">
        <v>80</v>
      </c>
    </row>
    <row r="86" spans="1:6" s="762" customFormat="1" ht="36">
      <c r="A86" s="766">
        <v>26</v>
      </c>
      <c r="B86" s="3529"/>
      <c r="C86" s="680" t="s">
        <v>623</v>
      </c>
      <c r="D86" s="680" t="s">
        <v>624</v>
      </c>
      <c r="E86" s="779">
        <v>0.2</v>
      </c>
      <c r="F86" s="766">
        <v>30</v>
      </c>
    </row>
    <row r="87" spans="1:6" s="762" customFormat="1" ht="36">
      <c r="A87" s="766">
        <v>27</v>
      </c>
      <c r="B87" s="3529"/>
      <c r="C87" s="680" t="s">
        <v>625</v>
      </c>
      <c r="D87" s="680" t="s">
        <v>626</v>
      </c>
      <c r="E87" s="779">
        <v>0.2</v>
      </c>
      <c r="F87" s="766">
        <v>30</v>
      </c>
    </row>
    <row r="88" spans="1:6" s="762" customFormat="1" ht="36">
      <c r="A88" s="766">
        <v>28</v>
      </c>
      <c r="B88" s="3529"/>
      <c r="C88" s="680" t="s">
        <v>627</v>
      </c>
      <c r="D88" s="680" t="s">
        <v>628</v>
      </c>
      <c r="E88" s="779">
        <v>0.2</v>
      </c>
      <c r="F88" s="766">
        <v>30</v>
      </c>
    </row>
    <row r="89" spans="1:6" s="762" customFormat="1" ht="24">
      <c r="A89" s="766">
        <v>29</v>
      </c>
      <c r="B89" s="3529"/>
      <c r="C89" s="680" t="s">
        <v>629</v>
      </c>
      <c r="D89" s="680" t="s">
        <v>630</v>
      </c>
      <c r="E89" s="779">
        <v>0.2</v>
      </c>
      <c r="F89" s="766">
        <v>30</v>
      </c>
    </row>
    <row r="90" spans="1:6" s="762" customFormat="1" ht="24">
      <c r="A90" s="766">
        <v>30</v>
      </c>
      <c r="B90" s="3529"/>
      <c r="C90" s="680" t="s">
        <v>631</v>
      </c>
      <c r="D90" s="680" t="s">
        <v>632</v>
      </c>
      <c r="E90" s="779">
        <v>0.2</v>
      </c>
      <c r="F90" s="766">
        <v>30</v>
      </c>
    </row>
    <row r="91" spans="1:6" s="762" customFormat="1" ht="36">
      <c r="A91" s="766">
        <v>31</v>
      </c>
      <c r="B91" s="3529"/>
      <c r="C91" s="680" t="s">
        <v>633</v>
      </c>
      <c r="D91" s="680" t="s">
        <v>634</v>
      </c>
      <c r="E91" s="779">
        <v>0.2</v>
      </c>
      <c r="F91" s="766">
        <v>30</v>
      </c>
    </row>
    <row r="92" spans="1:6" s="762" customFormat="1" ht="24">
      <c r="A92" s="766">
        <v>32</v>
      </c>
      <c r="B92" s="3529" t="s">
        <v>635</v>
      </c>
      <c r="C92" s="766" t="s">
        <v>636</v>
      </c>
      <c r="D92" s="680" t="s">
        <v>637</v>
      </c>
      <c r="E92" s="779">
        <v>0.2</v>
      </c>
      <c r="F92" s="766">
        <v>30</v>
      </c>
    </row>
    <row r="93" spans="1:6" s="762" customFormat="1" ht="36">
      <c r="A93" s="766">
        <v>33</v>
      </c>
      <c r="B93" s="3529"/>
      <c r="C93" s="766" t="s">
        <v>638</v>
      </c>
      <c r="D93" s="680" t="s">
        <v>639</v>
      </c>
      <c r="E93" s="779">
        <v>0.2</v>
      </c>
      <c r="F93" s="766">
        <v>30</v>
      </c>
    </row>
    <row r="94" spans="1:6" s="762" customFormat="1" ht="48">
      <c r="A94" s="766">
        <v>34</v>
      </c>
      <c r="B94" s="3529"/>
      <c r="C94" s="766" t="s">
        <v>640</v>
      </c>
      <c r="D94" s="680" t="s">
        <v>641</v>
      </c>
      <c r="E94" s="779">
        <v>0.2</v>
      </c>
      <c r="F94" s="766">
        <v>30</v>
      </c>
    </row>
    <row r="95" spans="1:6" s="762" customFormat="1" ht="36">
      <c r="A95" s="766">
        <v>35</v>
      </c>
      <c r="B95" s="3529"/>
      <c r="C95" s="766" t="s">
        <v>642</v>
      </c>
      <c r="D95" s="680" t="s">
        <v>643</v>
      </c>
      <c r="E95" s="779">
        <v>0.2</v>
      </c>
      <c r="F95" s="766">
        <v>30</v>
      </c>
    </row>
    <row r="96" spans="1:6" s="762" customFormat="1" ht="48">
      <c r="A96" s="766">
        <v>36</v>
      </c>
      <c r="B96" s="3529"/>
      <c r="C96" s="680" t="s">
        <v>644</v>
      </c>
      <c r="D96" s="680" t="s">
        <v>645</v>
      </c>
      <c r="E96" s="779">
        <v>0.2</v>
      </c>
      <c r="F96" s="766">
        <v>30</v>
      </c>
    </row>
    <row r="97" spans="1:6" s="762" customFormat="1" ht="36">
      <c r="A97" s="766">
        <v>37</v>
      </c>
      <c r="B97" s="3529"/>
      <c r="C97" s="766" t="s">
        <v>646</v>
      </c>
      <c r="D97" s="680" t="s">
        <v>647</v>
      </c>
      <c r="E97" s="779">
        <v>0.2</v>
      </c>
      <c r="F97" s="766">
        <v>30</v>
      </c>
    </row>
    <row r="98" spans="1:6" s="762" customFormat="1" ht="36">
      <c r="A98" s="766">
        <v>38</v>
      </c>
      <c r="B98" s="3529"/>
      <c r="C98" s="766" t="s">
        <v>648</v>
      </c>
      <c r="D98" s="680" t="s">
        <v>649</v>
      </c>
      <c r="E98" s="779">
        <v>0.2</v>
      </c>
      <c r="F98" s="766">
        <v>30</v>
      </c>
    </row>
    <row r="99" spans="1:6" s="762" customFormat="1" ht="36">
      <c r="A99" s="766">
        <v>39</v>
      </c>
      <c r="B99" s="3529" t="s">
        <v>650</v>
      </c>
      <c r="C99" s="766" t="s">
        <v>651</v>
      </c>
      <c r="D99" s="680" t="s">
        <v>652</v>
      </c>
      <c r="E99" s="779">
        <v>0.3</v>
      </c>
      <c r="F99" s="766">
        <v>50</v>
      </c>
    </row>
    <row r="100" spans="1:6" s="762" customFormat="1" ht="24">
      <c r="A100" s="766">
        <v>40</v>
      </c>
      <c r="B100" s="3529"/>
      <c r="C100" s="766" t="s">
        <v>653</v>
      </c>
      <c r="D100" s="680" t="s">
        <v>654</v>
      </c>
      <c r="E100" s="779">
        <v>0.2</v>
      </c>
      <c r="F100" s="766">
        <v>30</v>
      </c>
    </row>
    <row r="101" spans="1:6" s="762" customFormat="1" ht="36">
      <c r="A101" s="766">
        <v>41</v>
      </c>
      <c r="B101" s="3529"/>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529" t="s">
        <v>665</v>
      </c>
      <c r="C105" s="766" t="s">
        <v>666</v>
      </c>
      <c r="D105" s="680" t="s">
        <v>667</v>
      </c>
      <c r="E105" s="779">
        <v>0.2</v>
      </c>
      <c r="F105" s="766">
        <v>30</v>
      </c>
    </row>
    <row r="106" spans="1:6" s="762" customFormat="1" ht="36">
      <c r="A106" s="766">
        <v>46</v>
      </c>
      <c r="B106" s="3529"/>
      <c r="C106" s="766" t="s">
        <v>668</v>
      </c>
      <c r="D106" s="680" t="s">
        <v>669</v>
      </c>
      <c r="E106" s="779">
        <v>0.2</v>
      </c>
      <c r="F106" s="766">
        <v>30</v>
      </c>
    </row>
    <row r="107" spans="1:6" s="762" customFormat="1" ht="36">
      <c r="A107" s="766">
        <v>47</v>
      </c>
      <c r="B107" s="3529" t="s">
        <v>670</v>
      </c>
      <c r="C107" s="766" t="s">
        <v>671</v>
      </c>
      <c r="D107" s="680" t="s">
        <v>672</v>
      </c>
      <c r="E107" s="779">
        <v>0.3</v>
      </c>
      <c r="F107" s="766">
        <v>50</v>
      </c>
    </row>
    <row r="108" spans="1:6" s="762" customFormat="1" ht="36">
      <c r="A108" s="766">
        <v>48</v>
      </c>
      <c r="B108" s="3529"/>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529" t="s">
        <v>681</v>
      </c>
      <c r="C111" s="766" t="s">
        <v>682</v>
      </c>
      <c r="D111" s="680" t="s">
        <v>683</v>
      </c>
      <c r="E111" s="779">
        <v>0.2</v>
      </c>
      <c r="F111" s="766">
        <v>30</v>
      </c>
    </row>
    <row r="112" spans="1:6" s="762" customFormat="1" ht="24">
      <c r="A112" s="766">
        <v>52</v>
      </c>
      <c r="B112" s="3529"/>
      <c r="C112" s="766" t="s">
        <v>684</v>
      </c>
      <c r="D112" s="680" t="s">
        <v>685</v>
      </c>
      <c r="E112" s="779">
        <v>0.2</v>
      </c>
      <c r="F112" s="766">
        <v>30</v>
      </c>
    </row>
    <row r="113" spans="1:6" s="762" customFormat="1" ht="24">
      <c r="A113" s="766">
        <v>53</v>
      </c>
      <c r="B113" s="3529"/>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529" t="s">
        <v>694</v>
      </c>
      <c r="C116" s="766" t="s">
        <v>695</v>
      </c>
      <c r="D116" s="680" t="s">
        <v>696</v>
      </c>
      <c r="E116" s="779">
        <v>0.2</v>
      </c>
      <c r="F116" s="766">
        <v>30</v>
      </c>
    </row>
    <row r="117" spans="1:6" ht="36">
      <c r="A117" s="766">
        <v>57</v>
      </c>
      <c r="B117" s="3529"/>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0.89929999999999999</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35" t="s">
        <v>1020</v>
      </c>
      <c r="C1" s="3535"/>
      <c r="D1" s="3535"/>
      <c r="E1" s="3535"/>
      <c r="F1" s="3535"/>
      <c r="G1" s="3534" t="s">
        <v>1021</v>
      </c>
      <c r="H1" s="3534"/>
      <c r="I1" s="3534"/>
      <c r="J1" s="3534"/>
      <c r="K1" s="3534"/>
      <c r="L1" s="3534"/>
      <c r="N1" s="3534" t="s">
        <v>1022</v>
      </c>
      <c r="O1" s="3534"/>
      <c r="P1" s="3534"/>
      <c r="Q1" s="3534"/>
      <c r="S1" s="3534" t="s">
        <v>1023</v>
      </c>
      <c r="T1" s="3534"/>
      <c r="U1" s="3534"/>
      <c r="V1" s="3534"/>
      <c r="X1" s="3533" t="s">
        <v>1024</v>
      </c>
      <c r="Y1" s="3534"/>
      <c r="Z1" s="3534"/>
      <c r="AA1" s="3534"/>
      <c r="AB1" s="3534"/>
      <c r="AD1" s="3533" t="s">
        <v>1025</v>
      </c>
      <c r="AE1" s="3534"/>
      <c r="AF1" s="3534"/>
      <c r="AG1" s="3534"/>
      <c r="AH1" s="3534"/>
    </row>
    <row r="2" spans="1:34" s="2332" customFormat="1" ht="14.25" thickBot="1">
      <c r="B2" s="2333" t="s">
        <v>1026</v>
      </c>
      <c r="C2" s="2333" t="s">
        <v>1027</v>
      </c>
      <c r="D2" s="2334" t="s">
        <v>1028</v>
      </c>
      <c r="E2" s="2334" t="s">
        <v>1029</v>
      </c>
      <c r="F2" s="2333" t="s">
        <v>1030</v>
      </c>
      <c r="G2" s="2335"/>
      <c r="I2" s="2333" t="s">
        <v>1247</v>
      </c>
      <c r="J2" s="2334" t="s">
        <v>1248</v>
      </c>
      <c r="K2" s="2334" t="s">
        <v>1249</v>
      </c>
      <c r="L2" s="2333" t="s">
        <v>1250</v>
      </c>
      <c r="N2" s="2333" t="s">
        <v>1026</v>
      </c>
      <c r="O2" s="2334" t="s">
        <v>1251</v>
      </c>
      <c r="P2" s="2334" t="s">
        <v>728</v>
      </c>
      <c r="Q2" s="2333" t="s">
        <v>1030</v>
      </c>
      <c r="S2" s="2333" t="s">
        <v>1026</v>
      </c>
      <c r="T2" s="2334" t="s">
        <v>1251</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2704</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2884</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7">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2703</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2885</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7">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2883</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6">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2735</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2732</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2730</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2727</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2721</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2722</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2716</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31">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2711</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31"/>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2710</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31"/>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2708</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40"/>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2705</v>
      </c>
      <c r="B18" s="2377">
        <v>439</v>
      </c>
      <c r="C18" s="2377">
        <v>327</v>
      </c>
      <c r="D18" s="2377">
        <f t="shared" si="125"/>
        <v>327</v>
      </c>
      <c r="E18" s="2377">
        <v>627</v>
      </c>
      <c r="F18" s="2378">
        <v>283</v>
      </c>
      <c r="G18" s="3536">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2702</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31"/>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1246</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31"/>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40"/>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36">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31"/>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31"/>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32"/>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30">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31"/>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31"/>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32"/>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30">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31"/>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31"/>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32"/>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37">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38"/>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38"/>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39"/>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30">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31"/>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31"/>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32"/>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30">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31">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31">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32">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30">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31">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31">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32">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30">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31">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31">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32">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30">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31">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31">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32">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30">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31">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31">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32">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30">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31">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31">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32">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30">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31">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31">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32">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30">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31">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31">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32">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30">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31">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31">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32">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30">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31">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31">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32">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44270</v>
      </c>
      <c r="D1" s="1291" t="s">
        <v>1173</v>
      </c>
      <c r="E1" s="1297">
        <f>'数据-取费表'!B24</f>
        <v>1</v>
      </c>
      <c r="F1" s="1291" t="s">
        <v>1174</v>
      </c>
      <c r="G1" s="1298">
        <f ca="1">INDIRECT("d"&amp;$K$1)/100</f>
        <v>3.85E-2</v>
      </c>
      <c r="H1" s="1291" t="s">
        <v>1204</v>
      </c>
      <c r="I1" s="1298">
        <f ca="1">F4/100</f>
        <v>1.4999999999999999E-2</v>
      </c>
      <c r="J1" s="1292">
        <f>IF(C1&gt;C13,0,MATCH(C1,C$13:C$105,-1))+IF(SUMIF(C13:C105,C1,D13:D105)=0,13,12)</f>
        <v>13</v>
      </c>
      <c r="K1" s="1292">
        <f ca="1">MATCH(E1,C3:C7,1)+IF(SUMIF(C3:C7,E1,D3:D7)=0,2,1)</f>
        <v>4</v>
      </c>
      <c r="L1" s="1292">
        <f>IF(C1&gt;M13,0,MATCH(C1,M$13:M$101,-1))+IF(SUMIF(M13:M101,C1,N13:N101)=0,13,12)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3.85</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3.85</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3.85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3.85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4.6500000000000004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51" customFormat="1" ht="14.25">
      <c r="A17" s="3148"/>
      <c r="B17" s="1278" t="s">
        <v>2886</v>
      </c>
      <c r="C17" s="1287">
        <v>43697</v>
      </c>
      <c r="D17" s="3149">
        <v>4.25</v>
      </c>
      <c r="E17" s="3149">
        <f>D17</f>
        <v>4.25</v>
      </c>
      <c r="F17" s="3149">
        <f>D17</f>
        <v>4.25</v>
      </c>
      <c r="G17" s="3149">
        <f>D17</f>
        <v>4.25</v>
      </c>
      <c r="H17" s="3149">
        <v>4.8499999999999996</v>
      </c>
      <c r="I17" s="3149"/>
      <c r="J17" s="3149"/>
      <c r="K17" s="3148"/>
      <c r="L17" s="1284"/>
      <c r="M17" s="1285">
        <v>42135</v>
      </c>
      <c r="N17" s="1284">
        <v>0.35</v>
      </c>
      <c r="O17" s="1284">
        <v>1.85</v>
      </c>
      <c r="P17" s="1284">
        <v>2.0499999999999998</v>
      </c>
      <c r="Q17" s="1284">
        <v>2.25</v>
      </c>
      <c r="R17" s="1284">
        <v>2.85</v>
      </c>
      <c r="S17" s="1284">
        <v>3.5</v>
      </c>
      <c r="T17" s="1284"/>
      <c r="U17" s="1284"/>
      <c r="V17" s="1284"/>
      <c r="W17" s="1284"/>
      <c r="X17" s="1284"/>
      <c r="Y17" s="1284"/>
      <c r="Z17" s="1284"/>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F33" sqref="F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2208</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2209</v>
      </c>
      <c r="B2" s="250">
        <f>B23</f>
        <v>1921</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2210</v>
      </c>
      <c r="B3" s="250">
        <f>B24</f>
        <v>22157</v>
      </c>
      <c r="C3" s="900" t="s">
        <v>2211</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2212</v>
      </c>
      <c r="C4" s="3544" t="s">
        <v>2213</v>
      </c>
      <c r="D4" s="3545"/>
      <c r="E4" s="3545"/>
      <c r="F4" s="3545"/>
      <c r="G4" s="3545"/>
      <c r="H4" s="3545"/>
      <c r="I4" s="3545"/>
      <c r="J4" s="3545"/>
      <c r="K4" s="3545"/>
      <c r="L4" s="3545"/>
      <c r="M4" s="3545"/>
      <c r="N4" s="3545"/>
      <c r="O4" s="3545"/>
      <c r="P4" s="3545"/>
      <c r="Q4" s="3545"/>
      <c r="R4" s="3545"/>
      <c r="S4" s="3546"/>
      <c r="T4" s="575" t="s">
        <v>2214</v>
      </c>
      <c r="U4" s="997"/>
      <c r="V4" s="997"/>
      <c r="X4" s="997"/>
      <c r="Y4" s="997"/>
    </row>
    <row r="5" spans="1:44" s="587" customFormat="1" ht="38.25">
      <c r="A5" s="1001"/>
      <c r="B5" s="583" t="s">
        <v>2215</v>
      </c>
      <c r="C5" s="584" t="str">
        <f t="shared" ref="C5:L5" si="0">C6&amp;"(含)"&amp;"-"&amp;D6</f>
        <v>0(含)-50</v>
      </c>
      <c r="D5" s="585" t="str">
        <f t="shared" si="0"/>
        <v>50(含)-100</v>
      </c>
      <c r="E5" s="585" t="str">
        <f t="shared" si="0"/>
        <v>100(含)-200</v>
      </c>
      <c r="F5" s="585" t="str">
        <f t="shared" si="0"/>
        <v>200(含)-300</v>
      </c>
      <c r="G5" s="585" t="str">
        <f t="shared" si="0"/>
        <v>300(含)-400</v>
      </c>
      <c r="H5" s="585" t="str">
        <f t="shared" si="0"/>
        <v>400(含)-500</v>
      </c>
      <c r="I5" s="585" t="str">
        <f t="shared" si="0"/>
        <v>500(含)-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1900">
        <v>0</v>
      </c>
      <c r="D6" s="1900">
        <v>50</v>
      </c>
      <c r="E6" s="1900">
        <v>100</v>
      </c>
      <c r="F6" s="1900">
        <v>200</v>
      </c>
      <c r="G6" s="1900">
        <v>300</v>
      </c>
      <c r="H6" s="1900">
        <v>400</v>
      </c>
      <c r="I6" s="1900">
        <v>500</v>
      </c>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1873">
        <v>100</v>
      </c>
      <c r="D7" s="1854">
        <v>99</v>
      </c>
      <c r="E7" s="1873">
        <v>98</v>
      </c>
      <c r="F7" s="1854">
        <v>97</v>
      </c>
      <c r="G7" s="1873">
        <v>96</v>
      </c>
      <c r="H7" s="1854">
        <v>95</v>
      </c>
      <c r="I7" s="1873">
        <v>94</v>
      </c>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2216</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100</v>
      </c>
      <c r="E9" s="877">
        <f t="shared" si="7"/>
        <v>100</v>
      </c>
      <c r="F9" s="877">
        <f t="shared" si="7"/>
        <v>100</v>
      </c>
      <c r="G9" s="877">
        <f t="shared" si="7"/>
        <v>100</v>
      </c>
      <c r="H9" s="877">
        <f t="shared" si="7"/>
        <v>100</v>
      </c>
      <c r="I9" s="877">
        <f t="shared" si="7"/>
        <v>100</v>
      </c>
      <c r="J9" s="877">
        <f t="shared" si="7"/>
        <v>100</v>
      </c>
      <c r="K9" s="877">
        <f t="shared" si="7"/>
        <v>100</v>
      </c>
      <c r="L9" s="877">
        <f t="shared" si="7"/>
        <v>100</v>
      </c>
      <c r="M9" s="878">
        <f t="shared" si="7"/>
        <v>100</v>
      </c>
      <c r="N9" s="878">
        <f t="shared" si="7"/>
        <v>100</v>
      </c>
      <c r="O9" s="877">
        <f t="shared" si="7"/>
        <v>100</v>
      </c>
      <c r="P9" s="877">
        <f t="shared" si="7"/>
        <v>100</v>
      </c>
      <c r="Q9" s="877">
        <f t="shared" si="7"/>
        <v>100</v>
      </c>
      <c r="R9" s="877">
        <f t="shared" si="7"/>
        <v>100</v>
      </c>
      <c r="S9" s="914">
        <f t="shared" si="7"/>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idden="1">
      <c r="A10" s="1004"/>
      <c r="B10" s="874" t="s">
        <v>2217</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hidden="1"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2218</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2219</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2220</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2221</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50" t="s">
        <v>2222</v>
      </c>
      <c r="B20" s="1551" t="s">
        <v>2223</v>
      </c>
      <c r="C20" s="1005">
        <v>1</v>
      </c>
      <c r="D20" s="1006">
        <v>2</v>
      </c>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70</v>
      </c>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2" t="s">
        <v>2224</v>
      </c>
      <c r="G22" s="1322"/>
      <c r="H22" s="1322"/>
      <c r="I22" s="1322"/>
      <c r="J22" s="1323"/>
      <c r="K22" s="37"/>
      <c r="L22" s="37"/>
      <c r="M22" s="37"/>
      <c r="N22" s="37"/>
      <c r="O22" s="37"/>
      <c r="P22" s="37"/>
      <c r="Q22" s="37"/>
      <c r="R22" s="643"/>
      <c r="S22" s="31"/>
      <c r="T22" s="31"/>
      <c r="U22" s="997"/>
      <c r="V22" s="998"/>
      <c r="W22" s="660"/>
      <c r="X22" s="660"/>
      <c r="Y22" s="660"/>
      <c r="Z22" s="660"/>
    </row>
    <row r="23" spans="1:45" ht="16.5" thickBot="1">
      <c r="A23" s="81" t="s">
        <v>2225</v>
      </c>
      <c r="B23" s="224">
        <f>IF(F23="——",IF(C23="万元",T25,S25),IF(C23="万元",T25-H23,S25-H23))</f>
        <v>1921</v>
      </c>
      <c r="C23" s="1553" t="str">
        <f>'数据-取费表'!B3</f>
        <v>万元</v>
      </c>
      <c r="D23" s="37"/>
      <c r="E23" s="37"/>
      <c r="F23" s="1554" t="s">
        <v>1241</v>
      </c>
      <c r="G23" s="1324"/>
      <c r="H23" s="575" t="e">
        <f ca="1">SUMIF(INDIRECT("'"&amp;J23&amp;"'"&amp;"!A:A"),"承租人权益价值",INDIRECT("'"&amp;J23&amp;"'"&amp;"!c:c"))</f>
        <v>#REF!</v>
      </c>
      <c r="I23" s="575" t="str">
        <f>C2</f>
        <v>万元</v>
      </c>
      <c r="J23" s="1555"/>
      <c r="K23" s="37"/>
      <c r="L23" s="37"/>
      <c r="M23" s="37"/>
      <c r="N23" s="37"/>
      <c r="O23" s="37"/>
      <c r="P23" s="37"/>
      <c r="Q23" s="37"/>
      <c r="R23" s="643"/>
      <c r="S23" s="31"/>
      <c r="T23" s="31"/>
      <c r="U23" s="997"/>
      <c r="V23" s="998"/>
      <c r="W23" s="660"/>
      <c r="X23" s="660"/>
      <c r="Y23" s="660"/>
      <c r="Z23" s="660"/>
    </row>
    <row r="24" spans="1:45" ht="15.75">
      <c r="A24" s="1553" t="s">
        <v>2226</v>
      </c>
      <c r="B24" s="224">
        <f>ROUND(B23*10000/B25,0)</f>
        <v>22157</v>
      </c>
      <c r="C24" s="862"/>
      <c r="D24" s="37"/>
      <c r="E24" s="37"/>
      <c r="F24" s="37"/>
      <c r="G24" s="37"/>
      <c r="H24" s="37"/>
      <c r="I24" s="37"/>
      <c r="J24" s="37"/>
      <c r="K24" s="37"/>
      <c r="L24" s="37"/>
      <c r="M24" s="37"/>
      <c r="N24" s="37"/>
      <c r="O24" s="37"/>
      <c r="P24" s="37"/>
      <c r="Q24" s="37"/>
      <c r="R24" s="643"/>
      <c r="S24" s="13" t="s">
        <v>2227</v>
      </c>
      <c r="T24" s="1330" t="s">
        <v>2228</v>
      </c>
      <c r="U24" s="2243" t="s">
        <v>2229</v>
      </c>
      <c r="V24" s="2985"/>
      <c r="W24" s="2986" t="s">
        <v>2230</v>
      </c>
      <c r="X24" s="2243" t="s">
        <v>2231</v>
      </c>
      <c r="Y24" s="2985"/>
      <c r="Z24" s="2987" t="s">
        <v>2230</v>
      </c>
    </row>
    <row r="25" spans="1:45">
      <c r="A25" s="250" t="s">
        <v>2232</v>
      </c>
      <c r="B25" s="13">
        <f>SUM(B27:B10000)</f>
        <v>867</v>
      </c>
      <c r="C25" s="3541" t="s">
        <v>45</v>
      </c>
      <c r="D25" s="3542"/>
      <c r="E25" s="3542"/>
      <c r="F25" s="3542"/>
      <c r="G25" s="3542"/>
      <c r="H25" s="3542"/>
      <c r="I25" s="3542"/>
      <c r="J25" s="3542"/>
      <c r="K25" s="3542"/>
      <c r="L25" s="3542"/>
      <c r="M25" s="3542"/>
      <c r="N25" s="3542"/>
      <c r="O25" s="3542"/>
      <c r="P25" s="3542"/>
      <c r="Q25" s="3543"/>
      <c r="R25" s="596">
        <f>IF(C23="万元",ROUND(T25*10000/B25,0),ROUND(S25/B25,0))</f>
        <v>22157</v>
      </c>
      <c r="S25" s="13">
        <f>SUM(S27:S10000)</f>
        <v>19206218</v>
      </c>
      <c r="T25" s="13">
        <f>SUM(T27:T10000)</f>
        <v>1921</v>
      </c>
      <c r="U25" s="17">
        <f>SUM(U27:U10000)</f>
        <v>0</v>
      </c>
      <c r="V25" s="17">
        <f>SUM(V27:V10000)</f>
        <v>0</v>
      </c>
      <c r="W25" s="2989"/>
      <c r="X25" s="17">
        <f>SUM(X27:X10000)</f>
        <v>0</v>
      </c>
      <c r="Y25" s="17">
        <f>SUM(Y27:Y10000)</f>
        <v>0</v>
      </c>
      <c r="Z25" s="1556"/>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7" t="s">
        <v>2236</v>
      </c>
      <c r="S26" s="10" t="s">
        <v>2237</v>
      </c>
      <c r="T26" s="10" t="s">
        <v>2237</v>
      </c>
      <c r="U26" s="682" t="s">
        <v>2238</v>
      </c>
      <c r="V26" s="682" t="s">
        <v>2239</v>
      </c>
      <c r="W26" s="10" t="s">
        <v>2240</v>
      </c>
      <c r="X26" s="682" t="s">
        <v>2238</v>
      </c>
      <c r="Y26" s="682" t="s">
        <v>2239</v>
      </c>
      <c r="Z26" s="10" t="s">
        <v>2240</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164" t="s">
        <v>2926</v>
      </c>
      <c r="B27" s="598">
        <f>'数据-取费表'!E5</f>
        <v>433.5</v>
      </c>
      <c r="C27" s="899">
        <v>1</v>
      </c>
      <c r="D27" s="599"/>
      <c r="E27" s="899">
        <v>1</v>
      </c>
      <c r="F27" s="599"/>
      <c r="G27" s="899">
        <v>1</v>
      </c>
      <c r="H27" s="599"/>
      <c r="I27" s="899">
        <v>1</v>
      </c>
      <c r="J27" s="599"/>
      <c r="K27" s="899">
        <v>1</v>
      </c>
      <c r="L27" s="599"/>
      <c r="M27" s="899">
        <v>1</v>
      </c>
      <c r="N27" s="599"/>
      <c r="O27" s="899">
        <v>1</v>
      </c>
      <c r="P27" s="599">
        <v>1</v>
      </c>
      <c r="Q27" s="899">
        <v>1</v>
      </c>
      <c r="R27" s="905">
        <f>'比较法-商业'!C49</f>
        <v>26062</v>
      </c>
      <c r="S27" s="598">
        <f>ROUND(R27*B27,0)</f>
        <v>11297877</v>
      </c>
      <c r="T27" s="598">
        <f>ROUND(R27*B27/10000,0)</f>
        <v>1130</v>
      </c>
      <c r="U27" s="2988">
        <f>ROUND(W27*B27,0)</f>
        <v>0</v>
      </c>
      <c r="V27" s="2988">
        <f>ROUND(W27*B27/10000,0)</f>
        <v>0</v>
      </c>
      <c r="W27" s="995"/>
      <c r="X27" s="2988">
        <f>ROUND(Z27*B27,0)</f>
        <v>0</v>
      </c>
      <c r="Y27" s="2988">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0" t="s">
        <v>2927</v>
      </c>
      <c r="B28" s="20">
        <f>B27</f>
        <v>433.5</v>
      </c>
      <c r="C28" s="13">
        <f t="shared" ref="C28:C91" si="14">IF(B28="",1,(LOOKUP(B28,$6:$6,$7:$7)-LOOKUP($B$27,$6:$6,$7:$7)+100)/100)</f>
        <v>1</v>
      </c>
      <c r="D28" s="599"/>
      <c r="E28" s="13">
        <f t="shared" ref="E28:E91" si="15">(SUMIF($8:$8,D28,$9:$9)-SUMIF($8:$8,$D$27,$9:$9)+100)/100</f>
        <v>1</v>
      </c>
      <c r="F28" s="599"/>
      <c r="G28" s="13">
        <f t="shared" ref="G28:G91" si="16">(SUMIF($10:$10,F28,$11:$11)-SUMIF($10:$10,$F$27,$11:$11)+100)/100</f>
        <v>1</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v>2</v>
      </c>
      <c r="Q28" s="13">
        <f t="shared" ref="Q28:Q91" si="21">(SUMIF($20:$20,P28,$21:$21)-SUMIF($20:$20,$P$27,$21:$21)+100)/100</f>
        <v>0.7</v>
      </c>
      <c r="R28" s="596">
        <f>IF(B28="",0,ROUND($R$27*C28*E28*G28*I28*K28*M28*O28*Q28,0))</f>
        <v>18243</v>
      </c>
      <c r="S28" s="250">
        <f>ROUND(R28*B28,0)</f>
        <v>7908341</v>
      </c>
      <c r="T28" s="899">
        <f>ROUND(R28*B28/10000,0)</f>
        <v>791</v>
      </c>
      <c r="U28" s="2988">
        <f t="shared" ref="U28:U91" si="22">ROUND(W28*B28,0)</f>
        <v>0</v>
      </c>
      <c r="V28" s="2988">
        <f t="shared" ref="V28:V91" si="23">ROUND(W28*B28/10000,0)</f>
        <v>0</v>
      </c>
      <c r="W28" s="996"/>
      <c r="X28" s="2988">
        <f t="shared" ref="X28:X91" si="24">ROUND(Z28*B28,0)</f>
        <v>0</v>
      </c>
      <c r="Y28" s="2988">
        <f t="shared" ref="Y28:Y91" si="25">ROUND(Z28*B28/10000,0)</f>
        <v>0</v>
      </c>
      <c r="Z28" s="996"/>
    </row>
    <row r="29" spans="1:45">
      <c r="A29" s="35"/>
      <c r="B29" s="20"/>
      <c r="C29" s="13">
        <f t="shared" si="14"/>
        <v>1</v>
      </c>
      <c r="D29" s="599"/>
      <c r="E29" s="13">
        <f t="shared" si="15"/>
        <v>1</v>
      </c>
      <c r="F29" s="599"/>
      <c r="G29" s="13">
        <f t="shared" si="16"/>
        <v>1</v>
      </c>
      <c r="H29" s="599"/>
      <c r="I29" s="13">
        <f t="shared" si="17"/>
        <v>1</v>
      </c>
      <c r="J29" s="599"/>
      <c r="K29" s="13">
        <f t="shared" si="18"/>
        <v>1</v>
      </c>
      <c r="L29" s="599"/>
      <c r="M29" s="13">
        <f t="shared" si="19"/>
        <v>1</v>
      </c>
      <c r="N29" s="599"/>
      <c r="O29" s="13">
        <f t="shared" si="20"/>
        <v>1</v>
      </c>
      <c r="P29" s="599"/>
      <c r="Q29" s="13">
        <f t="shared" si="21"/>
        <v>0</v>
      </c>
      <c r="R29" s="596">
        <f t="shared" ref="R29:R92" si="26">IF(B29="",0,ROUND($R$27*C29*E29*G29*I29*K29*M29*O29*Q29,0))</f>
        <v>0</v>
      </c>
      <c r="S29" s="250">
        <f t="shared" ref="S29:S92" si="27">ROUND(R29*B29,0)</f>
        <v>0</v>
      </c>
      <c r="T29" s="899">
        <f t="shared" ref="T29:T92" si="28">ROUND(R29*B29/10000,0)</f>
        <v>0</v>
      </c>
      <c r="U29" s="2988">
        <f t="shared" si="22"/>
        <v>0</v>
      </c>
      <c r="V29" s="2988">
        <f t="shared" si="23"/>
        <v>0</v>
      </c>
      <c r="W29" s="996"/>
      <c r="X29" s="2988">
        <f t="shared" si="24"/>
        <v>0</v>
      </c>
      <c r="Y29" s="2988">
        <f t="shared" si="25"/>
        <v>0</v>
      </c>
      <c r="Z29" s="996"/>
    </row>
    <row r="30" spans="1:45">
      <c r="A30" s="35"/>
      <c r="B30" s="20"/>
      <c r="C30" s="13">
        <f t="shared" si="14"/>
        <v>1</v>
      </c>
      <c r="D30" s="599"/>
      <c r="E30" s="13">
        <f t="shared" si="15"/>
        <v>1</v>
      </c>
      <c r="F30" s="599"/>
      <c r="G30" s="13">
        <f t="shared" si="16"/>
        <v>1</v>
      </c>
      <c r="H30" s="599"/>
      <c r="I30" s="13">
        <f t="shared" si="17"/>
        <v>1</v>
      </c>
      <c r="J30" s="599"/>
      <c r="K30" s="13">
        <f t="shared" si="18"/>
        <v>1</v>
      </c>
      <c r="L30" s="599"/>
      <c r="M30" s="13">
        <f t="shared" si="19"/>
        <v>1</v>
      </c>
      <c r="N30" s="599"/>
      <c r="O30" s="13">
        <f t="shared" si="20"/>
        <v>1</v>
      </c>
      <c r="P30" s="599"/>
      <c r="Q30" s="13">
        <f t="shared" si="21"/>
        <v>0</v>
      </c>
      <c r="R30" s="596">
        <f t="shared" si="26"/>
        <v>0</v>
      </c>
      <c r="S30" s="250">
        <f t="shared" si="27"/>
        <v>0</v>
      </c>
      <c r="T30" s="899">
        <f t="shared" si="28"/>
        <v>0</v>
      </c>
      <c r="U30" s="2988">
        <f t="shared" si="22"/>
        <v>0</v>
      </c>
      <c r="V30" s="2988">
        <f t="shared" si="23"/>
        <v>0</v>
      </c>
      <c r="W30" s="996"/>
      <c r="X30" s="2988">
        <f t="shared" si="24"/>
        <v>0</v>
      </c>
      <c r="Y30" s="2988">
        <f t="shared" si="25"/>
        <v>0</v>
      </c>
      <c r="Z30" s="996"/>
    </row>
    <row r="31" spans="1:45">
      <c r="A31" s="35"/>
      <c r="B31" s="20"/>
      <c r="C31" s="13">
        <f t="shared" si="14"/>
        <v>1</v>
      </c>
      <c r="D31" s="599"/>
      <c r="E31" s="13">
        <f t="shared" si="15"/>
        <v>1</v>
      </c>
      <c r="F31" s="599"/>
      <c r="G31" s="13">
        <f t="shared" si="16"/>
        <v>1</v>
      </c>
      <c r="H31" s="599"/>
      <c r="I31" s="13">
        <f t="shared" si="17"/>
        <v>1</v>
      </c>
      <c r="J31" s="599"/>
      <c r="K31" s="13">
        <f t="shared" si="18"/>
        <v>1</v>
      </c>
      <c r="L31" s="599"/>
      <c r="M31" s="13">
        <f t="shared" si="19"/>
        <v>1</v>
      </c>
      <c r="N31" s="599"/>
      <c r="O31" s="13">
        <f t="shared" si="20"/>
        <v>1</v>
      </c>
      <c r="P31" s="599"/>
      <c r="Q31" s="13">
        <f t="shared" si="21"/>
        <v>0</v>
      </c>
      <c r="R31" s="596">
        <f t="shared" si="26"/>
        <v>0</v>
      </c>
      <c r="S31" s="250">
        <f t="shared" si="27"/>
        <v>0</v>
      </c>
      <c r="T31" s="899">
        <f t="shared" si="28"/>
        <v>0</v>
      </c>
      <c r="U31" s="2988">
        <f t="shared" si="22"/>
        <v>0</v>
      </c>
      <c r="V31" s="2988">
        <f t="shared" si="23"/>
        <v>0</v>
      </c>
      <c r="W31" s="996"/>
      <c r="X31" s="2988">
        <f t="shared" si="24"/>
        <v>0</v>
      </c>
      <c r="Y31" s="2988">
        <f t="shared" si="25"/>
        <v>0</v>
      </c>
      <c r="Z31" s="996"/>
    </row>
    <row r="32" spans="1:45">
      <c r="A32" s="35"/>
      <c r="B32" s="20"/>
      <c r="C32" s="13">
        <f t="shared" si="14"/>
        <v>1</v>
      </c>
      <c r="D32" s="599"/>
      <c r="E32" s="13">
        <f t="shared" si="15"/>
        <v>1</v>
      </c>
      <c r="F32" s="599"/>
      <c r="G32" s="13">
        <f t="shared" si="16"/>
        <v>1</v>
      </c>
      <c r="H32" s="599"/>
      <c r="I32" s="13">
        <f t="shared" si="17"/>
        <v>1</v>
      </c>
      <c r="J32" s="599"/>
      <c r="K32" s="13">
        <f t="shared" si="18"/>
        <v>1</v>
      </c>
      <c r="L32" s="599"/>
      <c r="M32" s="13">
        <f t="shared" si="19"/>
        <v>1</v>
      </c>
      <c r="N32" s="599"/>
      <c r="O32" s="13">
        <f t="shared" si="20"/>
        <v>1</v>
      </c>
      <c r="P32" s="599"/>
      <c r="Q32" s="13">
        <f t="shared" si="21"/>
        <v>0</v>
      </c>
      <c r="R32" s="596">
        <f t="shared" si="26"/>
        <v>0</v>
      </c>
      <c r="S32" s="250">
        <f t="shared" si="27"/>
        <v>0</v>
      </c>
      <c r="T32" s="899">
        <f t="shared" si="28"/>
        <v>0</v>
      </c>
      <c r="U32" s="2988">
        <f t="shared" si="22"/>
        <v>0</v>
      </c>
      <c r="V32" s="2988">
        <f t="shared" si="23"/>
        <v>0</v>
      </c>
      <c r="W32" s="996"/>
      <c r="X32" s="2988">
        <f t="shared" si="24"/>
        <v>0</v>
      </c>
      <c r="Y32" s="2988">
        <f t="shared" si="25"/>
        <v>0</v>
      </c>
      <c r="Z32" s="996"/>
    </row>
    <row r="33" spans="1:26">
      <c r="A33" s="35"/>
      <c r="B33" s="20"/>
      <c r="C33" s="13">
        <f t="shared" si="14"/>
        <v>1</v>
      </c>
      <c r="D33" s="599"/>
      <c r="E33" s="13">
        <f t="shared" si="15"/>
        <v>1</v>
      </c>
      <c r="F33" s="599"/>
      <c r="G33" s="13">
        <f t="shared" si="16"/>
        <v>1</v>
      </c>
      <c r="H33" s="599"/>
      <c r="I33" s="13">
        <f t="shared" si="17"/>
        <v>1</v>
      </c>
      <c r="J33" s="599"/>
      <c r="K33" s="13">
        <f t="shared" si="18"/>
        <v>1</v>
      </c>
      <c r="L33" s="599"/>
      <c r="M33" s="13">
        <f t="shared" si="19"/>
        <v>1</v>
      </c>
      <c r="N33" s="599"/>
      <c r="O33" s="13">
        <f t="shared" si="20"/>
        <v>1</v>
      </c>
      <c r="P33" s="599"/>
      <c r="Q33" s="13">
        <f t="shared" si="21"/>
        <v>0</v>
      </c>
      <c r="R33" s="596">
        <f t="shared" si="26"/>
        <v>0</v>
      </c>
      <c r="S33" s="250">
        <f t="shared" si="27"/>
        <v>0</v>
      </c>
      <c r="T33" s="899">
        <f t="shared" si="28"/>
        <v>0</v>
      </c>
      <c r="U33" s="2988">
        <f t="shared" si="22"/>
        <v>0</v>
      </c>
      <c r="V33" s="2988">
        <f t="shared" si="23"/>
        <v>0</v>
      </c>
      <c r="W33" s="996"/>
      <c r="X33" s="2988">
        <f t="shared" si="24"/>
        <v>0</v>
      </c>
      <c r="Y33" s="2988">
        <f t="shared" si="25"/>
        <v>0</v>
      </c>
      <c r="Z33" s="996"/>
    </row>
    <row r="34" spans="1:26">
      <c r="A34" s="35"/>
      <c r="B34" s="20"/>
      <c r="C34" s="13">
        <f t="shared" si="14"/>
        <v>1</v>
      </c>
      <c r="D34" s="599"/>
      <c r="E34" s="13">
        <f t="shared" si="15"/>
        <v>1</v>
      </c>
      <c r="F34" s="599"/>
      <c r="G34" s="13">
        <f t="shared" si="16"/>
        <v>1</v>
      </c>
      <c r="H34" s="599"/>
      <c r="I34" s="13">
        <f t="shared" si="17"/>
        <v>1</v>
      </c>
      <c r="J34" s="599"/>
      <c r="K34" s="13">
        <f t="shared" si="18"/>
        <v>1</v>
      </c>
      <c r="L34" s="599"/>
      <c r="M34" s="13">
        <f t="shared" si="19"/>
        <v>1</v>
      </c>
      <c r="N34" s="599"/>
      <c r="O34" s="13">
        <f t="shared" si="20"/>
        <v>1</v>
      </c>
      <c r="P34" s="599"/>
      <c r="Q34" s="13">
        <f t="shared" si="21"/>
        <v>0</v>
      </c>
      <c r="R34" s="596">
        <f t="shared" si="26"/>
        <v>0</v>
      </c>
      <c r="S34" s="250">
        <f t="shared" si="27"/>
        <v>0</v>
      </c>
      <c r="T34" s="899">
        <f t="shared" si="28"/>
        <v>0</v>
      </c>
      <c r="U34" s="2988">
        <f t="shared" si="22"/>
        <v>0</v>
      </c>
      <c r="V34" s="2988">
        <f t="shared" si="23"/>
        <v>0</v>
      </c>
      <c r="W34" s="996"/>
      <c r="X34" s="2988">
        <f t="shared" si="24"/>
        <v>0</v>
      </c>
      <c r="Y34" s="2988">
        <f t="shared" si="25"/>
        <v>0</v>
      </c>
      <c r="Z34" s="996"/>
    </row>
    <row r="35" spans="1:26">
      <c r="A35" s="35"/>
      <c r="B35" s="20"/>
      <c r="C35" s="13">
        <f t="shared" si="14"/>
        <v>1</v>
      </c>
      <c r="D35" s="599"/>
      <c r="E35" s="13">
        <f t="shared" si="15"/>
        <v>1</v>
      </c>
      <c r="F35" s="599"/>
      <c r="G35" s="13">
        <f t="shared" si="16"/>
        <v>1</v>
      </c>
      <c r="H35" s="599"/>
      <c r="I35" s="13">
        <f t="shared" si="17"/>
        <v>1</v>
      </c>
      <c r="J35" s="599"/>
      <c r="K35" s="13">
        <f t="shared" si="18"/>
        <v>1</v>
      </c>
      <c r="L35" s="599"/>
      <c r="M35" s="13">
        <f t="shared" si="19"/>
        <v>1</v>
      </c>
      <c r="N35" s="599"/>
      <c r="O35" s="13">
        <f t="shared" si="20"/>
        <v>1</v>
      </c>
      <c r="P35" s="599"/>
      <c r="Q35" s="13">
        <f t="shared" si="21"/>
        <v>0</v>
      </c>
      <c r="R35" s="596">
        <f t="shared" si="26"/>
        <v>0</v>
      </c>
      <c r="S35" s="250">
        <f t="shared" si="27"/>
        <v>0</v>
      </c>
      <c r="T35" s="899">
        <f t="shared" si="28"/>
        <v>0</v>
      </c>
      <c r="U35" s="2988">
        <f t="shared" si="22"/>
        <v>0</v>
      </c>
      <c r="V35" s="2988">
        <f t="shared" si="23"/>
        <v>0</v>
      </c>
      <c r="W35" s="996"/>
      <c r="X35" s="2988">
        <f t="shared" si="24"/>
        <v>0</v>
      </c>
      <c r="Y35" s="2988">
        <f t="shared" si="25"/>
        <v>0</v>
      </c>
      <c r="Z35" s="996"/>
    </row>
    <row r="36" spans="1:26">
      <c r="A36" s="35"/>
      <c r="B36" s="20"/>
      <c r="C36" s="13">
        <f t="shared" si="14"/>
        <v>1</v>
      </c>
      <c r="D36" s="599"/>
      <c r="E36" s="13">
        <f t="shared" si="15"/>
        <v>1</v>
      </c>
      <c r="F36" s="599"/>
      <c r="G36" s="13">
        <f t="shared" si="16"/>
        <v>1</v>
      </c>
      <c r="H36" s="599"/>
      <c r="I36" s="13">
        <f t="shared" si="17"/>
        <v>1</v>
      </c>
      <c r="J36" s="599"/>
      <c r="K36" s="13">
        <f t="shared" si="18"/>
        <v>1</v>
      </c>
      <c r="L36" s="599"/>
      <c r="M36" s="13">
        <f t="shared" si="19"/>
        <v>1</v>
      </c>
      <c r="N36" s="599"/>
      <c r="O36" s="13">
        <f t="shared" si="20"/>
        <v>1</v>
      </c>
      <c r="P36" s="599"/>
      <c r="Q36" s="13">
        <f t="shared" si="21"/>
        <v>0</v>
      </c>
      <c r="R36" s="596">
        <f t="shared" si="26"/>
        <v>0</v>
      </c>
      <c r="S36" s="250">
        <f t="shared" si="27"/>
        <v>0</v>
      </c>
      <c r="T36" s="899">
        <f t="shared" si="28"/>
        <v>0</v>
      </c>
      <c r="U36" s="2988">
        <f t="shared" si="22"/>
        <v>0</v>
      </c>
      <c r="V36" s="2988">
        <f t="shared" si="23"/>
        <v>0</v>
      </c>
      <c r="W36" s="996"/>
      <c r="X36" s="2988">
        <f t="shared" si="24"/>
        <v>0</v>
      </c>
      <c r="Y36" s="2988">
        <f t="shared" si="25"/>
        <v>0</v>
      </c>
      <c r="Z36" s="996"/>
    </row>
    <row r="37" spans="1:26">
      <c r="A37" s="35"/>
      <c r="B37" s="20"/>
      <c r="C37" s="13">
        <f t="shared" si="14"/>
        <v>1</v>
      </c>
      <c r="D37" s="599"/>
      <c r="E37" s="13">
        <f t="shared" si="15"/>
        <v>1</v>
      </c>
      <c r="F37" s="599"/>
      <c r="G37" s="13">
        <f t="shared" si="16"/>
        <v>1</v>
      </c>
      <c r="H37" s="599"/>
      <c r="I37" s="13">
        <f t="shared" si="17"/>
        <v>1</v>
      </c>
      <c r="J37" s="599"/>
      <c r="K37" s="13">
        <f t="shared" si="18"/>
        <v>1</v>
      </c>
      <c r="L37" s="599"/>
      <c r="M37" s="13">
        <f t="shared" si="19"/>
        <v>1</v>
      </c>
      <c r="N37" s="599"/>
      <c r="O37" s="13">
        <f t="shared" si="20"/>
        <v>1</v>
      </c>
      <c r="P37" s="599"/>
      <c r="Q37" s="13">
        <f t="shared" si="21"/>
        <v>0</v>
      </c>
      <c r="R37" s="596">
        <f t="shared" si="26"/>
        <v>0</v>
      </c>
      <c r="S37" s="250">
        <f t="shared" si="27"/>
        <v>0</v>
      </c>
      <c r="T37" s="899">
        <f t="shared" si="28"/>
        <v>0</v>
      </c>
      <c r="U37" s="2988">
        <f t="shared" si="22"/>
        <v>0</v>
      </c>
      <c r="V37" s="2988">
        <f t="shared" si="23"/>
        <v>0</v>
      </c>
      <c r="W37" s="996"/>
      <c r="X37" s="2988">
        <f t="shared" si="24"/>
        <v>0</v>
      </c>
      <c r="Y37" s="2988">
        <f t="shared" si="25"/>
        <v>0</v>
      </c>
      <c r="Z37" s="996"/>
    </row>
    <row r="38" spans="1:26">
      <c r="A38" s="35"/>
      <c r="B38" s="20"/>
      <c r="C38" s="13">
        <f t="shared" si="14"/>
        <v>1</v>
      </c>
      <c r="D38" s="599"/>
      <c r="E38" s="13">
        <f t="shared" si="15"/>
        <v>1</v>
      </c>
      <c r="F38" s="599"/>
      <c r="G38" s="13">
        <f t="shared" si="16"/>
        <v>1</v>
      </c>
      <c r="H38" s="599"/>
      <c r="I38" s="13">
        <f t="shared" si="17"/>
        <v>1</v>
      </c>
      <c r="J38" s="599"/>
      <c r="K38" s="13">
        <f t="shared" si="18"/>
        <v>1</v>
      </c>
      <c r="L38" s="599"/>
      <c r="M38" s="13">
        <f t="shared" si="19"/>
        <v>1</v>
      </c>
      <c r="N38" s="599"/>
      <c r="O38" s="13">
        <f t="shared" si="20"/>
        <v>1</v>
      </c>
      <c r="P38" s="599"/>
      <c r="Q38" s="13">
        <f t="shared" si="21"/>
        <v>0</v>
      </c>
      <c r="R38" s="596">
        <f t="shared" si="26"/>
        <v>0</v>
      </c>
      <c r="S38" s="250">
        <f t="shared" si="27"/>
        <v>0</v>
      </c>
      <c r="T38" s="899">
        <f t="shared" si="28"/>
        <v>0</v>
      </c>
      <c r="U38" s="2988">
        <f t="shared" si="22"/>
        <v>0</v>
      </c>
      <c r="V38" s="2988">
        <f t="shared" si="23"/>
        <v>0</v>
      </c>
      <c r="W38" s="996"/>
      <c r="X38" s="2988">
        <f t="shared" si="24"/>
        <v>0</v>
      </c>
      <c r="Y38" s="2988">
        <f t="shared" si="25"/>
        <v>0</v>
      </c>
      <c r="Z38" s="996"/>
    </row>
    <row r="39" spans="1:26">
      <c r="A39" s="35"/>
      <c r="B39" s="20"/>
      <c r="C39" s="13">
        <f t="shared" si="14"/>
        <v>1</v>
      </c>
      <c r="D39" s="599"/>
      <c r="E39" s="13">
        <f t="shared" si="15"/>
        <v>1</v>
      </c>
      <c r="F39" s="599"/>
      <c r="G39" s="13">
        <f t="shared" si="16"/>
        <v>1</v>
      </c>
      <c r="H39" s="599"/>
      <c r="I39" s="13">
        <f t="shared" si="17"/>
        <v>1</v>
      </c>
      <c r="J39" s="599"/>
      <c r="K39" s="13">
        <f t="shared" si="18"/>
        <v>1</v>
      </c>
      <c r="L39" s="599"/>
      <c r="M39" s="13">
        <f t="shared" si="19"/>
        <v>1</v>
      </c>
      <c r="N39" s="599"/>
      <c r="O39" s="13">
        <f t="shared" si="20"/>
        <v>1</v>
      </c>
      <c r="P39" s="599"/>
      <c r="Q39" s="13">
        <f t="shared" si="21"/>
        <v>0</v>
      </c>
      <c r="R39" s="596">
        <f t="shared" si="26"/>
        <v>0</v>
      </c>
      <c r="S39" s="250">
        <f t="shared" si="27"/>
        <v>0</v>
      </c>
      <c r="T39" s="899">
        <f t="shared" si="28"/>
        <v>0</v>
      </c>
      <c r="U39" s="2988">
        <f t="shared" si="22"/>
        <v>0</v>
      </c>
      <c r="V39" s="2988">
        <f t="shared" si="23"/>
        <v>0</v>
      </c>
      <c r="W39" s="996"/>
      <c r="X39" s="2988">
        <f t="shared" si="24"/>
        <v>0</v>
      </c>
      <c r="Y39" s="2988">
        <f t="shared" si="25"/>
        <v>0</v>
      </c>
      <c r="Z39" s="996"/>
    </row>
    <row r="40" spans="1:26">
      <c r="A40" s="35"/>
      <c r="B40" s="20"/>
      <c r="C40" s="13">
        <f t="shared" si="14"/>
        <v>1</v>
      </c>
      <c r="D40" s="599"/>
      <c r="E40" s="13">
        <f t="shared" si="15"/>
        <v>1</v>
      </c>
      <c r="F40" s="599"/>
      <c r="G40" s="13">
        <f t="shared" si="16"/>
        <v>1</v>
      </c>
      <c r="H40" s="599"/>
      <c r="I40" s="13">
        <f t="shared" si="17"/>
        <v>1</v>
      </c>
      <c r="J40" s="599"/>
      <c r="K40" s="13">
        <f t="shared" si="18"/>
        <v>1</v>
      </c>
      <c r="L40" s="599"/>
      <c r="M40" s="13">
        <f t="shared" si="19"/>
        <v>1</v>
      </c>
      <c r="N40" s="599"/>
      <c r="O40" s="13">
        <f t="shared" si="20"/>
        <v>1</v>
      </c>
      <c r="P40" s="599"/>
      <c r="Q40" s="13">
        <f t="shared" si="21"/>
        <v>0</v>
      </c>
      <c r="R40" s="596">
        <f t="shared" si="26"/>
        <v>0</v>
      </c>
      <c r="S40" s="250">
        <f t="shared" si="27"/>
        <v>0</v>
      </c>
      <c r="T40" s="899">
        <f t="shared" si="28"/>
        <v>0</v>
      </c>
      <c r="U40" s="2988">
        <f t="shared" si="22"/>
        <v>0</v>
      </c>
      <c r="V40" s="2988">
        <f t="shared" si="23"/>
        <v>0</v>
      </c>
      <c r="W40" s="996"/>
      <c r="X40" s="2988">
        <f t="shared" si="24"/>
        <v>0</v>
      </c>
      <c r="Y40" s="2988">
        <f t="shared" si="25"/>
        <v>0</v>
      </c>
      <c r="Z40" s="996"/>
    </row>
    <row r="41" spans="1:26">
      <c r="A41" s="35"/>
      <c r="B41" s="20"/>
      <c r="C41" s="13">
        <f t="shared" si="14"/>
        <v>1</v>
      </c>
      <c r="D41" s="599"/>
      <c r="E41" s="13">
        <f t="shared" si="15"/>
        <v>1</v>
      </c>
      <c r="F41" s="599"/>
      <c r="G41" s="13">
        <f t="shared" si="16"/>
        <v>1</v>
      </c>
      <c r="H41" s="599"/>
      <c r="I41" s="13">
        <f t="shared" si="17"/>
        <v>1</v>
      </c>
      <c r="J41" s="599"/>
      <c r="K41" s="13">
        <f t="shared" si="18"/>
        <v>1</v>
      </c>
      <c r="L41" s="599"/>
      <c r="M41" s="13">
        <f t="shared" si="19"/>
        <v>1</v>
      </c>
      <c r="N41" s="599"/>
      <c r="O41" s="13">
        <f t="shared" si="20"/>
        <v>1</v>
      </c>
      <c r="P41" s="599"/>
      <c r="Q41" s="13">
        <f t="shared" si="21"/>
        <v>0</v>
      </c>
      <c r="R41" s="596">
        <f t="shared" si="26"/>
        <v>0</v>
      </c>
      <c r="S41" s="250">
        <f t="shared" si="27"/>
        <v>0</v>
      </c>
      <c r="T41" s="899">
        <f t="shared" si="28"/>
        <v>0</v>
      </c>
      <c r="U41" s="2988">
        <f t="shared" si="22"/>
        <v>0</v>
      </c>
      <c r="V41" s="2988">
        <f t="shared" si="23"/>
        <v>0</v>
      </c>
      <c r="W41" s="996"/>
      <c r="X41" s="2988">
        <f t="shared" si="24"/>
        <v>0</v>
      </c>
      <c r="Y41" s="2988">
        <f t="shared" si="25"/>
        <v>0</v>
      </c>
      <c r="Z41" s="996"/>
    </row>
    <row r="42" spans="1:26">
      <c r="A42" s="35"/>
      <c r="B42" s="20"/>
      <c r="C42" s="13">
        <f t="shared" si="14"/>
        <v>1</v>
      </c>
      <c r="D42" s="599"/>
      <c r="E42" s="13">
        <f t="shared" si="15"/>
        <v>1</v>
      </c>
      <c r="F42" s="599"/>
      <c r="G42" s="13">
        <f t="shared" si="16"/>
        <v>1</v>
      </c>
      <c r="H42" s="599"/>
      <c r="I42" s="13">
        <f t="shared" si="17"/>
        <v>1</v>
      </c>
      <c r="J42" s="599"/>
      <c r="K42" s="13">
        <f t="shared" si="18"/>
        <v>1</v>
      </c>
      <c r="L42" s="599"/>
      <c r="M42" s="13">
        <f t="shared" si="19"/>
        <v>1</v>
      </c>
      <c r="N42" s="599"/>
      <c r="O42" s="13">
        <f t="shared" si="20"/>
        <v>1</v>
      </c>
      <c r="P42" s="599"/>
      <c r="Q42" s="13">
        <f t="shared" si="21"/>
        <v>0</v>
      </c>
      <c r="R42" s="596">
        <f t="shared" si="26"/>
        <v>0</v>
      </c>
      <c r="S42" s="250">
        <f t="shared" si="27"/>
        <v>0</v>
      </c>
      <c r="T42" s="899">
        <f t="shared" si="28"/>
        <v>0</v>
      </c>
      <c r="U42" s="2988">
        <f t="shared" si="22"/>
        <v>0</v>
      </c>
      <c r="V42" s="2988">
        <f t="shared" si="23"/>
        <v>0</v>
      </c>
      <c r="W42" s="996"/>
      <c r="X42" s="2988">
        <f t="shared" si="24"/>
        <v>0</v>
      </c>
      <c r="Y42" s="2988">
        <f t="shared" si="25"/>
        <v>0</v>
      </c>
      <c r="Z42" s="996"/>
    </row>
    <row r="43" spans="1:26">
      <c r="A43" s="35"/>
      <c r="B43" s="20"/>
      <c r="C43" s="13">
        <f t="shared" si="14"/>
        <v>1</v>
      </c>
      <c r="D43" s="599"/>
      <c r="E43" s="13">
        <f t="shared" si="15"/>
        <v>1</v>
      </c>
      <c r="F43" s="599"/>
      <c r="G43" s="13">
        <f t="shared" si="16"/>
        <v>1</v>
      </c>
      <c r="H43" s="599"/>
      <c r="I43" s="13">
        <f t="shared" si="17"/>
        <v>1</v>
      </c>
      <c r="J43" s="599"/>
      <c r="K43" s="13">
        <f t="shared" si="18"/>
        <v>1</v>
      </c>
      <c r="L43" s="599"/>
      <c r="M43" s="13">
        <f t="shared" si="19"/>
        <v>1</v>
      </c>
      <c r="N43" s="599"/>
      <c r="O43" s="13">
        <f t="shared" si="20"/>
        <v>1</v>
      </c>
      <c r="P43" s="599"/>
      <c r="Q43" s="13">
        <f t="shared" si="21"/>
        <v>0</v>
      </c>
      <c r="R43" s="596">
        <f t="shared" si="26"/>
        <v>0</v>
      </c>
      <c r="S43" s="250">
        <f t="shared" si="27"/>
        <v>0</v>
      </c>
      <c r="T43" s="899">
        <f t="shared" si="28"/>
        <v>0</v>
      </c>
      <c r="U43" s="2988">
        <f t="shared" si="22"/>
        <v>0</v>
      </c>
      <c r="V43" s="2988">
        <f t="shared" si="23"/>
        <v>0</v>
      </c>
      <c r="W43" s="996"/>
      <c r="X43" s="2988">
        <f t="shared" si="24"/>
        <v>0</v>
      </c>
      <c r="Y43" s="2988">
        <f t="shared" si="25"/>
        <v>0</v>
      </c>
      <c r="Z43" s="996"/>
    </row>
    <row r="44" spans="1:26">
      <c r="A44" s="35"/>
      <c r="B44" s="20"/>
      <c r="C44" s="13">
        <f t="shared" si="14"/>
        <v>1</v>
      </c>
      <c r="D44" s="599"/>
      <c r="E44" s="13">
        <f t="shared" si="15"/>
        <v>1</v>
      </c>
      <c r="F44" s="599"/>
      <c r="G44" s="13">
        <f t="shared" si="16"/>
        <v>1</v>
      </c>
      <c r="H44" s="599"/>
      <c r="I44" s="13">
        <f t="shared" si="17"/>
        <v>1</v>
      </c>
      <c r="J44" s="599"/>
      <c r="K44" s="13">
        <f t="shared" si="18"/>
        <v>1</v>
      </c>
      <c r="L44" s="599"/>
      <c r="M44" s="13">
        <f t="shared" si="19"/>
        <v>1</v>
      </c>
      <c r="N44" s="599"/>
      <c r="O44" s="13">
        <f t="shared" si="20"/>
        <v>1</v>
      </c>
      <c r="P44" s="599"/>
      <c r="Q44" s="13">
        <f t="shared" si="21"/>
        <v>0</v>
      </c>
      <c r="R44" s="596">
        <f t="shared" si="26"/>
        <v>0</v>
      </c>
      <c r="S44" s="250">
        <f t="shared" si="27"/>
        <v>0</v>
      </c>
      <c r="T44" s="899">
        <f t="shared" si="28"/>
        <v>0</v>
      </c>
      <c r="U44" s="2988">
        <f t="shared" si="22"/>
        <v>0</v>
      </c>
      <c r="V44" s="2988">
        <f t="shared" si="23"/>
        <v>0</v>
      </c>
      <c r="W44" s="996"/>
      <c r="X44" s="2988">
        <f t="shared" si="24"/>
        <v>0</v>
      </c>
      <c r="Y44" s="2988">
        <f t="shared" si="25"/>
        <v>0</v>
      </c>
      <c r="Z44" s="996"/>
    </row>
    <row r="45" spans="1:26">
      <c r="A45" s="35"/>
      <c r="B45" s="20"/>
      <c r="C45" s="13">
        <f t="shared" si="14"/>
        <v>1</v>
      </c>
      <c r="D45" s="599"/>
      <c r="E45" s="13">
        <f t="shared" si="15"/>
        <v>1</v>
      </c>
      <c r="F45" s="599"/>
      <c r="G45" s="13">
        <f t="shared" si="16"/>
        <v>1</v>
      </c>
      <c r="H45" s="599"/>
      <c r="I45" s="13">
        <f t="shared" si="17"/>
        <v>1</v>
      </c>
      <c r="J45" s="599"/>
      <c r="K45" s="13">
        <f t="shared" si="18"/>
        <v>1</v>
      </c>
      <c r="L45" s="599"/>
      <c r="M45" s="13">
        <f t="shared" si="19"/>
        <v>1</v>
      </c>
      <c r="N45" s="599"/>
      <c r="O45" s="13">
        <f t="shared" si="20"/>
        <v>1</v>
      </c>
      <c r="P45" s="599"/>
      <c r="Q45" s="13">
        <f t="shared" si="21"/>
        <v>0</v>
      </c>
      <c r="R45" s="596">
        <f t="shared" si="26"/>
        <v>0</v>
      </c>
      <c r="S45" s="250">
        <f t="shared" si="27"/>
        <v>0</v>
      </c>
      <c r="T45" s="899">
        <f t="shared" si="28"/>
        <v>0</v>
      </c>
      <c r="U45" s="2988">
        <f t="shared" si="22"/>
        <v>0</v>
      </c>
      <c r="V45" s="2988">
        <f t="shared" si="23"/>
        <v>0</v>
      </c>
      <c r="W45" s="996"/>
      <c r="X45" s="2988">
        <f t="shared" si="24"/>
        <v>0</v>
      </c>
      <c r="Y45" s="2988">
        <f t="shared" si="25"/>
        <v>0</v>
      </c>
      <c r="Z45" s="996"/>
    </row>
    <row r="46" spans="1:26">
      <c r="A46" s="35"/>
      <c r="B46" s="20"/>
      <c r="C46" s="13">
        <f t="shared" si="14"/>
        <v>1</v>
      </c>
      <c r="D46" s="599"/>
      <c r="E46" s="13">
        <f t="shared" si="15"/>
        <v>1</v>
      </c>
      <c r="F46" s="599"/>
      <c r="G46" s="13">
        <f t="shared" si="16"/>
        <v>1</v>
      </c>
      <c r="H46" s="599"/>
      <c r="I46" s="13">
        <f t="shared" si="17"/>
        <v>1</v>
      </c>
      <c r="J46" s="599"/>
      <c r="K46" s="13">
        <f t="shared" si="18"/>
        <v>1</v>
      </c>
      <c r="L46" s="599"/>
      <c r="M46" s="13">
        <f t="shared" si="19"/>
        <v>1</v>
      </c>
      <c r="N46" s="599"/>
      <c r="O46" s="13">
        <f t="shared" si="20"/>
        <v>1</v>
      </c>
      <c r="P46" s="599"/>
      <c r="Q46" s="13">
        <f t="shared" si="21"/>
        <v>0</v>
      </c>
      <c r="R46" s="596">
        <f t="shared" si="26"/>
        <v>0</v>
      </c>
      <c r="S46" s="250">
        <f t="shared" si="27"/>
        <v>0</v>
      </c>
      <c r="T46" s="899">
        <f t="shared" si="28"/>
        <v>0</v>
      </c>
      <c r="U46" s="2988">
        <f t="shared" si="22"/>
        <v>0</v>
      </c>
      <c r="V46" s="2988">
        <f t="shared" si="23"/>
        <v>0</v>
      </c>
      <c r="W46" s="996"/>
      <c r="X46" s="2988">
        <f t="shared" si="24"/>
        <v>0</v>
      </c>
      <c r="Y46" s="2988">
        <f t="shared" si="25"/>
        <v>0</v>
      </c>
      <c r="Z46" s="996"/>
    </row>
    <row r="47" spans="1:26">
      <c r="A47" s="35"/>
      <c r="B47" s="20"/>
      <c r="C47" s="13">
        <f t="shared" si="14"/>
        <v>1</v>
      </c>
      <c r="D47" s="599"/>
      <c r="E47" s="13">
        <f t="shared" si="15"/>
        <v>1</v>
      </c>
      <c r="F47" s="599"/>
      <c r="G47" s="13">
        <f t="shared" si="16"/>
        <v>1</v>
      </c>
      <c r="H47" s="599"/>
      <c r="I47" s="13">
        <f t="shared" si="17"/>
        <v>1</v>
      </c>
      <c r="J47" s="599"/>
      <c r="K47" s="13">
        <f t="shared" si="18"/>
        <v>1</v>
      </c>
      <c r="L47" s="599"/>
      <c r="M47" s="13">
        <f t="shared" si="19"/>
        <v>1</v>
      </c>
      <c r="N47" s="599"/>
      <c r="O47" s="13">
        <f t="shared" si="20"/>
        <v>1</v>
      </c>
      <c r="P47" s="599"/>
      <c r="Q47" s="13">
        <f t="shared" si="21"/>
        <v>0</v>
      </c>
      <c r="R47" s="596">
        <f t="shared" si="26"/>
        <v>0</v>
      </c>
      <c r="S47" s="250">
        <f t="shared" si="27"/>
        <v>0</v>
      </c>
      <c r="T47" s="899">
        <f t="shared" si="28"/>
        <v>0</v>
      </c>
      <c r="U47" s="2988">
        <f t="shared" si="22"/>
        <v>0</v>
      </c>
      <c r="V47" s="2988">
        <f t="shared" si="23"/>
        <v>0</v>
      </c>
      <c r="W47" s="996"/>
      <c r="X47" s="2988">
        <f t="shared" si="24"/>
        <v>0</v>
      </c>
      <c r="Y47" s="2988">
        <f t="shared" si="25"/>
        <v>0</v>
      </c>
      <c r="Z47" s="996"/>
    </row>
    <row r="48" spans="1:26">
      <c r="A48" s="35"/>
      <c r="B48" s="20"/>
      <c r="C48" s="13">
        <f t="shared" si="14"/>
        <v>1</v>
      </c>
      <c r="D48" s="599"/>
      <c r="E48" s="13">
        <f t="shared" si="15"/>
        <v>1</v>
      </c>
      <c r="F48" s="599"/>
      <c r="G48" s="13">
        <f t="shared" si="16"/>
        <v>1</v>
      </c>
      <c r="H48" s="599"/>
      <c r="I48" s="13">
        <f t="shared" si="17"/>
        <v>1</v>
      </c>
      <c r="J48" s="599"/>
      <c r="K48" s="13">
        <f t="shared" si="18"/>
        <v>1</v>
      </c>
      <c r="L48" s="599"/>
      <c r="M48" s="13">
        <f t="shared" si="19"/>
        <v>1</v>
      </c>
      <c r="N48" s="599"/>
      <c r="O48" s="13">
        <f t="shared" si="20"/>
        <v>1</v>
      </c>
      <c r="P48" s="599"/>
      <c r="Q48" s="13">
        <f t="shared" si="21"/>
        <v>0</v>
      </c>
      <c r="R48" s="596">
        <f t="shared" si="26"/>
        <v>0</v>
      </c>
      <c r="S48" s="250">
        <f t="shared" si="27"/>
        <v>0</v>
      </c>
      <c r="T48" s="899">
        <f t="shared" si="28"/>
        <v>0</v>
      </c>
      <c r="U48" s="2988">
        <f t="shared" si="22"/>
        <v>0</v>
      </c>
      <c r="V48" s="2988">
        <f t="shared" si="23"/>
        <v>0</v>
      </c>
      <c r="W48" s="996"/>
      <c r="X48" s="2988">
        <f t="shared" si="24"/>
        <v>0</v>
      </c>
      <c r="Y48" s="2988">
        <f t="shared" si="25"/>
        <v>0</v>
      </c>
      <c r="Z48" s="996"/>
    </row>
    <row r="49" spans="1:26">
      <c r="A49" s="35"/>
      <c r="B49" s="20"/>
      <c r="C49" s="13">
        <f t="shared" si="14"/>
        <v>1</v>
      </c>
      <c r="D49" s="599"/>
      <c r="E49" s="13">
        <f t="shared" si="15"/>
        <v>1</v>
      </c>
      <c r="F49" s="599"/>
      <c r="G49" s="13">
        <f t="shared" si="16"/>
        <v>1</v>
      </c>
      <c r="H49" s="599"/>
      <c r="I49" s="13">
        <f t="shared" si="17"/>
        <v>1</v>
      </c>
      <c r="J49" s="599"/>
      <c r="K49" s="13">
        <f t="shared" si="18"/>
        <v>1</v>
      </c>
      <c r="L49" s="599"/>
      <c r="M49" s="13">
        <f t="shared" si="19"/>
        <v>1</v>
      </c>
      <c r="N49" s="599"/>
      <c r="O49" s="13">
        <f t="shared" si="20"/>
        <v>1</v>
      </c>
      <c r="P49" s="599"/>
      <c r="Q49" s="13">
        <f t="shared" si="21"/>
        <v>0</v>
      </c>
      <c r="R49" s="596">
        <f t="shared" si="26"/>
        <v>0</v>
      </c>
      <c r="S49" s="250">
        <f t="shared" si="27"/>
        <v>0</v>
      </c>
      <c r="T49" s="899">
        <f t="shared" si="28"/>
        <v>0</v>
      </c>
      <c r="U49" s="2988">
        <f t="shared" si="22"/>
        <v>0</v>
      </c>
      <c r="V49" s="2988">
        <f t="shared" si="23"/>
        <v>0</v>
      </c>
      <c r="W49" s="996"/>
      <c r="X49" s="2988">
        <f t="shared" si="24"/>
        <v>0</v>
      </c>
      <c r="Y49" s="2988">
        <f t="shared" si="25"/>
        <v>0</v>
      </c>
      <c r="Z49" s="996"/>
    </row>
    <row r="50" spans="1:26">
      <c r="A50" s="35"/>
      <c r="B50" s="20"/>
      <c r="C50" s="13">
        <f t="shared" si="14"/>
        <v>1</v>
      </c>
      <c r="D50" s="599"/>
      <c r="E50" s="13">
        <f t="shared" si="15"/>
        <v>1</v>
      </c>
      <c r="F50" s="599"/>
      <c r="G50" s="13">
        <f t="shared" si="16"/>
        <v>1</v>
      </c>
      <c r="H50" s="599"/>
      <c r="I50" s="13">
        <f t="shared" si="17"/>
        <v>1</v>
      </c>
      <c r="J50" s="599"/>
      <c r="K50" s="13">
        <f t="shared" si="18"/>
        <v>1</v>
      </c>
      <c r="L50" s="599"/>
      <c r="M50" s="13">
        <f t="shared" si="19"/>
        <v>1</v>
      </c>
      <c r="N50" s="599"/>
      <c r="O50" s="13">
        <f t="shared" si="20"/>
        <v>1</v>
      </c>
      <c r="P50" s="599"/>
      <c r="Q50" s="13">
        <f t="shared" si="21"/>
        <v>0</v>
      </c>
      <c r="R50" s="596">
        <f t="shared" si="26"/>
        <v>0</v>
      </c>
      <c r="S50" s="250">
        <f t="shared" si="27"/>
        <v>0</v>
      </c>
      <c r="T50" s="899">
        <f t="shared" si="28"/>
        <v>0</v>
      </c>
      <c r="U50" s="2988">
        <f t="shared" si="22"/>
        <v>0</v>
      </c>
      <c r="V50" s="2988">
        <f t="shared" si="23"/>
        <v>0</v>
      </c>
      <c r="W50" s="996"/>
      <c r="X50" s="2988">
        <f t="shared" si="24"/>
        <v>0</v>
      </c>
      <c r="Y50" s="2988">
        <f t="shared" si="25"/>
        <v>0</v>
      </c>
      <c r="Z50" s="996"/>
    </row>
    <row r="51" spans="1:26">
      <c r="A51" s="35"/>
      <c r="B51" s="20"/>
      <c r="C51" s="13">
        <f t="shared" si="14"/>
        <v>1</v>
      </c>
      <c r="D51" s="599"/>
      <c r="E51" s="13">
        <f t="shared" si="15"/>
        <v>1</v>
      </c>
      <c r="F51" s="599"/>
      <c r="G51" s="13">
        <f t="shared" si="16"/>
        <v>1</v>
      </c>
      <c r="H51" s="599"/>
      <c r="I51" s="13">
        <f t="shared" si="17"/>
        <v>1</v>
      </c>
      <c r="J51" s="599"/>
      <c r="K51" s="13">
        <f t="shared" si="18"/>
        <v>1</v>
      </c>
      <c r="L51" s="599"/>
      <c r="M51" s="13">
        <f t="shared" si="19"/>
        <v>1</v>
      </c>
      <c r="N51" s="599"/>
      <c r="O51" s="13">
        <f t="shared" si="20"/>
        <v>1</v>
      </c>
      <c r="P51" s="599"/>
      <c r="Q51" s="13">
        <f t="shared" si="21"/>
        <v>0</v>
      </c>
      <c r="R51" s="596">
        <f t="shared" si="26"/>
        <v>0</v>
      </c>
      <c r="S51" s="250">
        <f t="shared" si="27"/>
        <v>0</v>
      </c>
      <c r="T51" s="899">
        <f t="shared" si="28"/>
        <v>0</v>
      </c>
      <c r="U51" s="2988">
        <f t="shared" si="22"/>
        <v>0</v>
      </c>
      <c r="V51" s="2988">
        <f t="shared" si="23"/>
        <v>0</v>
      </c>
      <c r="W51" s="996"/>
      <c r="X51" s="2988">
        <f t="shared" si="24"/>
        <v>0</v>
      </c>
      <c r="Y51" s="2988">
        <f t="shared" si="25"/>
        <v>0</v>
      </c>
      <c r="Z51" s="996"/>
    </row>
    <row r="52" spans="1:26">
      <c r="A52" s="35"/>
      <c r="B52" s="20"/>
      <c r="C52" s="13">
        <f t="shared" si="14"/>
        <v>1</v>
      </c>
      <c r="D52" s="599"/>
      <c r="E52" s="13">
        <f t="shared" si="15"/>
        <v>1</v>
      </c>
      <c r="F52" s="599"/>
      <c r="G52" s="13">
        <f t="shared" si="16"/>
        <v>1</v>
      </c>
      <c r="H52" s="599"/>
      <c r="I52" s="13">
        <f t="shared" si="17"/>
        <v>1</v>
      </c>
      <c r="J52" s="599"/>
      <c r="K52" s="13">
        <f t="shared" si="18"/>
        <v>1</v>
      </c>
      <c r="L52" s="599"/>
      <c r="M52" s="13">
        <f t="shared" si="19"/>
        <v>1</v>
      </c>
      <c r="N52" s="599"/>
      <c r="O52" s="13">
        <f t="shared" si="20"/>
        <v>1</v>
      </c>
      <c r="P52" s="599"/>
      <c r="Q52" s="13">
        <f t="shared" si="21"/>
        <v>0</v>
      </c>
      <c r="R52" s="596">
        <f t="shared" si="26"/>
        <v>0</v>
      </c>
      <c r="S52" s="250">
        <f t="shared" si="27"/>
        <v>0</v>
      </c>
      <c r="T52" s="899">
        <f t="shared" si="28"/>
        <v>0</v>
      </c>
      <c r="U52" s="2988">
        <f t="shared" si="22"/>
        <v>0</v>
      </c>
      <c r="V52" s="2988">
        <f t="shared" si="23"/>
        <v>0</v>
      </c>
      <c r="W52" s="996"/>
      <c r="X52" s="2988">
        <f t="shared" si="24"/>
        <v>0</v>
      </c>
      <c r="Y52" s="2988">
        <f t="shared" si="25"/>
        <v>0</v>
      </c>
      <c r="Z52" s="996"/>
    </row>
    <row r="53" spans="1:26">
      <c r="A53" s="35"/>
      <c r="B53" s="20"/>
      <c r="C53" s="13">
        <f t="shared" si="14"/>
        <v>1</v>
      </c>
      <c r="D53" s="599"/>
      <c r="E53" s="13">
        <f t="shared" si="15"/>
        <v>1</v>
      </c>
      <c r="F53" s="599"/>
      <c r="G53" s="13">
        <f t="shared" si="16"/>
        <v>1</v>
      </c>
      <c r="H53" s="599"/>
      <c r="I53" s="13">
        <f t="shared" si="17"/>
        <v>1</v>
      </c>
      <c r="J53" s="599"/>
      <c r="K53" s="13">
        <f t="shared" si="18"/>
        <v>1</v>
      </c>
      <c r="L53" s="599"/>
      <c r="M53" s="13">
        <f t="shared" si="19"/>
        <v>1</v>
      </c>
      <c r="N53" s="599"/>
      <c r="O53" s="13">
        <f t="shared" si="20"/>
        <v>1</v>
      </c>
      <c r="P53" s="599"/>
      <c r="Q53" s="13">
        <f t="shared" si="21"/>
        <v>0</v>
      </c>
      <c r="R53" s="596">
        <f t="shared" si="26"/>
        <v>0</v>
      </c>
      <c r="S53" s="250">
        <f t="shared" si="27"/>
        <v>0</v>
      </c>
      <c r="T53" s="899">
        <f t="shared" si="28"/>
        <v>0</v>
      </c>
      <c r="U53" s="2988">
        <f t="shared" si="22"/>
        <v>0</v>
      </c>
      <c r="V53" s="2988">
        <f t="shared" si="23"/>
        <v>0</v>
      </c>
      <c r="W53" s="996"/>
      <c r="X53" s="2988">
        <f t="shared" si="24"/>
        <v>0</v>
      </c>
      <c r="Y53" s="2988">
        <f t="shared" si="25"/>
        <v>0</v>
      </c>
      <c r="Z53" s="996"/>
    </row>
    <row r="54" spans="1:26">
      <c r="A54" s="35"/>
      <c r="B54" s="20"/>
      <c r="C54" s="13">
        <f t="shared" si="14"/>
        <v>1</v>
      </c>
      <c r="D54" s="599"/>
      <c r="E54" s="13">
        <f t="shared" si="15"/>
        <v>1</v>
      </c>
      <c r="F54" s="599"/>
      <c r="G54" s="13">
        <f t="shared" si="16"/>
        <v>1</v>
      </c>
      <c r="H54" s="599"/>
      <c r="I54" s="13">
        <f t="shared" si="17"/>
        <v>1</v>
      </c>
      <c r="J54" s="599"/>
      <c r="K54" s="13">
        <f t="shared" si="18"/>
        <v>1</v>
      </c>
      <c r="L54" s="599"/>
      <c r="M54" s="13">
        <f t="shared" si="19"/>
        <v>1</v>
      </c>
      <c r="N54" s="599"/>
      <c r="O54" s="13">
        <f t="shared" si="20"/>
        <v>1</v>
      </c>
      <c r="P54" s="599"/>
      <c r="Q54" s="13">
        <f t="shared" si="21"/>
        <v>0</v>
      </c>
      <c r="R54" s="596">
        <f t="shared" si="26"/>
        <v>0</v>
      </c>
      <c r="S54" s="250">
        <f t="shared" si="27"/>
        <v>0</v>
      </c>
      <c r="T54" s="899">
        <f t="shared" si="28"/>
        <v>0</v>
      </c>
      <c r="U54" s="2988">
        <f t="shared" si="22"/>
        <v>0</v>
      </c>
      <c r="V54" s="2988">
        <f t="shared" si="23"/>
        <v>0</v>
      </c>
      <c r="W54" s="996"/>
      <c r="X54" s="2988">
        <f t="shared" si="24"/>
        <v>0</v>
      </c>
      <c r="Y54" s="2988">
        <f t="shared" si="25"/>
        <v>0</v>
      </c>
      <c r="Z54" s="996"/>
    </row>
    <row r="55" spans="1:26">
      <c r="A55" s="35"/>
      <c r="B55" s="20"/>
      <c r="C55" s="13">
        <f t="shared" si="14"/>
        <v>1</v>
      </c>
      <c r="D55" s="599"/>
      <c r="E55" s="13">
        <f t="shared" si="15"/>
        <v>1</v>
      </c>
      <c r="F55" s="599"/>
      <c r="G55" s="13">
        <f t="shared" si="16"/>
        <v>1</v>
      </c>
      <c r="H55" s="599"/>
      <c r="I55" s="13">
        <f t="shared" si="17"/>
        <v>1</v>
      </c>
      <c r="J55" s="599"/>
      <c r="K55" s="13">
        <f t="shared" si="18"/>
        <v>1</v>
      </c>
      <c r="L55" s="599"/>
      <c r="M55" s="13">
        <f t="shared" si="19"/>
        <v>1</v>
      </c>
      <c r="N55" s="599"/>
      <c r="O55" s="13">
        <f t="shared" si="20"/>
        <v>1</v>
      </c>
      <c r="P55" s="599"/>
      <c r="Q55" s="13">
        <f t="shared" si="21"/>
        <v>0</v>
      </c>
      <c r="R55" s="596">
        <f t="shared" si="26"/>
        <v>0</v>
      </c>
      <c r="S55" s="250">
        <f t="shared" si="27"/>
        <v>0</v>
      </c>
      <c r="T55" s="899">
        <f t="shared" si="28"/>
        <v>0</v>
      </c>
      <c r="U55" s="2988">
        <f t="shared" si="22"/>
        <v>0</v>
      </c>
      <c r="V55" s="2988">
        <f t="shared" si="23"/>
        <v>0</v>
      </c>
      <c r="W55" s="996"/>
      <c r="X55" s="2988">
        <f t="shared" si="24"/>
        <v>0</v>
      </c>
      <c r="Y55" s="2988">
        <f t="shared" si="25"/>
        <v>0</v>
      </c>
      <c r="Z55" s="996"/>
    </row>
    <row r="56" spans="1:26">
      <c r="A56" s="35"/>
      <c r="B56" s="20"/>
      <c r="C56" s="13">
        <f t="shared" si="14"/>
        <v>1</v>
      </c>
      <c r="D56" s="599"/>
      <c r="E56" s="13">
        <f t="shared" si="15"/>
        <v>1</v>
      </c>
      <c r="F56" s="599"/>
      <c r="G56" s="13">
        <f t="shared" si="16"/>
        <v>1</v>
      </c>
      <c r="H56" s="599"/>
      <c r="I56" s="13">
        <f t="shared" si="17"/>
        <v>1</v>
      </c>
      <c r="J56" s="599"/>
      <c r="K56" s="13">
        <f t="shared" si="18"/>
        <v>1</v>
      </c>
      <c r="L56" s="599"/>
      <c r="M56" s="13">
        <f t="shared" si="19"/>
        <v>1</v>
      </c>
      <c r="N56" s="599"/>
      <c r="O56" s="13">
        <f t="shared" si="20"/>
        <v>1</v>
      </c>
      <c r="P56" s="599"/>
      <c r="Q56" s="13">
        <f t="shared" si="21"/>
        <v>0</v>
      </c>
      <c r="R56" s="596">
        <f t="shared" si="26"/>
        <v>0</v>
      </c>
      <c r="S56" s="250">
        <f t="shared" si="27"/>
        <v>0</v>
      </c>
      <c r="T56" s="899">
        <f t="shared" si="28"/>
        <v>0</v>
      </c>
      <c r="U56" s="2988">
        <f t="shared" si="22"/>
        <v>0</v>
      </c>
      <c r="V56" s="2988">
        <f t="shared" si="23"/>
        <v>0</v>
      </c>
      <c r="W56" s="996"/>
      <c r="X56" s="2988">
        <f t="shared" si="24"/>
        <v>0</v>
      </c>
      <c r="Y56" s="2988">
        <f t="shared" si="25"/>
        <v>0</v>
      </c>
      <c r="Z56" s="996"/>
    </row>
    <row r="57" spans="1:26">
      <c r="A57" s="35"/>
      <c r="B57" s="20"/>
      <c r="C57" s="13">
        <f t="shared" si="14"/>
        <v>1</v>
      </c>
      <c r="D57" s="599"/>
      <c r="E57" s="13">
        <f t="shared" si="15"/>
        <v>1</v>
      </c>
      <c r="F57" s="599"/>
      <c r="G57" s="13">
        <f t="shared" si="16"/>
        <v>1</v>
      </c>
      <c r="H57" s="599"/>
      <c r="I57" s="13">
        <f t="shared" si="17"/>
        <v>1</v>
      </c>
      <c r="J57" s="599"/>
      <c r="K57" s="13">
        <f t="shared" si="18"/>
        <v>1</v>
      </c>
      <c r="L57" s="599"/>
      <c r="M57" s="13">
        <f t="shared" si="19"/>
        <v>1</v>
      </c>
      <c r="N57" s="599"/>
      <c r="O57" s="13">
        <f t="shared" si="20"/>
        <v>1</v>
      </c>
      <c r="P57" s="599"/>
      <c r="Q57" s="13">
        <f t="shared" si="21"/>
        <v>0</v>
      </c>
      <c r="R57" s="596">
        <f t="shared" si="26"/>
        <v>0</v>
      </c>
      <c r="S57" s="250">
        <f t="shared" si="27"/>
        <v>0</v>
      </c>
      <c r="T57" s="899">
        <f t="shared" si="28"/>
        <v>0</v>
      </c>
      <c r="U57" s="2988">
        <f t="shared" si="22"/>
        <v>0</v>
      </c>
      <c r="V57" s="2988">
        <f t="shared" si="23"/>
        <v>0</v>
      </c>
      <c r="W57" s="996"/>
      <c r="X57" s="2988">
        <f t="shared" si="24"/>
        <v>0</v>
      </c>
      <c r="Y57" s="2988">
        <f t="shared" si="25"/>
        <v>0</v>
      </c>
      <c r="Z57" s="996"/>
    </row>
    <row r="58" spans="1:26">
      <c r="A58" s="35"/>
      <c r="B58" s="20"/>
      <c r="C58" s="13">
        <f t="shared" si="14"/>
        <v>1</v>
      </c>
      <c r="D58" s="599"/>
      <c r="E58" s="13">
        <f t="shared" si="15"/>
        <v>1</v>
      </c>
      <c r="F58" s="599"/>
      <c r="G58" s="13">
        <f t="shared" si="16"/>
        <v>1</v>
      </c>
      <c r="H58" s="599"/>
      <c r="I58" s="13">
        <f t="shared" si="17"/>
        <v>1</v>
      </c>
      <c r="J58" s="599"/>
      <c r="K58" s="13">
        <f t="shared" si="18"/>
        <v>1</v>
      </c>
      <c r="L58" s="599"/>
      <c r="M58" s="13">
        <f t="shared" si="19"/>
        <v>1</v>
      </c>
      <c r="N58" s="599"/>
      <c r="O58" s="13">
        <f t="shared" si="20"/>
        <v>1</v>
      </c>
      <c r="P58" s="599"/>
      <c r="Q58" s="13">
        <f t="shared" si="21"/>
        <v>0</v>
      </c>
      <c r="R58" s="596">
        <f t="shared" si="26"/>
        <v>0</v>
      </c>
      <c r="S58" s="250">
        <f t="shared" si="27"/>
        <v>0</v>
      </c>
      <c r="T58" s="899">
        <f t="shared" si="28"/>
        <v>0</v>
      </c>
      <c r="U58" s="2988">
        <f t="shared" si="22"/>
        <v>0</v>
      </c>
      <c r="V58" s="2988">
        <f t="shared" si="23"/>
        <v>0</v>
      </c>
      <c r="W58" s="996"/>
      <c r="X58" s="2988">
        <f t="shared" si="24"/>
        <v>0</v>
      </c>
      <c r="Y58" s="2988">
        <f t="shared" si="25"/>
        <v>0</v>
      </c>
      <c r="Z58" s="996"/>
    </row>
    <row r="59" spans="1:26">
      <c r="A59" s="35"/>
      <c r="B59" s="20"/>
      <c r="C59" s="13">
        <f t="shared" si="14"/>
        <v>1</v>
      </c>
      <c r="D59" s="599"/>
      <c r="E59" s="13">
        <f t="shared" si="15"/>
        <v>1</v>
      </c>
      <c r="F59" s="599"/>
      <c r="G59" s="13">
        <f t="shared" si="16"/>
        <v>1</v>
      </c>
      <c r="H59" s="599"/>
      <c r="I59" s="13">
        <f t="shared" si="17"/>
        <v>1</v>
      </c>
      <c r="J59" s="599"/>
      <c r="K59" s="13">
        <f t="shared" si="18"/>
        <v>1</v>
      </c>
      <c r="L59" s="599"/>
      <c r="M59" s="13">
        <f t="shared" si="19"/>
        <v>1</v>
      </c>
      <c r="N59" s="599"/>
      <c r="O59" s="13">
        <f t="shared" si="20"/>
        <v>1</v>
      </c>
      <c r="P59" s="599"/>
      <c r="Q59" s="13">
        <f t="shared" si="21"/>
        <v>0</v>
      </c>
      <c r="R59" s="596">
        <f t="shared" si="26"/>
        <v>0</v>
      </c>
      <c r="S59" s="250">
        <f t="shared" si="27"/>
        <v>0</v>
      </c>
      <c r="T59" s="899">
        <f t="shared" si="28"/>
        <v>0</v>
      </c>
      <c r="U59" s="2988">
        <f t="shared" si="22"/>
        <v>0</v>
      </c>
      <c r="V59" s="2988">
        <f t="shared" si="23"/>
        <v>0</v>
      </c>
      <c r="W59" s="996"/>
      <c r="X59" s="2988">
        <f t="shared" si="24"/>
        <v>0</v>
      </c>
      <c r="Y59" s="2988">
        <f t="shared" si="25"/>
        <v>0</v>
      </c>
      <c r="Z59" s="996"/>
    </row>
    <row r="60" spans="1:26">
      <c r="A60" s="35"/>
      <c r="B60" s="20"/>
      <c r="C60" s="13">
        <f t="shared" si="14"/>
        <v>1</v>
      </c>
      <c r="D60" s="599"/>
      <c r="E60" s="13">
        <f t="shared" si="15"/>
        <v>1</v>
      </c>
      <c r="F60" s="599"/>
      <c r="G60" s="13">
        <f t="shared" si="16"/>
        <v>1</v>
      </c>
      <c r="H60" s="599"/>
      <c r="I60" s="13">
        <f t="shared" si="17"/>
        <v>1</v>
      </c>
      <c r="J60" s="599"/>
      <c r="K60" s="13">
        <f t="shared" si="18"/>
        <v>1</v>
      </c>
      <c r="L60" s="599"/>
      <c r="M60" s="13">
        <f t="shared" si="19"/>
        <v>1</v>
      </c>
      <c r="N60" s="599"/>
      <c r="O60" s="13">
        <f t="shared" si="20"/>
        <v>1</v>
      </c>
      <c r="P60" s="599"/>
      <c r="Q60" s="13">
        <f t="shared" si="21"/>
        <v>0</v>
      </c>
      <c r="R60" s="596">
        <f t="shared" si="26"/>
        <v>0</v>
      </c>
      <c r="S60" s="250">
        <f t="shared" si="27"/>
        <v>0</v>
      </c>
      <c r="T60" s="899">
        <f t="shared" si="28"/>
        <v>0</v>
      </c>
      <c r="U60" s="2988">
        <f t="shared" si="22"/>
        <v>0</v>
      </c>
      <c r="V60" s="2988">
        <f t="shared" si="23"/>
        <v>0</v>
      </c>
      <c r="W60" s="996"/>
      <c r="X60" s="2988">
        <f t="shared" si="24"/>
        <v>0</v>
      </c>
      <c r="Y60" s="2988">
        <f t="shared" si="25"/>
        <v>0</v>
      </c>
      <c r="Z60" s="996"/>
    </row>
    <row r="61" spans="1:26">
      <c r="A61" s="35"/>
      <c r="B61" s="20"/>
      <c r="C61" s="13">
        <f t="shared" si="14"/>
        <v>1</v>
      </c>
      <c r="D61" s="599"/>
      <c r="E61" s="13">
        <f t="shared" si="15"/>
        <v>1</v>
      </c>
      <c r="F61" s="599"/>
      <c r="G61" s="13">
        <f t="shared" si="16"/>
        <v>1</v>
      </c>
      <c r="H61" s="599"/>
      <c r="I61" s="13">
        <f t="shared" si="17"/>
        <v>1</v>
      </c>
      <c r="J61" s="599"/>
      <c r="K61" s="13">
        <f t="shared" si="18"/>
        <v>1</v>
      </c>
      <c r="L61" s="599"/>
      <c r="M61" s="13">
        <f t="shared" si="19"/>
        <v>1</v>
      </c>
      <c r="N61" s="599"/>
      <c r="O61" s="13">
        <f t="shared" si="20"/>
        <v>1</v>
      </c>
      <c r="P61" s="599"/>
      <c r="Q61" s="13">
        <f t="shared" si="21"/>
        <v>0</v>
      </c>
      <c r="R61" s="596">
        <f t="shared" si="26"/>
        <v>0</v>
      </c>
      <c r="S61" s="250">
        <f t="shared" si="27"/>
        <v>0</v>
      </c>
      <c r="T61" s="899">
        <f t="shared" si="28"/>
        <v>0</v>
      </c>
      <c r="U61" s="2988">
        <f t="shared" si="22"/>
        <v>0</v>
      </c>
      <c r="V61" s="2988">
        <f t="shared" si="23"/>
        <v>0</v>
      </c>
      <c r="W61" s="996"/>
      <c r="X61" s="2988">
        <f t="shared" si="24"/>
        <v>0</v>
      </c>
      <c r="Y61" s="2988">
        <f t="shared" si="25"/>
        <v>0</v>
      </c>
      <c r="Z61" s="996"/>
    </row>
    <row r="62" spans="1:26">
      <c r="A62" s="35"/>
      <c r="B62" s="20"/>
      <c r="C62" s="13">
        <f t="shared" si="14"/>
        <v>1</v>
      </c>
      <c r="D62" s="599"/>
      <c r="E62" s="13">
        <f t="shared" si="15"/>
        <v>1</v>
      </c>
      <c r="F62" s="599"/>
      <c r="G62" s="13">
        <f t="shared" si="16"/>
        <v>1</v>
      </c>
      <c r="H62" s="599"/>
      <c r="I62" s="13">
        <f t="shared" si="17"/>
        <v>1</v>
      </c>
      <c r="J62" s="599"/>
      <c r="K62" s="13">
        <f t="shared" si="18"/>
        <v>1</v>
      </c>
      <c r="L62" s="599"/>
      <c r="M62" s="13">
        <f t="shared" si="19"/>
        <v>1</v>
      </c>
      <c r="N62" s="599"/>
      <c r="O62" s="13">
        <f t="shared" si="20"/>
        <v>1</v>
      </c>
      <c r="P62" s="599"/>
      <c r="Q62" s="13">
        <f t="shared" si="21"/>
        <v>0</v>
      </c>
      <c r="R62" s="596">
        <f t="shared" si="26"/>
        <v>0</v>
      </c>
      <c r="S62" s="250">
        <f t="shared" si="27"/>
        <v>0</v>
      </c>
      <c r="T62" s="899">
        <f t="shared" si="28"/>
        <v>0</v>
      </c>
      <c r="U62" s="2988">
        <f t="shared" si="22"/>
        <v>0</v>
      </c>
      <c r="V62" s="2988">
        <f t="shared" si="23"/>
        <v>0</v>
      </c>
      <c r="W62" s="996"/>
      <c r="X62" s="2988">
        <f t="shared" si="24"/>
        <v>0</v>
      </c>
      <c r="Y62" s="2988">
        <f t="shared" si="25"/>
        <v>0</v>
      </c>
      <c r="Z62" s="996"/>
    </row>
    <row r="63" spans="1:26">
      <c r="A63" s="35"/>
      <c r="B63" s="20"/>
      <c r="C63" s="13">
        <f t="shared" si="14"/>
        <v>1</v>
      </c>
      <c r="D63" s="599"/>
      <c r="E63" s="13">
        <f t="shared" si="15"/>
        <v>1</v>
      </c>
      <c r="F63" s="599"/>
      <c r="G63" s="13">
        <f t="shared" si="16"/>
        <v>1</v>
      </c>
      <c r="H63" s="599"/>
      <c r="I63" s="13">
        <f t="shared" si="17"/>
        <v>1</v>
      </c>
      <c r="J63" s="599"/>
      <c r="K63" s="13">
        <f t="shared" si="18"/>
        <v>1</v>
      </c>
      <c r="L63" s="599"/>
      <c r="M63" s="13">
        <f t="shared" si="19"/>
        <v>1</v>
      </c>
      <c r="N63" s="599"/>
      <c r="O63" s="13">
        <f t="shared" si="20"/>
        <v>1</v>
      </c>
      <c r="P63" s="599"/>
      <c r="Q63" s="13">
        <f t="shared" si="21"/>
        <v>0</v>
      </c>
      <c r="R63" s="596">
        <f t="shared" si="26"/>
        <v>0</v>
      </c>
      <c r="S63" s="250">
        <f t="shared" si="27"/>
        <v>0</v>
      </c>
      <c r="T63" s="899">
        <f t="shared" si="28"/>
        <v>0</v>
      </c>
      <c r="U63" s="2988">
        <f t="shared" si="22"/>
        <v>0</v>
      </c>
      <c r="V63" s="2988">
        <f t="shared" si="23"/>
        <v>0</v>
      </c>
      <c r="W63" s="996"/>
      <c r="X63" s="2988">
        <f t="shared" si="24"/>
        <v>0</v>
      </c>
      <c r="Y63" s="2988">
        <f t="shared" si="25"/>
        <v>0</v>
      </c>
      <c r="Z63" s="996"/>
    </row>
    <row r="64" spans="1:26">
      <c r="A64" s="35"/>
      <c r="B64" s="20"/>
      <c r="C64" s="13">
        <f t="shared" si="14"/>
        <v>1</v>
      </c>
      <c r="D64" s="599"/>
      <c r="E64" s="13">
        <f t="shared" si="15"/>
        <v>1</v>
      </c>
      <c r="F64" s="599"/>
      <c r="G64" s="13">
        <f t="shared" si="16"/>
        <v>1</v>
      </c>
      <c r="H64" s="599"/>
      <c r="I64" s="13">
        <f t="shared" si="17"/>
        <v>1</v>
      </c>
      <c r="J64" s="599"/>
      <c r="K64" s="13">
        <f t="shared" si="18"/>
        <v>1</v>
      </c>
      <c r="L64" s="599"/>
      <c r="M64" s="13">
        <f t="shared" si="19"/>
        <v>1</v>
      </c>
      <c r="N64" s="599"/>
      <c r="O64" s="13">
        <f t="shared" si="20"/>
        <v>1</v>
      </c>
      <c r="P64" s="599"/>
      <c r="Q64" s="13">
        <f t="shared" si="21"/>
        <v>0</v>
      </c>
      <c r="R64" s="596">
        <f t="shared" si="26"/>
        <v>0</v>
      </c>
      <c r="S64" s="250">
        <f t="shared" si="27"/>
        <v>0</v>
      </c>
      <c r="T64" s="899">
        <f t="shared" si="28"/>
        <v>0</v>
      </c>
      <c r="U64" s="2988">
        <f t="shared" si="22"/>
        <v>0</v>
      </c>
      <c r="V64" s="2988">
        <f t="shared" si="23"/>
        <v>0</v>
      </c>
      <c r="W64" s="996"/>
      <c r="X64" s="2988">
        <f t="shared" si="24"/>
        <v>0</v>
      </c>
      <c r="Y64" s="2988">
        <f t="shared" si="25"/>
        <v>0</v>
      </c>
      <c r="Z64" s="996"/>
    </row>
    <row r="65" spans="1:26">
      <c r="A65" s="35"/>
      <c r="B65" s="20"/>
      <c r="C65" s="13">
        <f t="shared" si="14"/>
        <v>1</v>
      </c>
      <c r="D65" s="599"/>
      <c r="E65" s="13">
        <f t="shared" si="15"/>
        <v>1</v>
      </c>
      <c r="F65" s="599"/>
      <c r="G65" s="13">
        <f t="shared" si="16"/>
        <v>1</v>
      </c>
      <c r="H65" s="599"/>
      <c r="I65" s="13">
        <f t="shared" si="17"/>
        <v>1</v>
      </c>
      <c r="J65" s="599"/>
      <c r="K65" s="13">
        <f t="shared" si="18"/>
        <v>1</v>
      </c>
      <c r="L65" s="599"/>
      <c r="M65" s="13">
        <f t="shared" si="19"/>
        <v>1</v>
      </c>
      <c r="N65" s="599"/>
      <c r="O65" s="13">
        <f t="shared" si="20"/>
        <v>1</v>
      </c>
      <c r="P65" s="599"/>
      <c r="Q65" s="13">
        <f t="shared" si="21"/>
        <v>0</v>
      </c>
      <c r="R65" s="596">
        <f t="shared" si="26"/>
        <v>0</v>
      </c>
      <c r="S65" s="250">
        <f t="shared" si="27"/>
        <v>0</v>
      </c>
      <c r="T65" s="899">
        <f t="shared" si="28"/>
        <v>0</v>
      </c>
      <c r="U65" s="2988">
        <f t="shared" si="22"/>
        <v>0</v>
      </c>
      <c r="V65" s="2988">
        <f t="shared" si="23"/>
        <v>0</v>
      </c>
      <c r="W65" s="996"/>
      <c r="X65" s="2988">
        <f t="shared" si="24"/>
        <v>0</v>
      </c>
      <c r="Y65" s="2988">
        <f t="shared" si="25"/>
        <v>0</v>
      </c>
      <c r="Z65" s="996"/>
    </row>
    <row r="66" spans="1:26">
      <c r="A66" s="35"/>
      <c r="B66" s="20"/>
      <c r="C66" s="13">
        <f t="shared" si="14"/>
        <v>1</v>
      </c>
      <c r="D66" s="599"/>
      <c r="E66" s="13">
        <f t="shared" si="15"/>
        <v>1</v>
      </c>
      <c r="F66" s="599"/>
      <c r="G66" s="13">
        <f t="shared" si="16"/>
        <v>1</v>
      </c>
      <c r="H66" s="599"/>
      <c r="I66" s="13">
        <f t="shared" si="17"/>
        <v>1</v>
      </c>
      <c r="J66" s="599"/>
      <c r="K66" s="13">
        <f t="shared" si="18"/>
        <v>1</v>
      </c>
      <c r="L66" s="599"/>
      <c r="M66" s="13">
        <f t="shared" si="19"/>
        <v>1</v>
      </c>
      <c r="N66" s="599"/>
      <c r="O66" s="13">
        <f t="shared" si="20"/>
        <v>1</v>
      </c>
      <c r="P66" s="599"/>
      <c r="Q66" s="13">
        <f t="shared" si="21"/>
        <v>0</v>
      </c>
      <c r="R66" s="596">
        <f t="shared" si="26"/>
        <v>0</v>
      </c>
      <c r="S66" s="250">
        <f t="shared" si="27"/>
        <v>0</v>
      </c>
      <c r="T66" s="899">
        <f t="shared" si="28"/>
        <v>0</v>
      </c>
      <c r="U66" s="2988">
        <f t="shared" si="22"/>
        <v>0</v>
      </c>
      <c r="V66" s="2988">
        <f t="shared" si="23"/>
        <v>0</v>
      </c>
      <c r="W66" s="996"/>
      <c r="X66" s="2988">
        <f t="shared" si="24"/>
        <v>0</v>
      </c>
      <c r="Y66" s="2988">
        <f t="shared" si="25"/>
        <v>0</v>
      </c>
      <c r="Z66" s="996"/>
    </row>
    <row r="67" spans="1:26">
      <c r="A67" s="35"/>
      <c r="B67" s="20"/>
      <c r="C67" s="13">
        <f t="shared" si="14"/>
        <v>1</v>
      </c>
      <c r="D67" s="599"/>
      <c r="E67" s="13">
        <f t="shared" si="15"/>
        <v>1</v>
      </c>
      <c r="F67" s="599"/>
      <c r="G67" s="13">
        <f t="shared" si="16"/>
        <v>1</v>
      </c>
      <c r="H67" s="599"/>
      <c r="I67" s="13">
        <f t="shared" si="17"/>
        <v>1</v>
      </c>
      <c r="J67" s="599"/>
      <c r="K67" s="13">
        <f t="shared" si="18"/>
        <v>1</v>
      </c>
      <c r="L67" s="599"/>
      <c r="M67" s="13">
        <f t="shared" si="19"/>
        <v>1</v>
      </c>
      <c r="N67" s="599"/>
      <c r="O67" s="13">
        <f t="shared" si="20"/>
        <v>1</v>
      </c>
      <c r="P67" s="599"/>
      <c r="Q67" s="13">
        <f t="shared" si="21"/>
        <v>0</v>
      </c>
      <c r="R67" s="596">
        <f t="shared" si="26"/>
        <v>0</v>
      </c>
      <c r="S67" s="250">
        <f t="shared" si="27"/>
        <v>0</v>
      </c>
      <c r="T67" s="899">
        <f t="shared" si="28"/>
        <v>0</v>
      </c>
      <c r="U67" s="2988">
        <f t="shared" si="22"/>
        <v>0</v>
      </c>
      <c r="V67" s="2988">
        <f t="shared" si="23"/>
        <v>0</v>
      </c>
      <c r="W67" s="996"/>
      <c r="X67" s="2988">
        <f t="shared" si="24"/>
        <v>0</v>
      </c>
      <c r="Y67" s="2988">
        <f t="shared" si="25"/>
        <v>0</v>
      </c>
      <c r="Z67" s="996"/>
    </row>
    <row r="68" spans="1:26">
      <c r="A68" s="35"/>
      <c r="B68" s="20"/>
      <c r="C68" s="13">
        <f t="shared" si="14"/>
        <v>1</v>
      </c>
      <c r="D68" s="599"/>
      <c r="E68" s="13">
        <f t="shared" si="15"/>
        <v>1</v>
      </c>
      <c r="F68" s="599"/>
      <c r="G68" s="13">
        <f t="shared" si="16"/>
        <v>1</v>
      </c>
      <c r="H68" s="599"/>
      <c r="I68" s="13">
        <f t="shared" si="17"/>
        <v>1</v>
      </c>
      <c r="J68" s="599"/>
      <c r="K68" s="13">
        <f t="shared" si="18"/>
        <v>1</v>
      </c>
      <c r="L68" s="599"/>
      <c r="M68" s="13">
        <f t="shared" si="19"/>
        <v>1</v>
      </c>
      <c r="N68" s="599"/>
      <c r="O68" s="13">
        <f t="shared" si="20"/>
        <v>1</v>
      </c>
      <c r="P68" s="599"/>
      <c r="Q68" s="13">
        <f t="shared" si="21"/>
        <v>0</v>
      </c>
      <c r="R68" s="596">
        <f t="shared" si="26"/>
        <v>0</v>
      </c>
      <c r="S68" s="250">
        <f t="shared" si="27"/>
        <v>0</v>
      </c>
      <c r="T68" s="899">
        <f t="shared" si="28"/>
        <v>0</v>
      </c>
      <c r="U68" s="2988">
        <f t="shared" si="22"/>
        <v>0</v>
      </c>
      <c r="V68" s="2988">
        <f t="shared" si="23"/>
        <v>0</v>
      </c>
      <c r="W68" s="996"/>
      <c r="X68" s="2988">
        <f t="shared" si="24"/>
        <v>0</v>
      </c>
      <c r="Y68" s="2988">
        <f t="shared" si="25"/>
        <v>0</v>
      </c>
      <c r="Z68" s="996"/>
    </row>
    <row r="69" spans="1:26">
      <c r="A69" s="35"/>
      <c r="B69" s="20"/>
      <c r="C69" s="13">
        <f t="shared" si="14"/>
        <v>1</v>
      </c>
      <c r="D69" s="599"/>
      <c r="E69" s="13">
        <f t="shared" si="15"/>
        <v>1</v>
      </c>
      <c r="F69" s="599"/>
      <c r="G69" s="13">
        <f t="shared" si="16"/>
        <v>1</v>
      </c>
      <c r="H69" s="599"/>
      <c r="I69" s="13">
        <f t="shared" si="17"/>
        <v>1</v>
      </c>
      <c r="J69" s="599"/>
      <c r="K69" s="13">
        <f t="shared" si="18"/>
        <v>1</v>
      </c>
      <c r="L69" s="599"/>
      <c r="M69" s="13">
        <f t="shared" si="19"/>
        <v>1</v>
      </c>
      <c r="N69" s="599"/>
      <c r="O69" s="13">
        <f t="shared" si="20"/>
        <v>1</v>
      </c>
      <c r="P69" s="599"/>
      <c r="Q69" s="13">
        <f t="shared" si="21"/>
        <v>0</v>
      </c>
      <c r="R69" s="596">
        <f t="shared" si="26"/>
        <v>0</v>
      </c>
      <c r="S69" s="250">
        <f t="shared" si="27"/>
        <v>0</v>
      </c>
      <c r="T69" s="899">
        <f t="shared" si="28"/>
        <v>0</v>
      </c>
      <c r="U69" s="2988">
        <f t="shared" si="22"/>
        <v>0</v>
      </c>
      <c r="V69" s="2988">
        <f t="shared" si="23"/>
        <v>0</v>
      </c>
      <c r="W69" s="996"/>
      <c r="X69" s="2988">
        <f t="shared" si="24"/>
        <v>0</v>
      </c>
      <c r="Y69" s="2988">
        <f t="shared" si="25"/>
        <v>0</v>
      </c>
      <c r="Z69" s="996"/>
    </row>
    <row r="70" spans="1:26">
      <c r="A70" s="35"/>
      <c r="B70" s="20"/>
      <c r="C70" s="13">
        <f t="shared" si="14"/>
        <v>1</v>
      </c>
      <c r="D70" s="599"/>
      <c r="E70" s="13">
        <f t="shared" si="15"/>
        <v>1</v>
      </c>
      <c r="F70" s="599"/>
      <c r="G70" s="13">
        <f t="shared" si="16"/>
        <v>1</v>
      </c>
      <c r="H70" s="599"/>
      <c r="I70" s="13">
        <f t="shared" si="17"/>
        <v>1</v>
      </c>
      <c r="J70" s="599"/>
      <c r="K70" s="13">
        <f t="shared" si="18"/>
        <v>1</v>
      </c>
      <c r="L70" s="599"/>
      <c r="M70" s="13">
        <f t="shared" si="19"/>
        <v>1</v>
      </c>
      <c r="N70" s="599"/>
      <c r="O70" s="13">
        <f t="shared" si="20"/>
        <v>1</v>
      </c>
      <c r="P70" s="599"/>
      <c r="Q70" s="13">
        <f t="shared" si="21"/>
        <v>0</v>
      </c>
      <c r="R70" s="596">
        <f t="shared" si="26"/>
        <v>0</v>
      </c>
      <c r="S70" s="250">
        <f t="shared" si="27"/>
        <v>0</v>
      </c>
      <c r="T70" s="899">
        <f t="shared" si="28"/>
        <v>0</v>
      </c>
      <c r="U70" s="2988">
        <f t="shared" si="22"/>
        <v>0</v>
      </c>
      <c r="V70" s="2988">
        <f t="shared" si="23"/>
        <v>0</v>
      </c>
      <c r="W70" s="996"/>
      <c r="X70" s="2988">
        <f t="shared" si="24"/>
        <v>0</v>
      </c>
      <c r="Y70" s="2988">
        <f t="shared" si="25"/>
        <v>0</v>
      </c>
      <c r="Z70" s="996"/>
    </row>
    <row r="71" spans="1:26">
      <c r="A71" s="35"/>
      <c r="B71" s="20"/>
      <c r="C71" s="13">
        <f t="shared" si="14"/>
        <v>1</v>
      </c>
      <c r="D71" s="599"/>
      <c r="E71" s="13">
        <f t="shared" si="15"/>
        <v>1</v>
      </c>
      <c r="F71" s="599"/>
      <c r="G71" s="13">
        <f t="shared" si="16"/>
        <v>1</v>
      </c>
      <c r="H71" s="599"/>
      <c r="I71" s="13">
        <f t="shared" si="17"/>
        <v>1</v>
      </c>
      <c r="J71" s="599"/>
      <c r="K71" s="13">
        <f t="shared" si="18"/>
        <v>1</v>
      </c>
      <c r="L71" s="599"/>
      <c r="M71" s="13">
        <f t="shared" si="19"/>
        <v>1</v>
      </c>
      <c r="N71" s="599"/>
      <c r="O71" s="13">
        <f t="shared" si="20"/>
        <v>1</v>
      </c>
      <c r="P71" s="599"/>
      <c r="Q71" s="13">
        <f t="shared" si="21"/>
        <v>0</v>
      </c>
      <c r="R71" s="596">
        <f t="shared" si="26"/>
        <v>0</v>
      </c>
      <c r="S71" s="250">
        <f t="shared" si="27"/>
        <v>0</v>
      </c>
      <c r="T71" s="899">
        <f t="shared" si="28"/>
        <v>0</v>
      </c>
      <c r="U71" s="2988">
        <f t="shared" si="22"/>
        <v>0</v>
      </c>
      <c r="V71" s="2988">
        <f t="shared" si="23"/>
        <v>0</v>
      </c>
      <c r="W71" s="996"/>
      <c r="X71" s="2988">
        <f t="shared" si="24"/>
        <v>0</v>
      </c>
      <c r="Y71" s="2988">
        <f t="shared" si="25"/>
        <v>0</v>
      </c>
      <c r="Z71" s="996"/>
    </row>
    <row r="72" spans="1:26">
      <c r="A72" s="35"/>
      <c r="B72" s="20"/>
      <c r="C72" s="13">
        <f t="shared" si="14"/>
        <v>1</v>
      </c>
      <c r="D72" s="599"/>
      <c r="E72" s="13">
        <f t="shared" si="15"/>
        <v>1</v>
      </c>
      <c r="F72" s="599"/>
      <c r="G72" s="13">
        <f t="shared" si="16"/>
        <v>1</v>
      </c>
      <c r="H72" s="599"/>
      <c r="I72" s="13">
        <f t="shared" si="17"/>
        <v>1</v>
      </c>
      <c r="J72" s="599"/>
      <c r="K72" s="13">
        <f t="shared" si="18"/>
        <v>1</v>
      </c>
      <c r="L72" s="599"/>
      <c r="M72" s="13">
        <f t="shared" si="19"/>
        <v>1</v>
      </c>
      <c r="N72" s="599"/>
      <c r="O72" s="13">
        <f t="shared" si="20"/>
        <v>1</v>
      </c>
      <c r="P72" s="599"/>
      <c r="Q72" s="13">
        <f t="shared" si="21"/>
        <v>0</v>
      </c>
      <c r="R72" s="596">
        <f t="shared" si="26"/>
        <v>0</v>
      </c>
      <c r="S72" s="250">
        <f t="shared" si="27"/>
        <v>0</v>
      </c>
      <c r="T72" s="899">
        <f t="shared" si="28"/>
        <v>0</v>
      </c>
      <c r="U72" s="2988">
        <f t="shared" si="22"/>
        <v>0</v>
      </c>
      <c r="V72" s="2988">
        <f t="shared" si="23"/>
        <v>0</v>
      </c>
      <c r="W72" s="996"/>
      <c r="X72" s="2988">
        <f t="shared" si="24"/>
        <v>0</v>
      </c>
      <c r="Y72" s="2988">
        <f t="shared" si="25"/>
        <v>0</v>
      </c>
      <c r="Z72" s="996"/>
    </row>
    <row r="73" spans="1:26">
      <c r="A73" s="35"/>
      <c r="B73" s="20"/>
      <c r="C73" s="13">
        <f t="shared" si="14"/>
        <v>1</v>
      </c>
      <c r="D73" s="599"/>
      <c r="E73" s="13">
        <f t="shared" si="15"/>
        <v>1</v>
      </c>
      <c r="F73" s="599"/>
      <c r="G73" s="13">
        <f t="shared" si="16"/>
        <v>1</v>
      </c>
      <c r="H73" s="599"/>
      <c r="I73" s="13">
        <f t="shared" si="17"/>
        <v>1</v>
      </c>
      <c r="J73" s="599"/>
      <c r="K73" s="13">
        <f t="shared" si="18"/>
        <v>1</v>
      </c>
      <c r="L73" s="599"/>
      <c r="M73" s="13">
        <f t="shared" si="19"/>
        <v>1</v>
      </c>
      <c r="N73" s="599"/>
      <c r="O73" s="13">
        <f t="shared" si="20"/>
        <v>1</v>
      </c>
      <c r="P73" s="599"/>
      <c r="Q73" s="13">
        <f t="shared" si="21"/>
        <v>0</v>
      </c>
      <c r="R73" s="596">
        <f t="shared" si="26"/>
        <v>0</v>
      </c>
      <c r="S73" s="250">
        <f t="shared" si="27"/>
        <v>0</v>
      </c>
      <c r="T73" s="899">
        <f t="shared" si="28"/>
        <v>0</v>
      </c>
      <c r="U73" s="2988">
        <f t="shared" si="22"/>
        <v>0</v>
      </c>
      <c r="V73" s="2988">
        <f t="shared" si="23"/>
        <v>0</v>
      </c>
      <c r="W73" s="996"/>
      <c r="X73" s="2988">
        <f t="shared" si="24"/>
        <v>0</v>
      </c>
      <c r="Y73" s="2988">
        <f t="shared" si="25"/>
        <v>0</v>
      </c>
      <c r="Z73" s="996"/>
    </row>
    <row r="74" spans="1:26">
      <c r="A74" s="35"/>
      <c r="B74" s="20"/>
      <c r="C74" s="13">
        <f t="shared" si="14"/>
        <v>1</v>
      </c>
      <c r="D74" s="599"/>
      <c r="E74" s="13">
        <f t="shared" si="15"/>
        <v>1</v>
      </c>
      <c r="F74" s="599"/>
      <c r="G74" s="13">
        <f t="shared" si="16"/>
        <v>1</v>
      </c>
      <c r="H74" s="599"/>
      <c r="I74" s="13">
        <f t="shared" si="17"/>
        <v>1</v>
      </c>
      <c r="J74" s="599"/>
      <c r="K74" s="13">
        <f t="shared" si="18"/>
        <v>1</v>
      </c>
      <c r="L74" s="599"/>
      <c r="M74" s="13">
        <f t="shared" si="19"/>
        <v>1</v>
      </c>
      <c r="N74" s="599"/>
      <c r="O74" s="13">
        <f t="shared" si="20"/>
        <v>1</v>
      </c>
      <c r="P74" s="599"/>
      <c r="Q74" s="13">
        <f t="shared" si="21"/>
        <v>0</v>
      </c>
      <c r="R74" s="596">
        <f t="shared" si="26"/>
        <v>0</v>
      </c>
      <c r="S74" s="250">
        <f t="shared" si="27"/>
        <v>0</v>
      </c>
      <c r="T74" s="899">
        <f t="shared" si="28"/>
        <v>0</v>
      </c>
      <c r="U74" s="2988">
        <f t="shared" si="22"/>
        <v>0</v>
      </c>
      <c r="V74" s="2988">
        <f t="shared" si="23"/>
        <v>0</v>
      </c>
      <c r="W74" s="996"/>
      <c r="X74" s="2988">
        <f t="shared" si="24"/>
        <v>0</v>
      </c>
      <c r="Y74" s="2988">
        <f t="shared" si="25"/>
        <v>0</v>
      </c>
      <c r="Z74" s="996"/>
    </row>
    <row r="75" spans="1:26">
      <c r="A75" s="35"/>
      <c r="B75" s="20"/>
      <c r="C75" s="13">
        <f t="shared" si="14"/>
        <v>1</v>
      </c>
      <c r="D75" s="599"/>
      <c r="E75" s="13">
        <f t="shared" si="15"/>
        <v>1</v>
      </c>
      <c r="F75" s="599"/>
      <c r="G75" s="13">
        <f t="shared" si="16"/>
        <v>1</v>
      </c>
      <c r="H75" s="599"/>
      <c r="I75" s="13">
        <f t="shared" si="17"/>
        <v>1</v>
      </c>
      <c r="J75" s="599"/>
      <c r="K75" s="13">
        <f t="shared" si="18"/>
        <v>1</v>
      </c>
      <c r="L75" s="599"/>
      <c r="M75" s="13">
        <f t="shared" si="19"/>
        <v>1</v>
      </c>
      <c r="N75" s="599"/>
      <c r="O75" s="13">
        <f t="shared" si="20"/>
        <v>1</v>
      </c>
      <c r="P75" s="599"/>
      <c r="Q75" s="13">
        <f t="shared" si="21"/>
        <v>0</v>
      </c>
      <c r="R75" s="596">
        <f t="shared" si="26"/>
        <v>0</v>
      </c>
      <c r="S75" s="250">
        <f t="shared" si="27"/>
        <v>0</v>
      </c>
      <c r="T75" s="899">
        <f t="shared" si="28"/>
        <v>0</v>
      </c>
      <c r="U75" s="2988">
        <f t="shared" si="22"/>
        <v>0</v>
      </c>
      <c r="V75" s="2988">
        <f t="shared" si="23"/>
        <v>0</v>
      </c>
      <c r="W75" s="996"/>
      <c r="X75" s="2988">
        <f t="shared" si="24"/>
        <v>0</v>
      </c>
      <c r="Y75" s="2988">
        <f t="shared" si="25"/>
        <v>0</v>
      </c>
      <c r="Z75" s="996"/>
    </row>
    <row r="76" spans="1:26">
      <c r="A76" s="35"/>
      <c r="B76" s="20"/>
      <c r="C76" s="13">
        <f t="shared" si="14"/>
        <v>1</v>
      </c>
      <c r="D76" s="599"/>
      <c r="E76" s="13">
        <f t="shared" si="15"/>
        <v>1</v>
      </c>
      <c r="F76" s="599"/>
      <c r="G76" s="13">
        <f t="shared" si="16"/>
        <v>1</v>
      </c>
      <c r="H76" s="599"/>
      <c r="I76" s="13">
        <f t="shared" si="17"/>
        <v>1</v>
      </c>
      <c r="J76" s="599"/>
      <c r="K76" s="13">
        <f t="shared" si="18"/>
        <v>1</v>
      </c>
      <c r="L76" s="599"/>
      <c r="M76" s="13">
        <f t="shared" si="19"/>
        <v>1</v>
      </c>
      <c r="N76" s="599"/>
      <c r="O76" s="13">
        <f t="shared" si="20"/>
        <v>1</v>
      </c>
      <c r="P76" s="599"/>
      <c r="Q76" s="13">
        <f t="shared" si="21"/>
        <v>0</v>
      </c>
      <c r="R76" s="596">
        <f t="shared" si="26"/>
        <v>0</v>
      </c>
      <c r="S76" s="250">
        <f t="shared" si="27"/>
        <v>0</v>
      </c>
      <c r="T76" s="899">
        <f t="shared" si="28"/>
        <v>0</v>
      </c>
      <c r="U76" s="2988">
        <f t="shared" si="22"/>
        <v>0</v>
      </c>
      <c r="V76" s="2988">
        <f t="shared" si="23"/>
        <v>0</v>
      </c>
      <c r="W76" s="996"/>
      <c r="X76" s="2988">
        <f t="shared" si="24"/>
        <v>0</v>
      </c>
      <c r="Y76" s="2988">
        <f t="shared" si="25"/>
        <v>0</v>
      </c>
      <c r="Z76" s="996"/>
    </row>
    <row r="77" spans="1:26">
      <c r="A77" s="35"/>
      <c r="B77" s="20"/>
      <c r="C77" s="13">
        <f t="shared" si="14"/>
        <v>1</v>
      </c>
      <c r="D77" s="599"/>
      <c r="E77" s="13">
        <f t="shared" si="15"/>
        <v>1</v>
      </c>
      <c r="F77" s="599"/>
      <c r="G77" s="13">
        <f t="shared" si="16"/>
        <v>1</v>
      </c>
      <c r="H77" s="599"/>
      <c r="I77" s="13">
        <f t="shared" si="17"/>
        <v>1</v>
      </c>
      <c r="J77" s="599"/>
      <c r="K77" s="13">
        <f t="shared" si="18"/>
        <v>1</v>
      </c>
      <c r="L77" s="599"/>
      <c r="M77" s="13">
        <f t="shared" si="19"/>
        <v>1</v>
      </c>
      <c r="N77" s="599"/>
      <c r="O77" s="13">
        <f t="shared" si="20"/>
        <v>1</v>
      </c>
      <c r="P77" s="599"/>
      <c r="Q77" s="13">
        <f t="shared" si="21"/>
        <v>0</v>
      </c>
      <c r="R77" s="596">
        <f t="shared" si="26"/>
        <v>0</v>
      </c>
      <c r="S77" s="250">
        <f t="shared" si="27"/>
        <v>0</v>
      </c>
      <c r="T77" s="899">
        <f t="shared" si="28"/>
        <v>0</v>
      </c>
      <c r="U77" s="2988">
        <f t="shared" si="22"/>
        <v>0</v>
      </c>
      <c r="V77" s="2988">
        <f t="shared" si="23"/>
        <v>0</v>
      </c>
      <c r="W77" s="996"/>
      <c r="X77" s="2988">
        <f t="shared" si="24"/>
        <v>0</v>
      </c>
      <c r="Y77" s="2988">
        <f t="shared" si="25"/>
        <v>0</v>
      </c>
      <c r="Z77" s="996"/>
    </row>
    <row r="78" spans="1:26">
      <c r="A78" s="35"/>
      <c r="B78" s="20"/>
      <c r="C78" s="13">
        <f t="shared" si="14"/>
        <v>1</v>
      </c>
      <c r="D78" s="599"/>
      <c r="E78" s="13">
        <f t="shared" si="15"/>
        <v>1</v>
      </c>
      <c r="F78" s="599"/>
      <c r="G78" s="13">
        <f t="shared" si="16"/>
        <v>1</v>
      </c>
      <c r="H78" s="599"/>
      <c r="I78" s="13">
        <f t="shared" si="17"/>
        <v>1</v>
      </c>
      <c r="J78" s="599"/>
      <c r="K78" s="13">
        <f t="shared" si="18"/>
        <v>1</v>
      </c>
      <c r="L78" s="599"/>
      <c r="M78" s="13">
        <f t="shared" si="19"/>
        <v>1</v>
      </c>
      <c r="N78" s="599"/>
      <c r="O78" s="13">
        <f t="shared" si="20"/>
        <v>1</v>
      </c>
      <c r="P78" s="599"/>
      <c r="Q78" s="13">
        <f t="shared" si="21"/>
        <v>0</v>
      </c>
      <c r="R78" s="596">
        <f t="shared" si="26"/>
        <v>0</v>
      </c>
      <c r="S78" s="250">
        <f t="shared" si="27"/>
        <v>0</v>
      </c>
      <c r="T78" s="899">
        <f t="shared" si="28"/>
        <v>0</v>
      </c>
      <c r="U78" s="2988">
        <f t="shared" si="22"/>
        <v>0</v>
      </c>
      <c r="V78" s="2988">
        <f t="shared" si="23"/>
        <v>0</v>
      </c>
      <c r="W78" s="996"/>
      <c r="X78" s="2988">
        <f t="shared" si="24"/>
        <v>0</v>
      </c>
      <c r="Y78" s="2988">
        <f t="shared" si="25"/>
        <v>0</v>
      </c>
      <c r="Z78" s="996"/>
    </row>
    <row r="79" spans="1:26">
      <c r="A79" s="35"/>
      <c r="B79" s="20"/>
      <c r="C79" s="13">
        <f t="shared" si="14"/>
        <v>1</v>
      </c>
      <c r="D79" s="599"/>
      <c r="E79" s="13">
        <f t="shared" si="15"/>
        <v>1</v>
      </c>
      <c r="F79" s="599"/>
      <c r="G79" s="13">
        <f t="shared" si="16"/>
        <v>1</v>
      </c>
      <c r="H79" s="599"/>
      <c r="I79" s="13">
        <f t="shared" si="17"/>
        <v>1</v>
      </c>
      <c r="J79" s="599"/>
      <c r="K79" s="13">
        <f t="shared" si="18"/>
        <v>1</v>
      </c>
      <c r="L79" s="599"/>
      <c r="M79" s="13">
        <f t="shared" si="19"/>
        <v>1</v>
      </c>
      <c r="N79" s="599"/>
      <c r="O79" s="13">
        <f t="shared" si="20"/>
        <v>1</v>
      </c>
      <c r="P79" s="599"/>
      <c r="Q79" s="13">
        <f t="shared" si="21"/>
        <v>0</v>
      </c>
      <c r="R79" s="596">
        <f t="shared" si="26"/>
        <v>0</v>
      </c>
      <c r="S79" s="250">
        <f t="shared" si="27"/>
        <v>0</v>
      </c>
      <c r="T79" s="899">
        <f t="shared" si="28"/>
        <v>0</v>
      </c>
      <c r="U79" s="2988">
        <f t="shared" si="22"/>
        <v>0</v>
      </c>
      <c r="V79" s="2988">
        <f t="shared" si="23"/>
        <v>0</v>
      </c>
      <c r="W79" s="996"/>
      <c r="X79" s="2988">
        <f t="shared" si="24"/>
        <v>0</v>
      </c>
      <c r="Y79" s="2988">
        <f t="shared" si="25"/>
        <v>0</v>
      </c>
      <c r="Z79" s="996"/>
    </row>
    <row r="80" spans="1:26">
      <c r="A80" s="35"/>
      <c r="B80" s="20"/>
      <c r="C80" s="13">
        <f t="shared" si="14"/>
        <v>1</v>
      </c>
      <c r="D80" s="599"/>
      <c r="E80" s="13">
        <f t="shared" si="15"/>
        <v>1</v>
      </c>
      <c r="F80" s="599"/>
      <c r="G80" s="13">
        <f t="shared" si="16"/>
        <v>1</v>
      </c>
      <c r="H80" s="599"/>
      <c r="I80" s="13">
        <f t="shared" si="17"/>
        <v>1</v>
      </c>
      <c r="J80" s="599"/>
      <c r="K80" s="13">
        <f t="shared" si="18"/>
        <v>1</v>
      </c>
      <c r="L80" s="599"/>
      <c r="M80" s="13">
        <f t="shared" si="19"/>
        <v>1</v>
      </c>
      <c r="N80" s="599"/>
      <c r="O80" s="13">
        <f t="shared" si="20"/>
        <v>1</v>
      </c>
      <c r="P80" s="599"/>
      <c r="Q80" s="13">
        <f t="shared" si="21"/>
        <v>0</v>
      </c>
      <c r="R80" s="596">
        <f t="shared" si="26"/>
        <v>0</v>
      </c>
      <c r="S80" s="250">
        <f t="shared" si="27"/>
        <v>0</v>
      </c>
      <c r="T80" s="899">
        <f t="shared" si="28"/>
        <v>0</v>
      </c>
      <c r="U80" s="2988">
        <f t="shared" si="22"/>
        <v>0</v>
      </c>
      <c r="V80" s="2988">
        <f t="shared" si="23"/>
        <v>0</v>
      </c>
      <c r="W80" s="996"/>
      <c r="X80" s="2988">
        <f t="shared" si="24"/>
        <v>0</v>
      </c>
      <c r="Y80" s="2988">
        <f t="shared" si="25"/>
        <v>0</v>
      </c>
      <c r="Z80" s="996"/>
    </row>
    <row r="81" spans="1:26">
      <c r="A81" s="35"/>
      <c r="B81" s="20"/>
      <c r="C81" s="13">
        <f t="shared" si="14"/>
        <v>1</v>
      </c>
      <c r="D81" s="599"/>
      <c r="E81" s="13">
        <f t="shared" si="15"/>
        <v>1</v>
      </c>
      <c r="F81" s="599"/>
      <c r="G81" s="13">
        <f t="shared" si="16"/>
        <v>1</v>
      </c>
      <c r="H81" s="599"/>
      <c r="I81" s="13">
        <f t="shared" si="17"/>
        <v>1</v>
      </c>
      <c r="J81" s="599"/>
      <c r="K81" s="13">
        <f t="shared" si="18"/>
        <v>1</v>
      </c>
      <c r="L81" s="599"/>
      <c r="M81" s="13">
        <f t="shared" si="19"/>
        <v>1</v>
      </c>
      <c r="N81" s="599"/>
      <c r="O81" s="13">
        <f t="shared" si="20"/>
        <v>1</v>
      </c>
      <c r="P81" s="599"/>
      <c r="Q81" s="13">
        <f t="shared" si="21"/>
        <v>0</v>
      </c>
      <c r="R81" s="596">
        <f t="shared" si="26"/>
        <v>0</v>
      </c>
      <c r="S81" s="250">
        <f t="shared" si="27"/>
        <v>0</v>
      </c>
      <c r="T81" s="899">
        <f t="shared" si="28"/>
        <v>0</v>
      </c>
      <c r="U81" s="2988">
        <f t="shared" si="22"/>
        <v>0</v>
      </c>
      <c r="V81" s="2988">
        <f t="shared" si="23"/>
        <v>0</v>
      </c>
      <c r="W81" s="996"/>
      <c r="X81" s="2988">
        <f t="shared" si="24"/>
        <v>0</v>
      </c>
      <c r="Y81" s="2988">
        <f t="shared" si="25"/>
        <v>0</v>
      </c>
      <c r="Z81" s="996"/>
    </row>
    <row r="82" spans="1:26">
      <c r="A82" s="35"/>
      <c r="B82" s="20"/>
      <c r="C82" s="13">
        <f t="shared" si="14"/>
        <v>1</v>
      </c>
      <c r="D82" s="599"/>
      <c r="E82" s="13">
        <f t="shared" si="15"/>
        <v>1</v>
      </c>
      <c r="F82" s="599"/>
      <c r="G82" s="13">
        <f t="shared" si="16"/>
        <v>1</v>
      </c>
      <c r="H82" s="599"/>
      <c r="I82" s="13">
        <f t="shared" si="17"/>
        <v>1</v>
      </c>
      <c r="J82" s="599"/>
      <c r="K82" s="13">
        <f t="shared" si="18"/>
        <v>1</v>
      </c>
      <c r="L82" s="599"/>
      <c r="M82" s="13">
        <f t="shared" si="19"/>
        <v>1</v>
      </c>
      <c r="N82" s="599"/>
      <c r="O82" s="13">
        <f t="shared" si="20"/>
        <v>1</v>
      </c>
      <c r="P82" s="599"/>
      <c r="Q82" s="13">
        <f t="shared" si="21"/>
        <v>0</v>
      </c>
      <c r="R82" s="596">
        <f t="shared" si="26"/>
        <v>0</v>
      </c>
      <c r="S82" s="250">
        <f t="shared" si="27"/>
        <v>0</v>
      </c>
      <c r="T82" s="899">
        <f t="shared" si="28"/>
        <v>0</v>
      </c>
      <c r="U82" s="2988">
        <f t="shared" si="22"/>
        <v>0</v>
      </c>
      <c r="V82" s="2988">
        <f t="shared" si="23"/>
        <v>0</v>
      </c>
      <c r="W82" s="996"/>
      <c r="X82" s="2988">
        <f t="shared" si="24"/>
        <v>0</v>
      </c>
      <c r="Y82" s="2988">
        <f t="shared" si="25"/>
        <v>0</v>
      </c>
      <c r="Z82" s="996"/>
    </row>
    <row r="83" spans="1:26">
      <c r="A83" s="35"/>
      <c r="B83" s="20"/>
      <c r="C83" s="13">
        <f t="shared" si="14"/>
        <v>1</v>
      </c>
      <c r="D83" s="599"/>
      <c r="E83" s="13">
        <f t="shared" si="15"/>
        <v>1</v>
      </c>
      <c r="F83" s="599"/>
      <c r="G83" s="13">
        <f t="shared" si="16"/>
        <v>1</v>
      </c>
      <c r="H83" s="599"/>
      <c r="I83" s="13">
        <f t="shared" si="17"/>
        <v>1</v>
      </c>
      <c r="J83" s="599"/>
      <c r="K83" s="13">
        <f t="shared" si="18"/>
        <v>1</v>
      </c>
      <c r="L83" s="599"/>
      <c r="M83" s="13">
        <f t="shared" si="19"/>
        <v>1</v>
      </c>
      <c r="N83" s="599"/>
      <c r="O83" s="13">
        <f t="shared" si="20"/>
        <v>1</v>
      </c>
      <c r="P83" s="599"/>
      <c r="Q83" s="13">
        <f t="shared" si="21"/>
        <v>0</v>
      </c>
      <c r="R83" s="596">
        <f t="shared" si="26"/>
        <v>0</v>
      </c>
      <c r="S83" s="250">
        <f t="shared" si="27"/>
        <v>0</v>
      </c>
      <c r="T83" s="899">
        <f t="shared" si="28"/>
        <v>0</v>
      </c>
      <c r="U83" s="2988">
        <f t="shared" si="22"/>
        <v>0</v>
      </c>
      <c r="V83" s="2988">
        <f t="shared" si="23"/>
        <v>0</v>
      </c>
      <c r="W83" s="996"/>
      <c r="X83" s="2988">
        <f t="shared" si="24"/>
        <v>0</v>
      </c>
      <c r="Y83" s="2988">
        <f t="shared" si="25"/>
        <v>0</v>
      </c>
      <c r="Z83" s="996"/>
    </row>
    <row r="84" spans="1:26">
      <c r="A84" s="35"/>
      <c r="B84" s="20"/>
      <c r="C84" s="13">
        <f t="shared" si="14"/>
        <v>1</v>
      </c>
      <c r="D84" s="599"/>
      <c r="E84" s="13">
        <f t="shared" si="15"/>
        <v>1</v>
      </c>
      <c r="F84" s="599"/>
      <c r="G84" s="13">
        <f t="shared" si="16"/>
        <v>1</v>
      </c>
      <c r="H84" s="599"/>
      <c r="I84" s="13">
        <f t="shared" si="17"/>
        <v>1</v>
      </c>
      <c r="J84" s="599"/>
      <c r="K84" s="13">
        <f t="shared" si="18"/>
        <v>1</v>
      </c>
      <c r="L84" s="599"/>
      <c r="M84" s="13">
        <f t="shared" si="19"/>
        <v>1</v>
      </c>
      <c r="N84" s="599"/>
      <c r="O84" s="13">
        <f t="shared" si="20"/>
        <v>1</v>
      </c>
      <c r="P84" s="599"/>
      <c r="Q84" s="13">
        <f t="shared" si="21"/>
        <v>0</v>
      </c>
      <c r="R84" s="596">
        <f t="shared" si="26"/>
        <v>0</v>
      </c>
      <c r="S84" s="250">
        <f t="shared" si="27"/>
        <v>0</v>
      </c>
      <c r="T84" s="899">
        <f t="shared" si="28"/>
        <v>0</v>
      </c>
      <c r="U84" s="2988">
        <f t="shared" si="22"/>
        <v>0</v>
      </c>
      <c r="V84" s="2988">
        <f t="shared" si="23"/>
        <v>0</v>
      </c>
      <c r="W84" s="996"/>
      <c r="X84" s="2988">
        <f t="shared" si="24"/>
        <v>0</v>
      </c>
      <c r="Y84" s="2988">
        <f t="shared" si="25"/>
        <v>0</v>
      </c>
      <c r="Z84" s="996"/>
    </row>
    <row r="85" spans="1:26">
      <c r="A85" s="35"/>
      <c r="B85" s="20"/>
      <c r="C85" s="13">
        <f t="shared" si="14"/>
        <v>1</v>
      </c>
      <c r="D85" s="599"/>
      <c r="E85" s="13">
        <f t="shared" si="15"/>
        <v>1</v>
      </c>
      <c r="F85" s="599"/>
      <c r="G85" s="13">
        <f t="shared" si="16"/>
        <v>1</v>
      </c>
      <c r="H85" s="599"/>
      <c r="I85" s="13">
        <f t="shared" si="17"/>
        <v>1</v>
      </c>
      <c r="J85" s="599"/>
      <c r="K85" s="13">
        <f t="shared" si="18"/>
        <v>1</v>
      </c>
      <c r="L85" s="599"/>
      <c r="M85" s="13">
        <f t="shared" si="19"/>
        <v>1</v>
      </c>
      <c r="N85" s="599"/>
      <c r="O85" s="13">
        <f t="shared" si="20"/>
        <v>1</v>
      </c>
      <c r="P85" s="599"/>
      <c r="Q85" s="13">
        <f t="shared" si="21"/>
        <v>0</v>
      </c>
      <c r="R85" s="596">
        <f t="shared" si="26"/>
        <v>0</v>
      </c>
      <c r="S85" s="250">
        <f t="shared" si="27"/>
        <v>0</v>
      </c>
      <c r="T85" s="899">
        <f t="shared" si="28"/>
        <v>0</v>
      </c>
      <c r="U85" s="2988">
        <f t="shared" si="22"/>
        <v>0</v>
      </c>
      <c r="V85" s="2988">
        <f t="shared" si="23"/>
        <v>0</v>
      </c>
      <c r="W85" s="996"/>
      <c r="X85" s="2988">
        <f t="shared" si="24"/>
        <v>0</v>
      </c>
      <c r="Y85" s="2988">
        <f t="shared" si="25"/>
        <v>0</v>
      </c>
      <c r="Z85" s="996"/>
    </row>
    <row r="86" spans="1:26">
      <c r="A86" s="35"/>
      <c r="B86" s="20"/>
      <c r="C86" s="13">
        <f t="shared" si="14"/>
        <v>1</v>
      </c>
      <c r="D86" s="599"/>
      <c r="E86" s="13">
        <f t="shared" si="15"/>
        <v>1</v>
      </c>
      <c r="F86" s="599"/>
      <c r="G86" s="13">
        <f t="shared" si="16"/>
        <v>1</v>
      </c>
      <c r="H86" s="599"/>
      <c r="I86" s="13">
        <f t="shared" si="17"/>
        <v>1</v>
      </c>
      <c r="J86" s="599"/>
      <c r="K86" s="13">
        <f t="shared" si="18"/>
        <v>1</v>
      </c>
      <c r="L86" s="599"/>
      <c r="M86" s="13">
        <f t="shared" si="19"/>
        <v>1</v>
      </c>
      <c r="N86" s="599"/>
      <c r="O86" s="13">
        <f t="shared" si="20"/>
        <v>1</v>
      </c>
      <c r="P86" s="599"/>
      <c r="Q86" s="13">
        <f t="shared" si="21"/>
        <v>0</v>
      </c>
      <c r="R86" s="596">
        <f t="shared" si="26"/>
        <v>0</v>
      </c>
      <c r="S86" s="250">
        <f t="shared" si="27"/>
        <v>0</v>
      </c>
      <c r="T86" s="899">
        <f t="shared" si="28"/>
        <v>0</v>
      </c>
      <c r="U86" s="2988">
        <f t="shared" si="22"/>
        <v>0</v>
      </c>
      <c r="V86" s="2988">
        <f t="shared" si="23"/>
        <v>0</v>
      </c>
      <c r="W86" s="996"/>
      <c r="X86" s="2988">
        <f t="shared" si="24"/>
        <v>0</v>
      </c>
      <c r="Y86" s="2988">
        <f t="shared" si="25"/>
        <v>0</v>
      </c>
      <c r="Z86" s="996"/>
    </row>
    <row r="87" spans="1:26">
      <c r="A87" s="35"/>
      <c r="B87" s="20"/>
      <c r="C87" s="13">
        <f t="shared" si="14"/>
        <v>1</v>
      </c>
      <c r="D87" s="599"/>
      <c r="E87" s="13">
        <f t="shared" si="15"/>
        <v>1</v>
      </c>
      <c r="F87" s="599"/>
      <c r="G87" s="13">
        <f t="shared" si="16"/>
        <v>1</v>
      </c>
      <c r="H87" s="599"/>
      <c r="I87" s="13">
        <f t="shared" si="17"/>
        <v>1</v>
      </c>
      <c r="J87" s="599"/>
      <c r="K87" s="13">
        <f t="shared" si="18"/>
        <v>1</v>
      </c>
      <c r="L87" s="599"/>
      <c r="M87" s="13">
        <f t="shared" si="19"/>
        <v>1</v>
      </c>
      <c r="N87" s="599"/>
      <c r="O87" s="13">
        <f t="shared" si="20"/>
        <v>1</v>
      </c>
      <c r="P87" s="599"/>
      <c r="Q87" s="13">
        <f t="shared" si="21"/>
        <v>0</v>
      </c>
      <c r="R87" s="596">
        <f t="shared" si="26"/>
        <v>0</v>
      </c>
      <c r="S87" s="250">
        <f t="shared" si="27"/>
        <v>0</v>
      </c>
      <c r="T87" s="899">
        <f t="shared" si="28"/>
        <v>0</v>
      </c>
      <c r="U87" s="2988">
        <f t="shared" si="22"/>
        <v>0</v>
      </c>
      <c r="V87" s="2988">
        <f t="shared" si="23"/>
        <v>0</v>
      </c>
      <c r="W87" s="996"/>
      <c r="X87" s="2988">
        <f t="shared" si="24"/>
        <v>0</v>
      </c>
      <c r="Y87" s="2988">
        <f t="shared" si="25"/>
        <v>0</v>
      </c>
      <c r="Z87" s="996"/>
    </row>
    <row r="88" spans="1:26">
      <c r="A88" s="35"/>
      <c r="B88" s="20"/>
      <c r="C88" s="13">
        <f t="shared" si="14"/>
        <v>1</v>
      </c>
      <c r="D88" s="599"/>
      <c r="E88" s="13">
        <f t="shared" si="15"/>
        <v>1</v>
      </c>
      <c r="F88" s="599"/>
      <c r="G88" s="13">
        <f t="shared" si="16"/>
        <v>1</v>
      </c>
      <c r="H88" s="599"/>
      <c r="I88" s="13">
        <f t="shared" si="17"/>
        <v>1</v>
      </c>
      <c r="J88" s="599"/>
      <c r="K88" s="13">
        <f t="shared" si="18"/>
        <v>1</v>
      </c>
      <c r="L88" s="599"/>
      <c r="M88" s="13">
        <f t="shared" si="19"/>
        <v>1</v>
      </c>
      <c r="N88" s="599"/>
      <c r="O88" s="13">
        <f t="shared" si="20"/>
        <v>1</v>
      </c>
      <c r="P88" s="599"/>
      <c r="Q88" s="13">
        <f t="shared" si="21"/>
        <v>0</v>
      </c>
      <c r="R88" s="596">
        <f t="shared" si="26"/>
        <v>0</v>
      </c>
      <c r="S88" s="250">
        <f t="shared" si="27"/>
        <v>0</v>
      </c>
      <c r="T88" s="899">
        <f t="shared" si="28"/>
        <v>0</v>
      </c>
      <c r="U88" s="2988">
        <f t="shared" si="22"/>
        <v>0</v>
      </c>
      <c r="V88" s="2988">
        <f t="shared" si="23"/>
        <v>0</v>
      </c>
      <c r="W88" s="996"/>
      <c r="X88" s="2988">
        <f t="shared" si="24"/>
        <v>0</v>
      </c>
      <c r="Y88" s="2988">
        <f t="shared" si="25"/>
        <v>0</v>
      </c>
      <c r="Z88" s="996"/>
    </row>
    <row r="89" spans="1:26">
      <c r="A89" s="35"/>
      <c r="B89" s="20"/>
      <c r="C89" s="13">
        <f t="shared" si="14"/>
        <v>1</v>
      </c>
      <c r="D89" s="599"/>
      <c r="E89" s="13">
        <f t="shared" si="15"/>
        <v>1</v>
      </c>
      <c r="F89" s="599"/>
      <c r="G89" s="13">
        <f t="shared" si="16"/>
        <v>1</v>
      </c>
      <c r="H89" s="599"/>
      <c r="I89" s="13">
        <f t="shared" si="17"/>
        <v>1</v>
      </c>
      <c r="J89" s="599"/>
      <c r="K89" s="13">
        <f t="shared" si="18"/>
        <v>1</v>
      </c>
      <c r="L89" s="599"/>
      <c r="M89" s="13">
        <f t="shared" si="19"/>
        <v>1</v>
      </c>
      <c r="N89" s="599"/>
      <c r="O89" s="13">
        <f t="shared" si="20"/>
        <v>1</v>
      </c>
      <c r="P89" s="599"/>
      <c r="Q89" s="13">
        <f t="shared" si="21"/>
        <v>0</v>
      </c>
      <c r="R89" s="596">
        <f t="shared" si="26"/>
        <v>0</v>
      </c>
      <c r="S89" s="250">
        <f t="shared" si="27"/>
        <v>0</v>
      </c>
      <c r="T89" s="899">
        <f t="shared" si="28"/>
        <v>0</v>
      </c>
      <c r="U89" s="2988">
        <f t="shared" si="22"/>
        <v>0</v>
      </c>
      <c r="V89" s="2988">
        <f t="shared" si="23"/>
        <v>0</v>
      </c>
      <c r="W89" s="996"/>
      <c r="X89" s="2988">
        <f t="shared" si="24"/>
        <v>0</v>
      </c>
      <c r="Y89" s="2988">
        <f t="shared" si="25"/>
        <v>0</v>
      </c>
      <c r="Z89" s="996"/>
    </row>
    <row r="90" spans="1:26">
      <c r="A90" s="35"/>
      <c r="B90" s="20"/>
      <c r="C90" s="13">
        <f t="shared" si="14"/>
        <v>1</v>
      </c>
      <c r="D90" s="599"/>
      <c r="E90" s="13">
        <f t="shared" si="15"/>
        <v>1</v>
      </c>
      <c r="F90" s="599"/>
      <c r="G90" s="13">
        <f t="shared" si="16"/>
        <v>1</v>
      </c>
      <c r="H90" s="599"/>
      <c r="I90" s="13">
        <f t="shared" si="17"/>
        <v>1</v>
      </c>
      <c r="J90" s="599"/>
      <c r="K90" s="13">
        <f t="shared" si="18"/>
        <v>1</v>
      </c>
      <c r="L90" s="599"/>
      <c r="M90" s="13">
        <f t="shared" si="19"/>
        <v>1</v>
      </c>
      <c r="N90" s="599"/>
      <c r="O90" s="13">
        <f t="shared" si="20"/>
        <v>1</v>
      </c>
      <c r="P90" s="599"/>
      <c r="Q90" s="13">
        <f t="shared" si="21"/>
        <v>0</v>
      </c>
      <c r="R90" s="596">
        <f t="shared" si="26"/>
        <v>0</v>
      </c>
      <c r="S90" s="250">
        <f t="shared" si="27"/>
        <v>0</v>
      </c>
      <c r="T90" s="899">
        <f t="shared" si="28"/>
        <v>0</v>
      </c>
      <c r="U90" s="2988">
        <f t="shared" si="22"/>
        <v>0</v>
      </c>
      <c r="V90" s="2988">
        <f t="shared" si="23"/>
        <v>0</v>
      </c>
      <c r="W90" s="996"/>
      <c r="X90" s="2988">
        <f t="shared" si="24"/>
        <v>0</v>
      </c>
      <c r="Y90" s="2988">
        <f t="shared" si="25"/>
        <v>0</v>
      </c>
      <c r="Z90" s="996"/>
    </row>
    <row r="91" spans="1:26">
      <c r="A91" s="35"/>
      <c r="B91" s="20"/>
      <c r="C91" s="13">
        <f t="shared" si="14"/>
        <v>1</v>
      </c>
      <c r="D91" s="599"/>
      <c r="E91" s="13">
        <f t="shared" si="15"/>
        <v>1</v>
      </c>
      <c r="F91" s="599"/>
      <c r="G91" s="13">
        <f t="shared" si="16"/>
        <v>1</v>
      </c>
      <c r="H91" s="599"/>
      <c r="I91" s="13">
        <f t="shared" si="17"/>
        <v>1</v>
      </c>
      <c r="J91" s="599"/>
      <c r="K91" s="13">
        <f t="shared" si="18"/>
        <v>1</v>
      </c>
      <c r="L91" s="599"/>
      <c r="M91" s="13">
        <f t="shared" si="19"/>
        <v>1</v>
      </c>
      <c r="N91" s="599"/>
      <c r="O91" s="13">
        <f t="shared" si="20"/>
        <v>1</v>
      </c>
      <c r="P91" s="599"/>
      <c r="Q91" s="13">
        <f t="shared" si="21"/>
        <v>0</v>
      </c>
      <c r="R91" s="596">
        <f t="shared" si="26"/>
        <v>0</v>
      </c>
      <c r="S91" s="250">
        <f t="shared" si="27"/>
        <v>0</v>
      </c>
      <c r="T91" s="899">
        <f t="shared" si="28"/>
        <v>0</v>
      </c>
      <c r="U91" s="2988">
        <f t="shared" si="22"/>
        <v>0</v>
      </c>
      <c r="V91" s="2988">
        <f t="shared" si="23"/>
        <v>0</v>
      </c>
      <c r="W91" s="996"/>
      <c r="X91" s="2988">
        <f t="shared" si="24"/>
        <v>0</v>
      </c>
      <c r="Y91" s="2988">
        <f t="shared" si="25"/>
        <v>0</v>
      </c>
      <c r="Z91" s="996"/>
    </row>
    <row r="92" spans="1:26">
      <c r="A92" s="35"/>
      <c r="B92" s="20"/>
      <c r="C92" s="13">
        <f t="shared" ref="C92:C155" si="29">IF(B92="",1,(LOOKUP(B92,$6:$6,$7:$7)-LOOKUP($B$27,$6:$6,$7:$7)+100)/100)</f>
        <v>1</v>
      </c>
      <c r="D92" s="599"/>
      <c r="E92" s="13">
        <f t="shared" ref="E92:E155" si="30">(SUMIF($8:$8,D92,$9:$9)-SUMIF($8:$8,$D$27,$9:$9)+100)/100</f>
        <v>1</v>
      </c>
      <c r="F92" s="599"/>
      <c r="G92" s="13">
        <f t="shared" ref="G92:G155" si="31">(SUMIF($10:$10,F92,$11:$11)-SUMIF($10:$10,$F$27,$11:$11)+100)/100</f>
        <v>1</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v>
      </c>
      <c r="R92" s="596">
        <f t="shared" si="26"/>
        <v>0</v>
      </c>
      <c r="S92" s="250">
        <f t="shared" si="27"/>
        <v>0</v>
      </c>
      <c r="T92" s="899">
        <f t="shared" si="28"/>
        <v>0</v>
      </c>
      <c r="U92" s="2988">
        <f t="shared" ref="U92:U155" si="37">ROUND(W92*B92,0)</f>
        <v>0</v>
      </c>
      <c r="V92" s="2988">
        <f t="shared" ref="V92:V155" si="38">ROUND(W92*B92/10000,0)</f>
        <v>0</v>
      </c>
      <c r="W92" s="996"/>
      <c r="X92" s="2988">
        <f t="shared" ref="X92:X155" si="39">ROUND(Z92*B92,0)</f>
        <v>0</v>
      </c>
      <c r="Y92" s="2988">
        <f t="shared" ref="Y92:Y155" si="40">ROUND(Z92*B92/10000,0)</f>
        <v>0</v>
      </c>
      <c r="Z92" s="996"/>
    </row>
    <row r="93" spans="1:26">
      <c r="A93" s="35"/>
      <c r="B93" s="20"/>
      <c r="C93" s="13">
        <f t="shared" si="29"/>
        <v>1</v>
      </c>
      <c r="D93" s="599"/>
      <c r="E93" s="13">
        <f t="shared" si="30"/>
        <v>1</v>
      </c>
      <c r="F93" s="599"/>
      <c r="G93" s="13">
        <f t="shared" si="31"/>
        <v>1</v>
      </c>
      <c r="H93" s="599"/>
      <c r="I93" s="13">
        <f t="shared" si="32"/>
        <v>1</v>
      </c>
      <c r="J93" s="599"/>
      <c r="K93" s="13">
        <f t="shared" si="33"/>
        <v>1</v>
      </c>
      <c r="L93" s="599"/>
      <c r="M93" s="13">
        <f t="shared" si="34"/>
        <v>1</v>
      </c>
      <c r="N93" s="599"/>
      <c r="O93" s="13">
        <f t="shared" si="35"/>
        <v>1</v>
      </c>
      <c r="P93" s="599"/>
      <c r="Q93" s="13">
        <f t="shared" si="36"/>
        <v>0</v>
      </c>
      <c r="R93" s="596">
        <f t="shared" ref="R93:R156" si="41">IF(B93="",0,ROUND($R$27*C93*E93*G93*I93*K93*M93*O93*Q93,0))</f>
        <v>0</v>
      </c>
      <c r="S93" s="250">
        <f t="shared" ref="S93:S156" si="42">ROUND(R93*B93,0)</f>
        <v>0</v>
      </c>
      <c r="T93" s="899">
        <f t="shared" ref="T93:T156" si="43">ROUND(R93*B93/10000,0)</f>
        <v>0</v>
      </c>
      <c r="U93" s="2988">
        <f t="shared" si="37"/>
        <v>0</v>
      </c>
      <c r="V93" s="2988">
        <f t="shared" si="38"/>
        <v>0</v>
      </c>
      <c r="W93" s="996"/>
      <c r="X93" s="2988">
        <f t="shared" si="39"/>
        <v>0</v>
      </c>
      <c r="Y93" s="2988">
        <f t="shared" si="40"/>
        <v>0</v>
      </c>
      <c r="Z93" s="996"/>
    </row>
    <row r="94" spans="1:26">
      <c r="A94" s="35"/>
      <c r="B94" s="20"/>
      <c r="C94" s="13">
        <f t="shared" si="29"/>
        <v>1</v>
      </c>
      <c r="D94" s="599"/>
      <c r="E94" s="13">
        <f t="shared" si="30"/>
        <v>1</v>
      </c>
      <c r="F94" s="599"/>
      <c r="G94" s="13">
        <f t="shared" si="31"/>
        <v>1</v>
      </c>
      <c r="H94" s="599"/>
      <c r="I94" s="13">
        <f t="shared" si="32"/>
        <v>1</v>
      </c>
      <c r="J94" s="599"/>
      <c r="K94" s="13">
        <f t="shared" si="33"/>
        <v>1</v>
      </c>
      <c r="L94" s="599"/>
      <c r="M94" s="13">
        <f t="shared" si="34"/>
        <v>1</v>
      </c>
      <c r="N94" s="599"/>
      <c r="O94" s="13">
        <f t="shared" si="35"/>
        <v>1</v>
      </c>
      <c r="P94" s="599"/>
      <c r="Q94" s="13">
        <f t="shared" si="36"/>
        <v>0</v>
      </c>
      <c r="R94" s="596">
        <f t="shared" si="41"/>
        <v>0</v>
      </c>
      <c r="S94" s="250">
        <f t="shared" si="42"/>
        <v>0</v>
      </c>
      <c r="T94" s="899">
        <f t="shared" si="43"/>
        <v>0</v>
      </c>
      <c r="U94" s="2988">
        <f t="shared" si="37"/>
        <v>0</v>
      </c>
      <c r="V94" s="2988">
        <f t="shared" si="38"/>
        <v>0</v>
      </c>
      <c r="W94" s="996"/>
      <c r="X94" s="2988">
        <f t="shared" si="39"/>
        <v>0</v>
      </c>
      <c r="Y94" s="2988">
        <f t="shared" si="40"/>
        <v>0</v>
      </c>
      <c r="Z94" s="996"/>
    </row>
    <row r="95" spans="1:26">
      <c r="A95" s="35"/>
      <c r="B95" s="20"/>
      <c r="C95" s="13">
        <f t="shared" si="29"/>
        <v>1</v>
      </c>
      <c r="D95" s="599"/>
      <c r="E95" s="13">
        <f t="shared" si="30"/>
        <v>1</v>
      </c>
      <c r="F95" s="599"/>
      <c r="G95" s="13">
        <f t="shared" si="31"/>
        <v>1</v>
      </c>
      <c r="H95" s="599"/>
      <c r="I95" s="13">
        <f t="shared" si="32"/>
        <v>1</v>
      </c>
      <c r="J95" s="599"/>
      <c r="K95" s="13">
        <f t="shared" si="33"/>
        <v>1</v>
      </c>
      <c r="L95" s="599"/>
      <c r="M95" s="13">
        <f t="shared" si="34"/>
        <v>1</v>
      </c>
      <c r="N95" s="599"/>
      <c r="O95" s="13">
        <f t="shared" si="35"/>
        <v>1</v>
      </c>
      <c r="P95" s="599"/>
      <c r="Q95" s="13">
        <f t="shared" si="36"/>
        <v>0</v>
      </c>
      <c r="R95" s="596">
        <f t="shared" si="41"/>
        <v>0</v>
      </c>
      <c r="S95" s="250">
        <f t="shared" si="42"/>
        <v>0</v>
      </c>
      <c r="T95" s="899">
        <f t="shared" si="43"/>
        <v>0</v>
      </c>
      <c r="U95" s="2988">
        <f t="shared" si="37"/>
        <v>0</v>
      </c>
      <c r="V95" s="2988">
        <f t="shared" si="38"/>
        <v>0</v>
      </c>
      <c r="W95" s="996"/>
      <c r="X95" s="2988">
        <f t="shared" si="39"/>
        <v>0</v>
      </c>
      <c r="Y95" s="2988">
        <f t="shared" si="40"/>
        <v>0</v>
      </c>
      <c r="Z95" s="996"/>
    </row>
    <row r="96" spans="1:26">
      <c r="A96" s="35"/>
      <c r="B96" s="20"/>
      <c r="C96" s="13">
        <f t="shared" si="29"/>
        <v>1</v>
      </c>
      <c r="D96" s="599"/>
      <c r="E96" s="13">
        <f t="shared" si="30"/>
        <v>1</v>
      </c>
      <c r="F96" s="599"/>
      <c r="G96" s="13">
        <f t="shared" si="31"/>
        <v>1</v>
      </c>
      <c r="H96" s="599"/>
      <c r="I96" s="13">
        <f t="shared" si="32"/>
        <v>1</v>
      </c>
      <c r="J96" s="599"/>
      <c r="K96" s="13">
        <f t="shared" si="33"/>
        <v>1</v>
      </c>
      <c r="L96" s="599"/>
      <c r="M96" s="13">
        <f t="shared" si="34"/>
        <v>1</v>
      </c>
      <c r="N96" s="599"/>
      <c r="O96" s="13">
        <f t="shared" si="35"/>
        <v>1</v>
      </c>
      <c r="P96" s="599"/>
      <c r="Q96" s="13">
        <f t="shared" si="36"/>
        <v>0</v>
      </c>
      <c r="R96" s="596">
        <f t="shared" si="41"/>
        <v>0</v>
      </c>
      <c r="S96" s="250">
        <f t="shared" si="42"/>
        <v>0</v>
      </c>
      <c r="T96" s="899">
        <f t="shared" si="43"/>
        <v>0</v>
      </c>
      <c r="U96" s="2988">
        <f t="shared" si="37"/>
        <v>0</v>
      </c>
      <c r="V96" s="2988">
        <f t="shared" si="38"/>
        <v>0</v>
      </c>
      <c r="W96" s="996"/>
      <c r="X96" s="2988">
        <f t="shared" si="39"/>
        <v>0</v>
      </c>
      <c r="Y96" s="2988">
        <f t="shared" si="40"/>
        <v>0</v>
      </c>
      <c r="Z96" s="996"/>
    </row>
    <row r="97" spans="1:26">
      <c r="A97" s="35"/>
      <c r="B97" s="20"/>
      <c r="C97" s="13">
        <f t="shared" si="29"/>
        <v>1</v>
      </c>
      <c r="D97" s="599"/>
      <c r="E97" s="13">
        <f t="shared" si="30"/>
        <v>1</v>
      </c>
      <c r="F97" s="599"/>
      <c r="G97" s="13">
        <f t="shared" si="31"/>
        <v>1</v>
      </c>
      <c r="H97" s="599"/>
      <c r="I97" s="13">
        <f t="shared" si="32"/>
        <v>1</v>
      </c>
      <c r="J97" s="599"/>
      <c r="K97" s="13">
        <f t="shared" si="33"/>
        <v>1</v>
      </c>
      <c r="L97" s="599"/>
      <c r="M97" s="13">
        <f t="shared" si="34"/>
        <v>1</v>
      </c>
      <c r="N97" s="599"/>
      <c r="O97" s="13">
        <f t="shared" si="35"/>
        <v>1</v>
      </c>
      <c r="P97" s="599"/>
      <c r="Q97" s="13">
        <f t="shared" si="36"/>
        <v>0</v>
      </c>
      <c r="R97" s="596">
        <f t="shared" si="41"/>
        <v>0</v>
      </c>
      <c r="S97" s="250">
        <f t="shared" si="42"/>
        <v>0</v>
      </c>
      <c r="T97" s="899">
        <f t="shared" si="43"/>
        <v>0</v>
      </c>
      <c r="U97" s="2988">
        <f t="shared" si="37"/>
        <v>0</v>
      </c>
      <c r="V97" s="2988">
        <f t="shared" si="38"/>
        <v>0</v>
      </c>
      <c r="W97" s="996"/>
      <c r="X97" s="2988">
        <f t="shared" si="39"/>
        <v>0</v>
      </c>
      <c r="Y97" s="2988">
        <f t="shared" si="40"/>
        <v>0</v>
      </c>
      <c r="Z97" s="996"/>
    </row>
    <row r="98" spans="1:26">
      <c r="A98" s="35"/>
      <c r="B98" s="20"/>
      <c r="C98" s="13">
        <f t="shared" si="29"/>
        <v>1</v>
      </c>
      <c r="D98" s="599"/>
      <c r="E98" s="13">
        <f t="shared" si="30"/>
        <v>1</v>
      </c>
      <c r="F98" s="599"/>
      <c r="G98" s="13">
        <f t="shared" si="31"/>
        <v>1</v>
      </c>
      <c r="H98" s="599"/>
      <c r="I98" s="13">
        <f t="shared" si="32"/>
        <v>1</v>
      </c>
      <c r="J98" s="599"/>
      <c r="K98" s="13">
        <f t="shared" si="33"/>
        <v>1</v>
      </c>
      <c r="L98" s="599"/>
      <c r="M98" s="13">
        <f t="shared" si="34"/>
        <v>1</v>
      </c>
      <c r="N98" s="599"/>
      <c r="O98" s="13">
        <f t="shared" si="35"/>
        <v>1</v>
      </c>
      <c r="P98" s="599"/>
      <c r="Q98" s="13">
        <f t="shared" si="36"/>
        <v>0</v>
      </c>
      <c r="R98" s="596">
        <f t="shared" si="41"/>
        <v>0</v>
      </c>
      <c r="S98" s="250">
        <f t="shared" si="42"/>
        <v>0</v>
      </c>
      <c r="T98" s="899">
        <f t="shared" si="43"/>
        <v>0</v>
      </c>
      <c r="U98" s="2988">
        <f t="shared" si="37"/>
        <v>0</v>
      </c>
      <c r="V98" s="2988">
        <f t="shared" si="38"/>
        <v>0</v>
      </c>
      <c r="W98" s="996"/>
      <c r="X98" s="2988">
        <f t="shared" si="39"/>
        <v>0</v>
      </c>
      <c r="Y98" s="2988">
        <f t="shared" si="40"/>
        <v>0</v>
      </c>
      <c r="Z98" s="996"/>
    </row>
    <row r="99" spans="1:26">
      <c r="A99" s="35"/>
      <c r="B99" s="20"/>
      <c r="C99" s="13">
        <f t="shared" si="29"/>
        <v>1</v>
      </c>
      <c r="D99" s="599"/>
      <c r="E99" s="13">
        <f t="shared" si="30"/>
        <v>1</v>
      </c>
      <c r="F99" s="599"/>
      <c r="G99" s="13">
        <f t="shared" si="31"/>
        <v>1</v>
      </c>
      <c r="H99" s="599"/>
      <c r="I99" s="13">
        <f t="shared" si="32"/>
        <v>1</v>
      </c>
      <c r="J99" s="599"/>
      <c r="K99" s="13">
        <f t="shared" si="33"/>
        <v>1</v>
      </c>
      <c r="L99" s="599"/>
      <c r="M99" s="13">
        <f t="shared" si="34"/>
        <v>1</v>
      </c>
      <c r="N99" s="599"/>
      <c r="O99" s="13">
        <f t="shared" si="35"/>
        <v>1</v>
      </c>
      <c r="P99" s="599"/>
      <c r="Q99" s="13">
        <f t="shared" si="36"/>
        <v>0</v>
      </c>
      <c r="R99" s="596">
        <f t="shared" si="41"/>
        <v>0</v>
      </c>
      <c r="S99" s="250">
        <f t="shared" si="42"/>
        <v>0</v>
      </c>
      <c r="T99" s="899">
        <f t="shared" si="43"/>
        <v>0</v>
      </c>
      <c r="U99" s="2988">
        <f t="shared" si="37"/>
        <v>0</v>
      </c>
      <c r="V99" s="2988">
        <f t="shared" si="38"/>
        <v>0</v>
      </c>
      <c r="W99" s="996"/>
      <c r="X99" s="2988">
        <f t="shared" si="39"/>
        <v>0</v>
      </c>
      <c r="Y99" s="2988">
        <f t="shared" si="40"/>
        <v>0</v>
      </c>
      <c r="Z99" s="996"/>
    </row>
    <row r="100" spans="1:26">
      <c r="A100" s="35"/>
      <c r="B100" s="20"/>
      <c r="C100" s="13">
        <f t="shared" si="29"/>
        <v>1</v>
      </c>
      <c r="D100" s="599"/>
      <c r="E100" s="13">
        <f t="shared" si="30"/>
        <v>1</v>
      </c>
      <c r="F100" s="599"/>
      <c r="G100" s="13">
        <f t="shared" si="31"/>
        <v>1</v>
      </c>
      <c r="H100" s="599"/>
      <c r="I100" s="13">
        <f t="shared" si="32"/>
        <v>1</v>
      </c>
      <c r="J100" s="599"/>
      <c r="K100" s="13">
        <f t="shared" si="33"/>
        <v>1</v>
      </c>
      <c r="L100" s="599"/>
      <c r="M100" s="13">
        <f t="shared" si="34"/>
        <v>1</v>
      </c>
      <c r="N100" s="599"/>
      <c r="O100" s="13">
        <f t="shared" si="35"/>
        <v>1</v>
      </c>
      <c r="P100" s="599"/>
      <c r="Q100" s="13">
        <f t="shared" si="36"/>
        <v>0</v>
      </c>
      <c r="R100" s="596">
        <f t="shared" si="41"/>
        <v>0</v>
      </c>
      <c r="S100" s="250">
        <f t="shared" si="42"/>
        <v>0</v>
      </c>
      <c r="T100" s="899">
        <f t="shared" si="43"/>
        <v>0</v>
      </c>
      <c r="U100" s="2988">
        <f t="shared" si="37"/>
        <v>0</v>
      </c>
      <c r="V100" s="2988">
        <f t="shared" si="38"/>
        <v>0</v>
      </c>
      <c r="W100" s="996"/>
      <c r="X100" s="2988">
        <f t="shared" si="39"/>
        <v>0</v>
      </c>
      <c r="Y100" s="2988">
        <f t="shared" si="40"/>
        <v>0</v>
      </c>
      <c r="Z100" s="996"/>
    </row>
    <row r="101" spans="1:26">
      <c r="A101" s="35"/>
      <c r="B101" s="20"/>
      <c r="C101" s="13">
        <f t="shared" si="29"/>
        <v>1</v>
      </c>
      <c r="D101" s="599"/>
      <c r="E101" s="13">
        <f t="shared" si="30"/>
        <v>1</v>
      </c>
      <c r="F101" s="599"/>
      <c r="G101" s="13">
        <f t="shared" si="31"/>
        <v>1</v>
      </c>
      <c r="H101" s="599"/>
      <c r="I101" s="13">
        <f t="shared" si="32"/>
        <v>1</v>
      </c>
      <c r="J101" s="599"/>
      <c r="K101" s="13">
        <f t="shared" si="33"/>
        <v>1</v>
      </c>
      <c r="L101" s="599"/>
      <c r="M101" s="13">
        <f t="shared" si="34"/>
        <v>1</v>
      </c>
      <c r="N101" s="599"/>
      <c r="O101" s="13">
        <f t="shared" si="35"/>
        <v>1</v>
      </c>
      <c r="P101" s="599"/>
      <c r="Q101" s="13">
        <f t="shared" si="36"/>
        <v>0</v>
      </c>
      <c r="R101" s="596">
        <f t="shared" si="41"/>
        <v>0</v>
      </c>
      <c r="S101" s="250">
        <f t="shared" si="42"/>
        <v>0</v>
      </c>
      <c r="T101" s="899">
        <f t="shared" si="43"/>
        <v>0</v>
      </c>
      <c r="U101" s="2988">
        <f t="shared" si="37"/>
        <v>0</v>
      </c>
      <c r="V101" s="2988">
        <f t="shared" si="38"/>
        <v>0</v>
      </c>
      <c r="W101" s="996"/>
      <c r="X101" s="2988">
        <f t="shared" si="39"/>
        <v>0</v>
      </c>
      <c r="Y101" s="2988">
        <f t="shared" si="40"/>
        <v>0</v>
      </c>
      <c r="Z101" s="996"/>
    </row>
    <row r="102" spans="1:26">
      <c r="A102" s="35"/>
      <c r="B102" s="20"/>
      <c r="C102" s="13">
        <f t="shared" si="29"/>
        <v>1</v>
      </c>
      <c r="D102" s="599"/>
      <c r="E102" s="13">
        <f t="shared" si="30"/>
        <v>1</v>
      </c>
      <c r="F102" s="599"/>
      <c r="G102" s="13">
        <f t="shared" si="31"/>
        <v>1</v>
      </c>
      <c r="H102" s="599"/>
      <c r="I102" s="13">
        <f t="shared" si="32"/>
        <v>1</v>
      </c>
      <c r="J102" s="599"/>
      <c r="K102" s="13">
        <f t="shared" si="33"/>
        <v>1</v>
      </c>
      <c r="L102" s="599"/>
      <c r="M102" s="13">
        <f t="shared" si="34"/>
        <v>1</v>
      </c>
      <c r="N102" s="599"/>
      <c r="O102" s="13">
        <f t="shared" si="35"/>
        <v>1</v>
      </c>
      <c r="P102" s="599"/>
      <c r="Q102" s="13">
        <f t="shared" si="36"/>
        <v>0</v>
      </c>
      <c r="R102" s="596">
        <f t="shared" si="41"/>
        <v>0</v>
      </c>
      <c r="S102" s="250">
        <f t="shared" si="42"/>
        <v>0</v>
      </c>
      <c r="T102" s="899">
        <f t="shared" si="43"/>
        <v>0</v>
      </c>
      <c r="U102" s="2988">
        <f t="shared" si="37"/>
        <v>0</v>
      </c>
      <c r="V102" s="2988">
        <f t="shared" si="38"/>
        <v>0</v>
      </c>
      <c r="W102" s="996"/>
      <c r="X102" s="2988">
        <f t="shared" si="39"/>
        <v>0</v>
      </c>
      <c r="Y102" s="2988">
        <f t="shared" si="40"/>
        <v>0</v>
      </c>
      <c r="Z102" s="996"/>
    </row>
    <row r="103" spans="1:26">
      <c r="A103" s="35"/>
      <c r="B103" s="20"/>
      <c r="C103" s="13">
        <f t="shared" si="29"/>
        <v>1</v>
      </c>
      <c r="D103" s="599"/>
      <c r="E103" s="13">
        <f t="shared" si="30"/>
        <v>1</v>
      </c>
      <c r="F103" s="599"/>
      <c r="G103" s="13">
        <f t="shared" si="31"/>
        <v>1</v>
      </c>
      <c r="H103" s="599"/>
      <c r="I103" s="13">
        <f t="shared" si="32"/>
        <v>1</v>
      </c>
      <c r="J103" s="599"/>
      <c r="K103" s="13">
        <f t="shared" si="33"/>
        <v>1</v>
      </c>
      <c r="L103" s="599"/>
      <c r="M103" s="13">
        <f t="shared" si="34"/>
        <v>1</v>
      </c>
      <c r="N103" s="599"/>
      <c r="O103" s="13">
        <f t="shared" si="35"/>
        <v>1</v>
      </c>
      <c r="P103" s="599"/>
      <c r="Q103" s="13">
        <f t="shared" si="36"/>
        <v>0</v>
      </c>
      <c r="R103" s="596">
        <f t="shared" si="41"/>
        <v>0</v>
      </c>
      <c r="S103" s="250">
        <f t="shared" si="42"/>
        <v>0</v>
      </c>
      <c r="T103" s="899">
        <f t="shared" si="43"/>
        <v>0</v>
      </c>
      <c r="U103" s="2988">
        <f t="shared" si="37"/>
        <v>0</v>
      </c>
      <c r="V103" s="2988">
        <f t="shared" si="38"/>
        <v>0</v>
      </c>
      <c r="W103" s="996"/>
      <c r="X103" s="2988">
        <f t="shared" si="39"/>
        <v>0</v>
      </c>
      <c r="Y103" s="2988">
        <f t="shared" si="40"/>
        <v>0</v>
      </c>
      <c r="Z103" s="996"/>
    </row>
    <row r="104" spans="1:26">
      <c r="A104" s="35"/>
      <c r="B104" s="20"/>
      <c r="C104" s="13">
        <f t="shared" si="29"/>
        <v>1</v>
      </c>
      <c r="D104" s="599"/>
      <c r="E104" s="13">
        <f t="shared" si="30"/>
        <v>1</v>
      </c>
      <c r="F104" s="599"/>
      <c r="G104" s="13">
        <f t="shared" si="31"/>
        <v>1</v>
      </c>
      <c r="H104" s="599"/>
      <c r="I104" s="13">
        <f t="shared" si="32"/>
        <v>1</v>
      </c>
      <c r="J104" s="599"/>
      <c r="K104" s="13">
        <f t="shared" si="33"/>
        <v>1</v>
      </c>
      <c r="L104" s="599"/>
      <c r="M104" s="13">
        <f t="shared" si="34"/>
        <v>1</v>
      </c>
      <c r="N104" s="599"/>
      <c r="O104" s="13">
        <f t="shared" si="35"/>
        <v>1</v>
      </c>
      <c r="P104" s="599"/>
      <c r="Q104" s="13">
        <f t="shared" si="36"/>
        <v>0</v>
      </c>
      <c r="R104" s="596">
        <f t="shared" si="41"/>
        <v>0</v>
      </c>
      <c r="S104" s="250">
        <f t="shared" si="42"/>
        <v>0</v>
      </c>
      <c r="T104" s="899">
        <f t="shared" si="43"/>
        <v>0</v>
      </c>
      <c r="U104" s="2988">
        <f t="shared" si="37"/>
        <v>0</v>
      </c>
      <c r="V104" s="2988">
        <f t="shared" si="38"/>
        <v>0</v>
      </c>
      <c r="W104" s="996"/>
      <c r="X104" s="2988">
        <f t="shared" si="39"/>
        <v>0</v>
      </c>
      <c r="Y104" s="2988">
        <f t="shared" si="40"/>
        <v>0</v>
      </c>
      <c r="Z104" s="996"/>
    </row>
    <row r="105" spans="1:26">
      <c r="A105" s="35"/>
      <c r="B105" s="20"/>
      <c r="C105" s="13">
        <f t="shared" si="29"/>
        <v>1</v>
      </c>
      <c r="D105" s="599"/>
      <c r="E105" s="13">
        <f t="shared" si="30"/>
        <v>1</v>
      </c>
      <c r="F105" s="599"/>
      <c r="G105" s="13">
        <f t="shared" si="31"/>
        <v>1</v>
      </c>
      <c r="H105" s="599"/>
      <c r="I105" s="13">
        <f t="shared" si="32"/>
        <v>1</v>
      </c>
      <c r="J105" s="599"/>
      <c r="K105" s="13">
        <f t="shared" si="33"/>
        <v>1</v>
      </c>
      <c r="L105" s="599"/>
      <c r="M105" s="13">
        <f t="shared" si="34"/>
        <v>1</v>
      </c>
      <c r="N105" s="599"/>
      <c r="O105" s="13">
        <f t="shared" si="35"/>
        <v>1</v>
      </c>
      <c r="P105" s="599"/>
      <c r="Q105" s="13">
        <f t="shared" si="36"/>
        <v>0</v>
      </c>
      <c r="R105" s="596">
        <f t="shared" si="41"/>
        <v>0</v>
      </c>
      <c r="S105" s="250">
        <f t="shared" si="42"/>
        <v>0</v>
      </c>
      <c r="T105" s="899">
        <f t="shared" si="43"/>
        <v>0</v>
      </c>
      <c r="U105" s="2988">
        <f t="shared" si="37"/>
        <v>0</v>
      </c>
      <c r="V105" s="2988">
        <f t="shared" si="38"/>
        <v>0</v>
      </c>
      <c r="W105" s="996"/>
      <c r="X105" s="2988">
        <f t="shared" si="39"/>
        <v>0</v>
      </c>
      <c r="Y105" s="2988">
        <f t="shared" si="40"/>
        <v>0</v>
      </c>
      <c r="Z105" s="996"/>
    </row>
    <row r="106" spans="1:26">
      <c r="A106" s="35"/>
      <c r="B106" s="20"/>
      <c r="C106" s="13">
        <f t="shared" si="29"/>
        <v>1</v>
      </c>
      <c r="D106" s="599"/>
      <c r="E106" s="13">
        <f t="shared" si="30"/>
        <v>1</v>
      </c>
      <c r="F106" s="599"/>
      <c r="G106" s="13">
        <f t="shared" si="31"/>
        <v>1</v>
      </c>
      <c r="H106" s="599"/>
      <c r="I106" s="13">
        <f t="shared" si="32"/>
        <v>1</v>
      </c>
      <c r="J106" s="599"/>
      <c r="K106" s="13">
        <f t="shared" si="33"/>
        <v>1</v>
      </c>
      <c r="L106" s="599"/>
      <c r="M106" s="13">
        <f t="shared" si="34"/>
        <v>1</v>
      </c>
      <c r="N106" s="599"/>
      <c r="O106" s="13">
        <f t="shared" si="35"/>
        <v>1</v>
      </c>
      <c r="P106" s="599"/>
      <c r="Q106" s="13">
        <f t="shared" si="36"/>
        <v>0</v>
      </c>
      <c r="R106" s="596">
        <f t="shared" si="41"/>
        <v>0</v>
      </c>
      <c r="S106" s="250">
        <f t="shared" si="42"/>
        <v>0</v>
      </c>
      <c r="T106" s="899">
        <f t="shared" si="43"/>
        <v>0</v>
      </c>
      <c r="U106" s="2988">
        <f t="shared" si="37"/>
        <v>0</v>
      </c>
      <c r="V106" s="2988">
        <f t="shared" si="38"/>
        <v>0</v>
      </c>
      <c r="W106" s="996"/>
      <c r="X106" s="2988">
        <f t="shared" si="39"/>
        <v>0</v>
      </c>
      <c r="Y106" s="2988">
        <f t="shared" si="40"/>
        <v>0</v>
      </c>
      <c r="Z106" s="996"/>
    </row>
    <row r="107" spans="1:26">
      <c r="A107" s="35"/>
      <c r="B107" s="20"/>
      <c r="C107" s="13">
        <f t="shared" si="29"/>
        <v>1</v>
      </c>
      <c r="D107" s="599"/>
      <c r="E107" s="13">
        <f t="shared" si="30"/>
        <v>1</v>
      </c>
      <c r="F107" s="599"/>
      <c r="G107" s="13">
        <f t="shared" si="31"/>
        <v>1</v>
      </c>
      <c r="H107" s="599"/>
      <c r="I107" s="13">
        <f t="shared" si="32"/>
        <v>1</v>
      </c>
      <c r="J107" s="599"/>
      <c r="K107" s="13">
        <f t="shared" si="33"/>
        <v>1</v>
      </c>
      <c r="L107" s="599"/>
      <c r="M107" s="13">
        <f t="shared" si="34"/>
        <v>1</v>
      </c>
      <c r="N107" s="599"/>
      <c r="O107" s="13">
        <f t="shared" si="35"/>
        <v>1</v>
      </c>
      <c r="P107" s="599"/>
      <c r="Q107" s="13">
        <f t="shared" si="36"/>
        <v>0</v>
      </c>
      <c r="R107" s="596">
        <f t="shared" si="41"/>
        <v>0</v>
      </c>
      <c r="S107" s="250">
        <f t="shared" si="42"/>
        <v>0</v>
      </c>
      <c r="T107" s="899">
        <f t="shared" si="43"/>
        <v>0</v>
      </c>
      <c r="U107" s="2988">
        <f t="shared" si="37"/>
        <v>0</v>
      </c>
      <c r="V107" s="2988">
        <f t="shared" si="38"/>
        <v>0</v>
      </c>
      <c r="W107" s="996"/>
      <c r="X107" s="2988">
        <f t="shared" si="39"/>
        <v>0</v>
      </c>
      <c r="Y107" s="2988">
        <f t="shared" si="40"/>
        <v>0</v>
      </c>
      <c r="Z107" s="996"/>
    </row>
    <row r="108" spans="1:26">
      <c r="A108" s="35"/>
      <c r="B108" s="20"/>
      <c r="C108" s="13">
        <f t="shared" si="29"/>
        <v>1</v>
      </c>
      <c r="D108" s="599"/>
      <c r="E108" s="13">
        <f t="shared" si="30"/>
        <v>1</v>
      </c>
      <c r="F108" s="599"/>
      <c r="G108" s="13">
        <f t="shared" si="31"/>
        <v>1</v>
      </c>
      <c r="H108" s="599"/>
      <c r="I108" s="13">
        <f t="shared" si="32"/>
        <v>1</v>
      </c>
      <c r="J108" s="599"/>
      <c r="K108" s="13">
        <f t="shared" si="33"/>
        <v>1</v>
      </c>
      <c r="L108" s="599"/>
      <c r="M108" s="13">
        <f t="shared" si="34"/>
        <v>1</v>
      </c>
      <c r="N108" s="599"/>
      <c r="O108" s="13">
        <f t="shared" si="35"/>
        <v>1</v>
      </c>
      <c r="P108" s="599"/>
      <c r="Q108" s="13">
        <f t="shared" si="36"/>
        <v>0</v>
      </c>
      <c r="R108" s="596">
        <f t="shared" si="41"/>
        <v>0</v>
      </c>
      <c r="S108" s="250">
        <f t="shared" si="42"/>
        <v>0</v>
      </c>
      <c r="T108" s="899">
        <f t="shared" si="43"/>
        <v>0</v>
      </c>
      <c r="U108" s="2988">
        <f t="shared" si="37"/>
        <v>0</v>
      </c>
      <c r="V108" s="2988">
        <f t="shared" si="38"/>
        <v>0</v>
      </c>
      <c r="W108" s="996"/>
      <c r="X108" s="2988">
        <f t="shared" si="39"/>
        <v>0</v>
      </c>
      <c r="Y108" s="2988">
        <f t="shared" si="40"/>
        <v>0</v>
      </c>
      <c r="Z108" s="996"/>
    </row>
    <row r="109" spans="1:26">
      <c r="A109" s="35"/>
      <c r="B109" s="20"/>
      <c r="C109" s="13">
        <f t="shared" si="29"/>
        <v>1</v>
      </c>
      <c r="D109" s="599"/>
      <c r="E109" s="13">
        <f t="shared" si="30"/>
        <v>1</v>
      </c>
      <c r="F109" s="599"/>
      <c r="G109" s="13">
        <f t="shared" si="31"/>
        <v>1</v>
      </c>
      <c r="H109" s="599"/>
      <c r="I109" s="13">
        <f t="shared" si="32"/>
        <v>1</v>
      </c>
      <c r="J109" s="599"/>
      <c r="K109" s="13">
        <f t="shared" si="33"/>
        <v>1</v>
      </c>
      <c r="L109" s="599"/>
      <c r="M109" s="13">
        <f t="shared" si="34"/>
        <v>1</v>
      </c>
      <c r="N109" s="599"/>
      <c r="O109" s="13">
        <f t="shared" si="35"/>
        <v>1</v>
      </c>
      <c r="P109" s="599"/>
      <c r="Q109" s="13">
        <f t="shared" si="36"/>
        <v>0</v>
      </c>
      <c r="R109" s="596">
        <f t="shared" si="41"/>
        <v>0</v>
      </c>
      <c r="S109" s="250">
        <f t="shared" si="42"/>
        <v>0</v>
      </c>
      <c r="T109" s="899">
        <f t="shared" si="43"/>
        <v>0</v>
      </c>
      <c r="U109" s="2988">
        <f t="shared" si="37"/>
        <v>0</v>
      </c>
      <c r="V109" s="2988">
        <f t="shared" si="38"/>
        <v>0</v>
      </c>
      <c r="W109" s="996"/>
      <c r="X109" s="2988">
        <f t="shared" si="39"/>
        <v>0</v>
      </c>
      <c r="Y109" s="2988">
        <f t="shared" si="40"/>
        <v>0</v>
      </c>
      <c r="Z109" s="996"/>
    </row>
    <row r="110" spans="1:26">
      <c r="A110" s="35"/>
      <c r="B110" s="20"/>
      <c r="C110" s="13">
        <f t="shared" si="29"/>
        <v>1</v>
      </c>
      <c r="D110" s="599"/>
      <c r="E110" s="13">
        <f t="shared" si="30"/>
        <v>1</v>
      </c>
      <c r="F110" s="599"/>
      <c r="G110" s="13">
        <f t="shared" si="31"/>
        <v>1</v>
      </c>
      <c r="H110" s="599"/>
      <c r="I110" s="13">
        <f t="shared" si="32"/>
        <v>1</v>
      </c>
      <c r="J110" s="599"/>
      <c r="K110" s="13">
        <f t="shared" si="33"/>
        <v>1</v>
      </c>
      <c r="L110" s="599"/>
      <c r="M110" s="13">
        <f t="shared" si="34"/>
        <v>1</v>
      </c>
      <c r="N110" s="599"/>
      <c r="O110" s="13">
        <f t="shared" si="35"/>
        <v>1</v>
      </c>
      <c r="P110" s="599"/>
      <c r="Q110" s="13">
        <f t="shared" si="36"/>
        <v>0</v>
      </c>
      <c r="R110" s="596">
        <f t="shared" si="41"/>
        <v>0</v>
      </c>
      <c r="S110" s="250">
        <f t="shared" si="42"/>
        <v>0</v>
      </c>
      <c r="T110" s="899">
        <f t="shared" si="43"/>
        <v>0</v>
      </c>
      <c r="U110" s="2988">
        <f t="shared" si="37"/>
        <v>0</v>
      </c>
      <c r="V110" s="2988">
        <f t="shared" si="38"/>
        <v>0</v>
      </c>
      <c r="W110" s="996"/>
      <c r="X110" s="2988">
        <f t="shared" si="39"/>
        <v>0</v>
      </c>
      <c r="Y110" s="2988">
        <f t="shared" si="40"/>
        <v>0</v>
      </c>
      <c r="Z110" s="996"/>
    </row>
    <row r="111" spans="1:26">
      <c r="A111" s="35"/>
      <c r="B111" s="20"/>
      <c r="C111" s="13">
        <f t="shared" si="29"/>
        <v>1</v>
      </c>
      <c r="D111" s="599"/>
      <c r="E111" s="13">
        <f t="shared" si="30"/>
        <v>1</v>
      </c>
      <c r="F111" s="599"/>
      <c r="G111" s="13">
        <f t="shared" si="31"/>
        <v>1</v>
      </c>
      <c r="H111" s="599"/>
      <c r="I111" s="13">
        <f t="shared" si="32"/>
        <v>1</v>
      </c>
      <c r="J111" s="599"/>
      <c r="K111" s="13">
        <f t="shared" si="33"/>
        <v>1</v>
      </c>
      <c r="L111" s="599"/>
      <c r="M111" s="13">
        <f t="shared" si="34"/>
        <v>1</v>
      </c>
      <c r="N111" s="599"/>
      <c r="O111" s="13">
        <f t="shared" si="35"/>
        <v>1</v>
      </c>
      <c r="P111" s="599"/>
      <c r="Q111" s="13">
        <f t="shared" si="36"/>
        <v>0</v>
      </c>
      <c r="R111" s="596">
        <f t="shared" si="41"/>
        <v>0</v>
      </c>
      <c r="S111" s="250">
        <f t="shared" si="42"/>
        <v>0</v>
      </c>
      <c r="T111" s="899">
        <f t="shared" si="43"/>
        <v>0</v>
      </c>
      <c r="U111" s="2988">
        <f t="shared" si="37"/>
        <v>0</v>
      </c>
      <c r="V111" s="2988">
        <f t="shared" si="38"/>
        <v>0</v>
      </c>
      <c r="W111" s="996"/>
      <c r="X111" s="2988">
        <f t="shared" si="39"/>
        <v>0</v>
      </c>
      <c r="Y111" s="2988">
        <f t="shared" si="40"/>
        <v>0</v>
      </c>
      <c r="Z111" s="996"/>
    </row>
    <row r="112" spans="1:26">
      <c r="A112" s="35"/>
      <c r="B112" s="20"/>
      <c r="C112" s="13">
        <f t="shared" si="29"/>
        <v>1</v>
      </c>
      <c r="D112" s="599"/>
      <c r="E112" s="13">
        <f t="shared" si="30"/>
        <v>1</v>
      </c>
      <c r="F112" s="599"/>
      <c r="G112" s="13">
        <f t="shared" si="31"/>
        <v>1</v>
      </c>
      <c r="H112" s="599"/>
      <c r="I112" s="13">
        <f t="shared" si="32"/>
        <v>1</v>
      </c>
      <c r="J112" s="599"/>
      <c r="K112" s="13">
        <f t="shared" si="33"/>
        <v>1</v>
      </c>
      <c r="L112" s="599"/>
      <c r="M112" s="13">
        <f t="shared" si="34"/>
        <v>1</v>
      </c>
      <c r="N112" s="599"/>
      <c r="O112" s="13">
        <f t="shared" si="35"/>
        <v>1</v>
      </c>
      <c r="P112" s="599"/>
      <c r="Q112" s="13">
        <f t="shared" si="36"/>
        <v>0</v>
      </c>
      <c r="R112" s="596">
        <f t="shared" si="41"/>
        <v>0</v>
      </c>
      <c r="S112" s="250">
        <f t="shared" si="42"/>
        <v>0</v>
      </c>
      <c r="T112" s="899">
        <f t="shared" si="43"/>
        <v>0</v>
      </c>
      <c r="U112" s="2988">
        <f t="shared" si="37"/>
        <v>0</v>
      </c>
      <c r="V112" s="2988">
        <f t="shared" si="38"/>
        <v>0</v>
      </c>
      <c r="W112" s="996"/>
      <c r="X112" s="2988">
        <f t="shared" si="39"/>
        <v>0</v>
      </c>
      <c r="Y112" s="2988">
        <f t="shared" si="40"/>
        <v>0</v>
      </c>
      <c r="Z112" s="996"/>
    </row>
    <row r="113" spans="1:26">
      <c r="A113" s="35"/>
      <c r="B113" s="20"/>
      <c r="C113" s="13">
        <f t="shared" si="29"/>
        <v>1</v>
      </c>
      <c r="D113" s="599"/>
      <c r="E113" s="13">
        <f t="shared" si="30"/>
        <v>1</v>
      </c>
      <c r="F113" s="599"/>
      <c r="G113" s="13">
        <f t="shared" si="31"/>
        <v>1</v>
      </c>
      <c r="H113" s="599"/>
      <c r="I113" s="13">
        <f t="shared" si="32"/>
        <v>1</v>
      </c>
      <c r="J113" s="599"/>
      <c r="K113" s="13">
        <f t="shared" si="33"/>
        <v>1</v>
      </c>
      <c r="L113" s="599"/>
      <c r="M113" s="13">
        <f t="shared" si="34"/>
        <v>1</v>
      </c>
      <c r="N113" s="599"/>
      <c r="O113" s="13">
        <f t="shared" si="35"/>
        <v>1</v>
      </c>
      <c r="P113" s="599"/>
      <c r="Q113" s="13">
        <f t="shared" si="36"/>
        <v>0</v>
      </c>
      <c r="R113" s="596">
        <f t="shared" si="41"/>
        <v>0</v>
      </c>
      <c r="S113" s="250">
        <f t="shared" si="42"/>
        <v>0</v>
      </c>
      <c r="T113" s="899">
        <f t="shared" si="43"/>
        <v>0</v>
      </c>
      <c r="U113" s="2988">
        <f t="shared" si="37"/>
        <v>0</v>
      </c>
      <c r="V113" s="2988">
        <f t="shared" si="38"/>
        <v>0</v>
      </c>
      <c r="W113" s="996"/>
      <c r="X113" s="2988">
        <f t="shared" si="39"/>
        <v>0</v>
      </c>
      <c r="Y113" s="2988">
        <f t="shared" si="40"/>
        <v>0</v>
      </c>
      <c r="Z113" s="996"/>
    </row>
    <row r="114" spans="1:26">
      <c r="A114" s="35"/>
      <c r="B114" s="20"/>
      <c r="C114" s="13">
        <f t="shared" si="29"/>
        <v>1</v>
      </c>
      <c r="D114" s="599"/>
      <c r="E114" s="13">
        <f t="shared" si="30"/>
        <v>1</v>
      </c>
      <c r="F114" s="599"/>
      <c r="G114" s="13">
        <f t="shared" si="31"/>
        <v>1</v>
      </c>
      <c r="H114" s="599"/>
      <c r="I114" s="13">
        <f t="shared" si="32"/>
        <v>1</v>
      </c>
      <c r="J114" s="599"/>
      <c r="K114" s="13">
        <f t="shared" si="33"/>
        <v>1</v>
      </c>
      <c r="L114" s="599"/>
      <c r="M114" s="13">
        <f t="shared" si="34"/>
        <v>1</v>
      </c>
      <c r="N114" s="599"/>
      <c r="O114" s="13">
        <f t="shared" si="35"/>
        <v>1</v>
      </c>
      <c r="P114" s="599"/>
      <c r="Q114" s="13">
        <f t="shared" si="36"/>
        <v>0</v>
      </c>
      <c r="R114" s="596">
        <f t="shared" si="41"/>
        <v>0</v>
      </c>
      <c r="S114" s="250">
        <f t="shared" si="42"/>
        <v>0</v>
      </c>
      <c r="T114" s="899">
        <f t="shared" si="43"/>
        <v>0</v>
      </c>
      <c r="U114" s="2988">
        <f t="shared" si="37"/>
        <v>0</v>
      </c>
      <c r="V114" s="2988">
        <f t="shared" si="38"/>
        <v>0</v>
      </c>
      <c r="W114" s="996"/>
      <c r="X114" s="2988">
        <f t="shared" si="39"/>
        <v>0</v>
      </c>
      <c r="Y114" s="2988">
        <f t="shared" si="40"/>
        <v>0</v>
      </c>
      <c r="Z114" s="996"/>
    </row>
    <row r="115" spans="1:26">
      <c r="A115" s="35"/>
      <c r="B115" s="20"/>
      <c r="C115" s="13">
        <f t="shared" si="29"/>
        <v>1</v>
      </c>
      <c r="D115" s="599"/>
      <c r="E115" s="13">
        <f t="shared" si="30"/>
        <v>1</v>
      </c>
      <c r="F115" s="599"/>
      <c r="G115" s="13">
        <f t="shared" si="31"/>
        <v>1</v>
      </c>
      <c r="H115" s="599"/>
      <c r="I115" s="13">
        <f t="shared" si="32"/>
        <v>1</v>
      </c>
      <c r="J115" s="599"/>
      <c r="K115" s="13">
        <f t="shared" si="33"/>
        <v>1</v>
      </c>
      <c r="L115" s="599"/>
      <c r="M115" s="13">
        <f t="shared" si="34"/>
        <v>1</v>
      </c>
      <c r="N115" s="599"/>
      <c r="O115" s="13">
        <f t="shared" si="35"/>
        <v>1</v>
      </c>
      <c r="P115" s="599"/>
      <c r="Q115" s="13">
        <f t="shared" si="36"/>
        <v>0</v>
      </c>
      <c r="R115" s="596">
        <f t="shared" si="41"/>
        <v>0</v>
      </c>
      <c r="S115" s="250">
        <f t="shared" si="42"/>
        <v>0</v>
      </c>
      <c r="T115" s="899">
        <f t="shared" si="43"/>
        <v>0</v>
      </c>
      <c r="U115" s="2988">
        <f t="shared" si="37"/>
        <v>0</v>
      </c>
      <c r="V115" s="2988">
        <f t="shared" si="38"/>
        <v>0</v>
      </c>
      <c r="W115" s="996"/>
      <c r="X115" s="2988">
        <f t="shared" si="39"/>
        <v>0</v>
      </c>
      <c r="Y115" s="2988">
        <f t="shared" si="40"/>
        <v>0</v>
      </c>
      <c r="Z115" s="996"/>
    </row>
    <row r="116" spans="1:26">
      <c r="A116" s="35"/>
      <c r="B116" s="20"/>
      <c r="C116" s="13">
        <f t="shared" si="29"/>
        <v>1</v>
      </c>
      <c r="D116" s="599"/>
      <c r="E116" s="13">
        <f t="shared" si="30"/>
        <v>1</v>
      </c>
      <c r="F116" s="599"/>
      <c r="G116" s="13">
        <f t="shared" si="31"/>
        <v>1</v>
      </c>
      <c r="H116" s="599"/>
      <c r="I116" s="13">
        <f t="shared" si="32"/>
        <v>1</v>
      </c>
      <c r="J116" s="599"/>
      <c r="K116" s="13">
        <f t="shared" si="33"/>
        <v>1</v>
      </c>
      <c r="L116" s="599"/>
      <c r="M116" s="13">
        <f t="shared" si="34"/>
        <v>1</v>
      </c>
      <c r="N116" s="599"/>
      <c r="O116" s="13">
        <f t="shared" si="35"/>
        <v>1</v>
      </c>
      <c r="P116" s="599"/>
      <c r="Q116" s="13">
        <f t="shared" si="36"/>
        <v>0</v>
      </c>
      <c r="R116" s="596">
        <f t="shared" si="41"/>
        <v>0</v>
      </c>
      <c r="S116" s="250">
        <f t="shared" si="42"/>
        <v>0</v>
      </c>
      <c r="T116" s="899">
        <f t="shared" si="43"/>
        <v>0</v>
      </c>
      <c r="U116" s="2988">
        <f t="shared" si="37"/>
        <v>0</v>
      </c>
      <c r="V116" s="2988">
        <f t="shared" si="38"/>
        <v>0</v>
      </c>
      <c r="W116" s="996"/>
      <c r="X116" s="2988">
        <f t="shared" si="39"/>
        <v>0</v>
      </c>
      <c r="Y116" s="2988">
        <f t="shared" si="40"/>
        <v>0</v>
      </c>
      <c r="Z116" s="996"/>
    </row>
    <row r="117" spans="1:26">
      <c r="A117" s="35"/>
      <c r="B117" s="20"/>
      <c r="C117" s="13">
        <f t="shared" si="29"/>
        <v>1</v>
      </c>
      <c r="D117" s="599"/>
      <c r="E117" s="13">
        <f t="shared" si="30"/>
        <v>1</v>
      </c>
      <c r="F117" s="599"/>
      <c r="G117" s="13">
        <f t="shared" si="31"/>
        <v>1</v>
      </c>
      <c r="H117" s="599"/>
      <c r="I117" s="13">
        <f t="shared" si="32"/>
        <v>1</v>
      </c>
      <c r="J117" s="599"/>
      <c r="K117" s="13">
        <f t="shared" si="33"/>
        <v>1</v>
      </c>
      <c r="L117" s="599"/>
      <c r="M117" s="13">
        <f t="shared" si="34"/>
        <v>1</v>
      </c>
      <c r="N117" s="599"/>
      <c r="O117" s="13">
        <f t="shared" si="35"/>
        <v>1</v>
      </c>
      <c r="P117" s="599"/>
      <c r="Q117" s="13">
        <f t="shared" si="36"/>
        <v>0</v>
      </c>
      <c r="R117" s="596">
        <f t="shared" si="41"/>
        <v>0</v>
      </c>
      <c r="S117" s="250">
        <f t="shared" si="42"/>
        <v>0</v>
      </c>
      <c r="T117" s="899">
        <f t="shared" si="43"/>
        <v>0</v>
      </c>
      <c r="U117" s="2988">
        <f t="shared" si="37"/>
        <v>0</v>
      </c>
      <c r="V117" s="2988">
        <f t="shared" si="38"/>
        <v>0</v>
      </c>
      <c r="W117" s="996"/>
      <c r="X117" s="2988">
        <f t="shared" si="39"/>
        <v>0</v>
      </c>
      <c r="Y117" s="2988">
        <f t="shared" si="40"/>
        <v>0</v>
      </c>
      <c r="Z117" s="996"/>
    </row>
    <row r="118" spans="1:26">
      <c r="A118" s="35"/>
      <c r="B118" s="20"/>
      <c r="C118" s="13">
        <f t="shared" si="29"/>
        <v>1</v>
      </c>
      <c r="D118" s="599"/>
      <c r="E118" s="13">
        <f t="shared" si="30"/>
        <v>1</v>
      </c>
      <c r="F118" s="599"/>
      <c r="G118" s="13">
        <f t="shared" si="31"/>
        <v>1</v>
      </c>
      <c r="H118" s="599"/>
      <c r="I118" s="13">
        <f t="shared" si="32"/>
        <v>1</v>
      </c>
      <c r="J118" s="599"/>
      <c r="K118" s="13">
        <f t="shared" si="33"/>
        <v>1</v>
      </c>
      <c r="L118" s="599"/>
      <c r="M118" s="13">
        <f t="shared" si="34"/>
        <v>1</v>
      </c>
      <c r="N118" s="599"/>
      <c r="O118" s="13">
        <f t="shared" si="35"/>
        <v>1</v>
      </c>
      <c r="P118" s="599"/>
      <c r="Q118" s="13">
        <f t="shared" si="36"/>
        <v>0</v>
      </c>
      <c r="R118" s="596">
        <f t="shared" si="41"/>
        <v>0</v>
      </c>
      <c r="S118" s="250">
        <f t="shared" si="42"/>
        <v>0</v>
      </c>
      <c r="T118" s="899">
        <f t="shared" si="43"/>
        <v>0</v>
      </c>
      <c r="U118" s="2988">
        <f t="shared" si="37"/>
        <v>0</v>
      </c>
      <c r="V118" s="2988">
        <f t="shared" si="38"/>
        <v>0</v>
      </c>
      <c r="W118" s="996"/>
      <c r="X118" s="2988">
        <f t="shared" si="39"/>
        <v>0</v>
      </c>
      <c r="Y118" s="2988">
        <f t="shared" si="40"/>
        <v>0</v>
      </c>
      <c r="Z118" s="996"/>
    </row>
    <row r="119" spans="1:26">
      <c r="A119" s="35"/>
      <c r="B119" s="20"/>
      <c r="C119" s="13">
        <f t="shared" si="29"/>
        <v>1</v>
      </c>
      <c r="D119" s="599"/>
      <c r="E119" s="13">
        <f t="shared" si="30"/>
        <v>1</v>
      </c>
      <c r="F119" s="599"/>
      <c r="G119" s="13">
        <f t="shared" si="31"/>
        <v>1</v>
      </c>
      <c r="H119" s="599"/>
      <c r="I119" s="13">
        <f t="shared" si="32"/>
        <v>1</v>
      </c>
      <c r="J119" s="599"/>
      <c r="K119" s="13">
        <f t="shared" si="33"/>
        <v>1</v>
      </c>
      <c r="L119" s="599"/>
      <c r="M119" s="13">
        <f t="shared" si="34"/>
        <v>1</v>
      </c>
      <c r="N119" s="599"/>
      <c r="O119" s="13">
        <f t="shared" si="35"/>
        <v>1</v>
      </c>
      <c r="P119" s="599"/>
      <c r="Q119" s="13">
        <f t="shared" si="36"/>
        <v>0</v>
      </c>
      <c r="R119" s="596">
        <f t="shared" si="41"/>
        <v>0</v>
      </c>
      <c r="S119" s="250">
        <f t="shared" si="42"/>
        <v>0</v>
      </c>
      <c r="T119" s="899">
        <f t="shared" si="43"/>
        <v>0</v>
      </c>
      <c r="U119" s="2988">
        <f t="shared" si="37"/>
        <v>0</v>
      </c>
      <c r="V119" s="2988">
        <f t="shared" si="38"/>
        <v>0</v>
      </c>
      <c r="W119" s="996"/>
      <c r="X119" s="2988">
        <f t="shared" si="39"/>
        <v>0</v>
      </c>
      <c r="Y119" s="2988">
        <f t="shared" si="40"/>
        <v>0</v>
      </c>
      <c r="Z119" s="996"/>
    </row>
    <row r="120" spans="1:26">
      <c r="A120" s="35"/>
      <c r="B120" s="20"/>
      <c r="C120" s="13">
        <f t="shared" si="29"/>
        <v>1</v>
      </c>
      <c r="D120" s="599"/>
      <c r="E120" s="13">
        <f t="shared" si="30"/>
        <v>1</v>
      </c>
      <c r="F120" s="599"/>
      <c r="G120" s="13">
        <f t="shared" si="31"/>
        <v>1</v>
      </c>
      <c r="H120" s="599"/>
      <c r="I120" s="13">
        <f t="shared" si="32"/>
        <v>1</v>
      </c>
      <c r="J120" s="599"/>
      <c r="K120" s="13">
        <f t="shared" si="33"/>
        <v>1</v>
      </c>
      <c r="L120" s="599"/>
      <c r="M120" s="13">
        <f t="shared" si="34"/>
        <v>1</v>
      </c>
      <c r="N120" s="599"/>
      <c r="O120" s="13">
        <f t="shared" si="35"/>
        <v>1</v>
      </c>
      <c r="P120" s="599"/>
      <c r="Q120" s="13">
        <f t="shared" si="36"/>
        <v>0</v>
      </c>
      <c r="R120" s="596">
        <f t="shared" si="41"/>
        <v>0</v>
      </c>
      <c r="S120" s="250">
        <f t="shared" si="42"/>
        <v>0</v>
      </c>
      <c r="T120" s="899">
        <f t="shared" si="43"/>
        <v>0</v>
      </c>
      <c r="U120" s="2988">
        <f t="shared" si="37"/>
        <v>0</v>
      </c>
      <c r="V120" s="2988">
        <f t="shared" si="38"/>
        <v>0</v>
      </c>
      <c r="W120" s="996"/>
      <c r="X120" s="2988">
        <f t="shared" si="39"/>
        <v>0</v>
      </c>
      <c r="Y120" s="2988">
        <f t="shared" si="40"/>
        <v>0</v>
      </c>
      <c r="Z120" s="996"/>
    </row>
    <row r="121" spans="1:26">
      <c r="A121" s="35"/>
      <c r="B121" s="20"/>
      <c r="C121" s="13">
        <f t="shared" si="29"/>
        <v>1</v>
      </c>
      <c r="D121" s="599"/>
      <c r="E121" s="13">
        <f t="shared" si="30"/>
        <v>1</v>
      </c>
      <c r="F121" s="599"/>
      <c r="G121" s="13">
        <f t="shared" si="31"/>
        <v>1</v>
      </c>
      <c r="H121" s="599"/>
      <c r="I121" s="13">
        <f t="shared" si="32"/>
        <v>1</v>
      </c>
      <c r="J121" s="599"/>
      <c r="K121" s="13">
        <f t="shared" si="33"/>
        <v>1</v>
      </c>
      <c r="L121" s="599"/>
      <c r="M121" s="13">
        <f t="shared" si="34"/>
        <v>1</v>
      </c>
      <c r="N121" s="599"/>
      <c r="O121" s="13">
        <f t="shared" si="35"/>
        <v>1</v>
      </c>
      <c r="P121" s="599"/>
      <c r="Q121" s="13">
        <f t="shared" si="36"/>
        <v>0</v>
      </c>
      <c r="R121" s="596">
        <f t="shared" si="41"/>
        <v>0</v>
      </c>
      <c r="S121" s="250">
        <f t="shared" si="42"/>
        <v>0</v>
      </c>
      <c r="T121" s="899">
        <f t="shared" si="43"/>
        <v>0</v>
      </c>
      <c r="U121" s="2988">
        <f t="shared" si="37"/>
        <v>0</v>
      </c>
      <c r="V121" s="2988">
        <f t="shared" si="38"/>
        <v>0</v>
      </c>
      <c r="W121" s="996"/>
      <c r="X121" s="2988">
        <f t="shared" si="39"/>
        <v>0</v>
      </c>
      <c r="Y121" s="2988">
        <f t="shared" si="40"/>
        <v>0</v>
      </c>
      <c r="Z121" s="996"/>
    </row>
    <row r="122" spans="1:26">
      <c r="A122" s="35"/>
      <c r="B122" s="20"/>
      <c r="C122" s="13">
        <f t="shared" si="29"/>
        <v>1</v>
      </c>
      <c r="D122" s="599"/>
      <c r="E122" s="13">
        <f t="shared" si="30"/>
        <v>1</v>
      </c>
      <c r="F122" s="599"/>
      <c r="G122" s="13">
        <f t="shared" si="31"/>
        <v>1</v>
      </c>
      <c r="H122" s="599"/>
      <c r="I122" s="13">
        <f t="shared" si="32"/>
        <v>1</v>
      </c>
      <c r="J122" s="599"/>
      <c r="K122" s="13">
        <f t="shared" si="33"/>
        <v>1</v>
      </c>
      <c r="L122" s="599"/>
      <c r="M122" s="13">
        <f t="shared" si="34"/>
        <v>1</v>
      </c>
      <c r="N122" s="599"/>
      <c r="O122" s="13">
        <f t="shared" si="35"/>
        <v>1</v>
      </c>
      <c r="P122" s="599"/>
      <c r="Q122" s="13">
        <f t="shared" si="36"/>
        <v>0</v>
      </c>
      <c r="R122" s="596">
        <f t="shared" si="41"/>
        <v>0</v>
      </c>
      <c r="S122" s="250">
        <f t="shared" si="42"/>
        <v>0</v>
      </c>
      <c r="T122" s="899">
        <f t="shared" si="43"/>
        <v>0</v>
      </c>
      <c r="U122" s="2988">
        <f t="shared" si="37"/>
        <v>0</v>
      </c>
      <c r="V122" s="2988">
        <f t="shared" si="38"/>
        <v>0</v>
      </c>
      <c r="W122" s="996"/>
      <c r="X122" s="2988">
        <f t="shared" si="39"/>
        <v>0</v>
      </c>
      <c r="Y122" s="2988">
        <f t="shared" si="40"/>
        <v>0</v>
      </c>
      <c r="Z122" s="996"/>
    </row>
    <row r="123" spans="1:26">
      <c r="A123" s="35"/>
      <c r="B123" s="20"/>
      <c r="C123" s="13">
        <f t="shared" si="29"/>
        <v>1</v>
      </c>
      <c r="D123" s="599"/>
      <c r="E123" s="13">
        <f t="shared" si="30"/>
        <v>1</v>
      </c>
      <c r="F123" s="599"/>
      <c r="G123" s="13">
        <f t="shared" si="31"/>
        <v>1</v>
      </c>
      <c r="H123" s="599"/>
      <c r="I123" s="13">
        <f t="shared" si="32"/>
        <v>1</v>
      </c>
      <c r="J123" s="599"/>
      <c r="K123" s="13">
        <f t="shared" si="33"/>
        <v>1</v>
      </c>
      <c r="L123" s="599"/>
      <c r="M123" s="13">
        <f t="shared" si="34"/>
        <v>1</v>
      </c>
      <c r="N123" s="599"/>
      <c r="O123" s="13">
        <f t="shared" si="35"/>
        <v>1</v>
      </c>
      <c r="P123" s="599"/>
      <c r="Q123" s="13">
        <f t="shared" si="36"/>
        <v>0</v>
      </c>
      <c r="R123" s="596">
        <f t="shared" si="41"/>
        <v>0</v>
      </c>
      <c r="S123" s="250">
        <f t="shared" si="42"/>
        <v>0</v>
      </c>
      <c r="T123" s="899">
        <f t="shared" si="43"/>
        <v>0</v>
      </c>
      <c r="U123" s="2988">
        <f t="shared" si="37"/>
        <v>0</v>
      </c>
      <c r="V123" s="2988">
        <f t="shared" si="38"/>
        <v>0</v>
      </c>
      <c r="W123" s="996"/>
      <c r="X123" s="2988">
        <f t="shared" si="39"/>
        <v>0</v>
      </c>
      <c r="Y123" s="2988">
        <f t="shared" si="40"/>
        <v>0</v>
      </c>
      <c r="Z123" s="996"/>
    </row>
    <row r="124" spans="1:26">
      <c r="A124" s="35"/>
      <c r="B124" s="20"/>
      <c r="C124" s="13">
        <f t="shared" si="29"/>
        <v>1</v>
      </c>
      <c r="D124" s="599"/>
      <c r="E124" s="13">
        <f t="shared" si="30"/>
        <v>1</v>
      </c>
      <c r="F124" s="599"/>
      <c r="G124" s="13">
        <f t="shared" si="31"/>
        <v>1</v>
      </c>
      <c r="H124" s="599"/>
      <c r="I124" s="13">
        <f t="shared" si="32"/>
        <v>1</v>
      </c>
      <c r="J124" s="599"/>
      <c r="K124" s="13">
        <f t="shared" si="33"/>
        <v>1</v>
      </c>
      <c r="L124" s="599"/>
      <c r="M124" s="13">
        <f t="shared" si="34"/>
        <v>1</v>
      </c>
      <c r="N124" s="599"/>
      <c r="O124" s="13">
        <f t="shared" si="35"/>
        <v>1</v>
      </c>
      <c r="P124" s="599"/>
      <c r="Q124" s="13">
        <f t="shared" si="36"/>
        <v>0</v>
      </c>
      <c r="R124" s="596">
        <f t="shared" si="41"/>
        <v>0</v>
      </c>
      <c r="S124" s="250">
        <f t="shared" si="42"/>
        <v>0</v>
      </c>
      <c r="T124" s="899">
        <f t="shared" si="43"/>
        <v>0</v>
      </c>
      <c r="U124" s="2988">
        <f t="shared" si="37"/>
        <v>0</v>
      </c>
      <c r="V124" s="2988">
        <f t="shared" si="38"/>
        <v>0</v>
      </c>
      <c r="W124" s="996"/>
      <c r="X124" s="2988">
        <f t="shared" si="39"/>
        <v>0</v>
      </c>
      <c r="Y124" s="2988">
        <f t="shared" si="40"/>
        <v>0</v>
      </c>
      <c r="Z124" s="996"/>
    </row>
    <row r="125" spans="1:26">
      <c r="A125" s="35"/>
      <c r="B125" s="20"/>
      <c r="C125" s="13">
        <f t="shared" si="29"/>
        <v>1</v>
      </c>
      <c r="D125" s="599"/>
      <c r="E125" s="13">
        <f t="shared" si="30"/>
        <v>1</v>
      </c>
      <c r="F125" s="599"/>
      <c r="G125" s="13">
        <f t="shared" si="31"/>
        <v>1</v>
      </c>
      <c r="H125" s="599"/>
      <c r="I125" s="13">
        <f t="shared" si="32"/>
        <v>1</v>
      </c>
      <c r="J125" s="599"/>
      <c r="K125" s="13">
        <f t="shared" si="33"/>
        <v>1</v>
      </c>
      <c r="L125" s="599"/>
      <c r="M125" s="13">
        <f t="shared" si="34"/>
        <v>1</v>
      </c>
      <c r="N125" s="599"/>
      <c r="O125" s="13">
        <f t="shared" si="35"/>
        <v>1</v>
      </c>
      <c r="P125" s="599"/>
      <c r="Q125" s="13">
        <f t="shared" si="36"/>
        <v>0</v>
      </c>
      <c r="R125" s="596">
        <f t="shared" si="41"/>
        <v>0</v>
      </c>
      <c r="S125" s="250">
        <f t="shared" si="42"/>
        <v>0</v>
      </c>
      <c r="T125" s="899">
        <f t="shared" si="43"/>
        <v>0</v>
      </c>
      <c r="U125" s="2988">
        <f t="shared" si="37"/>
        <v>0</v>
      </c>
      <c r="V125" s="2988">
        <f t="shared" si="38"/>
        <v>0</v>
      </c>
      <c r="W125" s="996"/>
      <c r="X125" s="2988">
        <f t="shared" si="39"/>
        <v>0</v>
      </c>
      <c r="Y125" s="2988">
        <f t="shared" si="40"/>
        <v>0</v>
      </c>
      <c r="Z125" s="996"/>
    </row>
    <row r="126" spans="1:26">
      <c r="A126" s="35"/>
      <c r="B126" s="20"/>
      <c r="C126" s="13">
        <f t="shared" si="29"/>
        <v>1</v>
      </c>
      <c r="D126" s="599"/>
      <c r="E126" s="13">
        <f t="shared" si="30"/>
        <v>1</v>
      </c>
      <c r="F126" s="599"/>
      <c r="G126" s="13">
        <f t="shared" si="31"/>
        <v>1</v>
      </c>
      <c r="H126" s="599"/>
      <c r="I126" s="13">
        <f t="shared" si="32"/>
        <v>1</v>
      </c>
      <c r="J126" s="599"/>
      <c r="K126" s="13">
        <f t="shared" si="33"/>
        <v>1</v>
      </c>
      <c r="L126" s="599"/>
      <c r="M126" s="13">
        <f t="shared" si="34"/>
        <v>1</v>
      </c>
      <c r="N126" s="599"/>
      <c r="O126" s="13">
        <f t="shared" si="35"/>
        <v>1</v>
      </c>
      <c r="P126" s="599"/>
      <c r="Q126" s="13">
        <f t="shared" si="36"/>
        <v>0</v>
      </c>
      <c r="R126" s="596">
        <f t="shared" si="41"/>
        <v>0</v>
      </c>
      <c r="S126" s="250">
        <f t="shared" si="42"/>
        <v>0</v>
      </c>
      <c r="T126" s="899">
        <f t="shared" si="43"/>
        <v>0</v>
      </c>
      <c r="U126" s="2988">
        <f t="shared" si="37"/>
        <v>0</v>
      </c>
      <c r="V126" s="2988">
        <f t="shared" si="38"/>
        <v>0</v>
      </c>
      <c r="W126" s="996"/>
      <c r="X126" s="2988">
        <f t="shared" si="39"/>
        <v>0</v>
      </c>
      <c r="Y126" s="2988">
        <f t="shared" si="40"/>
        <v>0</v>
      </c>
      <c r="Z126" s="996"/>
    </row>
    <row r="127" spans="1:26">
      <c r="A127" s="35"/>
      <c r="B127" s="20"/>
      <c r="C127" s="13">
        <f t="shared" si="29"/>
        <v>1</v>
      </c>
      <c r="D127" s="599"/>
      <c r="E127" s="13">
        <f t="shared" si="30"/>
        <v>1</v>
      </c>
      <c r="F127" s="599"/>
      <c r="G127" s="13">
        <f t="shared" si="31"/>
        <v>1</v>
      </c>
      <c r="H127" s="599"/>
      <c r="I127" s="13">
        <f t="shared" si="32"/>
        <v>1</v>
      </c>
      <c r="J127" s="599"/>
      <c r="K127" s="13">
        <f t="shared" si="33"/>
        <v>1</v>
      </c>
      <c r="L127" s="599"/>
      <c r="M127" s="13">
        <f t="shared" si="34"/>
        <v>1</v>
      </c>
      <c r="N127" s="599"/>
      <c r="O127" s="13">
        <f t="shared" si="35"/>
        <v>1</v>
      </c>
      <c r="P127" s="599"/>
      <c r="Q127" s="13">
        <f t="shared" si="36"/>
        <v>0</v>
      </c>
      <c r="R127" s="596">
        <f t="shared" si="41"/>
        <v>0</v>
      </c>
      <c r="S127" s="250">
        <f t="shared" si="42"/>
        <v>0</v>
      </c>
      <c r="T127" s="899">
        <f t="shared" si="43"/>
        <v>0</v>
      </c>
      <c r="U127" s="2988">
        <f t="shared" si="37"/>
        <v>0</v>
      </c>
      <c r="V127" s="2988">
        <f t="shared" si="38"/>
        <v>0</v>
      </c>
      <c r="W127" s="996"/>
      <c r="X127" s="2988">
        <f t="shared" si="39"/>
        <v>0</v>
      </c>
      <c r="Y127" s="2988">
        <f t="shared" si="40"/>
        <v>0</v>
      </c>
      <c r="Z127" s="996"/>
    </row>
    <row r="128" spans="1:26">
      <c r="A128" s="35"/>
      <c r="B128" s="20"/>
      <c r="C128" s="13">
        <f t="shared" si="29"/>
        <v>1</v>
      </c>
      <c r="D128" s="599"/>
      <c r="E128" s="13">
        <f t="shared" si="30"/>
        <v>1</v>
      </c>
      <c r="F128" s="599"/>
      <c r="G128" s="13">
        <f t="shared" si="31"/>
        <v>1</v>
      </c>
      <c r="H128" s="599"/>
      <c r="I128" s="13">
        <f t="shared" si="32"/>
        <v>1</v>
      </c>
      <c r="J128" s="599"/>
      <c r="K128" s="13">
        <f t="shared" si="33"/>
        <v>1</v>
      </c>
      <c r="L128" s="599"/>
      <c r="M128" s="13">
        <f t="shared" si="34"/>
        <v>1</v>
      </c>
      <c r="N128" s="599"/>
      <c r="O128" s="13">
        <f t="shared" si="35"/>
        <v>1</v>
      </c>
      <c r="P128" s="599"/>
      <c r="Q128" s="13">
        <f t="shared" si="36"/>
        <v>0</v>
      </c>
      <c r="R128" s="596">
        <f t="shared" si="41"/>
        <v>0</v>
      </c>
      <c r="S128" s="250">
        <f t="shared" si="42"/>
        <v>0</v>
      </c>
      <c r="T128" s="899">
        <f t="shared" si="43"/>
        <v>0</v>
      </c>
      <c r="U128" s="2988">
        <f t="shared" si="37"/>
        <v>0</v>
      </c>
      <c r="V128" s="2988">
        <f t="shared" si="38"/>
        <v>0</v>
      </c>
      <c r="W128" s="996"/>
      <c r="X128" s="2988">
        <f t="shared" si="39"/>
        <v>0</v>
      </c>
      <c r="Y128" s="2988">
        <f t="shared" si="40"/>
        <v>0</v>
      </c>
      <c r="Z128" s="996"/>
    </row>
    <row r="129" spans="1:26">
      <c r="A129" s="35"/>
      <c r="B129" s="20"/>
      <c r="C129" s="13">
        <f t="shared" si="29"/>
        <v>1</v>
      </c>
      <c r="D129" s="599"/>
      <c r="E129" s="13">
        <f t="shared" si="30"/>
        <v>1</v>
      </c>
      <c r="F129" s="599"/>
      <c r="G129" s="13">
        <f t="shared" si="31"/>
        <v>1</v>
      </c>
      <c r="H129" s="599"/>
      <c r="I129" s="13">
        <f t="shared" si="32"/>
        <v>1</v>
      </c>
      <c r="J129" s="599"/>
      <c r="K129" s="13">
        <f t="shared" si="33"/>
        <v>1</v>
      </c>
      <c r="L129" s="599"/>
      <c r="M129" s="13">
        <f t="shared" si="34"/>
        <v>1</v>
      </c>
      <c r="N129" s="599"/>
      <c r="O129" s="13">
        <f t="shared" si="35"/>
        <v>1</v>
      </c>
      <c r="P129" s="599"/>
      <c r="Q129" s="13">
        <f t="shared" si="36"/>
        <v>0</v>
      </c>
      <c r="R129" s="596">
        <f t="shared" si="41"/>
        <v>0</v>
      </c>
      <c r="S129" s="250">
        <f t="shared" si="42"/>
        <v>0</v>
      </c>
      <c r="T129" s="899">
        <f t="shared" si="43"/>
        <v>0</v>
      </c>
      <c r="U129" s="2988">
        <f t="shared" si="37"/>
        <v>0</v>
      </c>
      <c r="V129" s="2988">
        <f t="shared" si="38"/>
        <v>0</v>
      </c>
      <c r="W129" s="996"/>
      <c r="X129" s="2988">
        <f t="shared" si="39"/>
        <v>0</v>
      </c>
      <c r="Y129" s="2988">
        <f t="shared" si="40"/>
        <v>0</v>
      </c>
      <c r="Z129" s="996"/>
    </row>
    <row r="130" spans="1:26">
      <c r="A130" s="35"/>
      <c r="B130" s="20"/>
      <c r="C130" s="13">
        <f t="shared" si="29"/>
        <v>1</v>
      </c>
      <c r="D130" s="599"/>
      <c r="E130" s="13">
        <f t="shared" si="30"/>
        <v>1</v>
      </c>
      <c r="F130" s="599"/>
      <c r="G130" s="13">
        <f t="shared" si="31"/>
        <v>1</v>
      </c>
      <c r="H130" s="599"/>
      <c r="I130" s="13">
        <f t="shared" si="32"/>
        <v>1</v>
      </c>
      <c r="J130" s="599"/>
      <c r="K130" s="13">
        <f t="shared" si="33"/>
        <v>1</v>
      </c>
      <c r="L130" s="599"/>
      <c r="M130" s="13">
        <f t="shared" si="34"/>
        <v>1</v>
      </c>
      <c r="N130" s="599"/>
      <c r="O130" s="13">
        <f t="shared" si="35"/>
        <v>1</v>
      </c>
      <c r="P130" s="599"/>
      <c r="Q130" s="13">
        <f t="shared" si="36"/>
        <v>0</v>
      </c>
      <c r="R130" s="596">
        <f t="shared" si="41"/>
        <v>0</v>
      </c>
      <c r="S130" s="250">
        <f t="shared" si="42"/>
        <v>0</v>
      </c>
      <c r="T130" s="899">
        <f t="shared" si="43"/>
        <v>0</v>
      </c>
      <c r="U130" s="2988">
        <f t="shared" si="37"/>
        <v>0</v>
      </c>
      <c r="V130" s="2988">
        <f t="shared" si="38"/>
        <v>0</v>
      </c>
      <c r="W130" s="996"/>
      <c r="X130" s="2988">
        <f t="shared" si="39"/>
        <v>0</v>
      </c>
      <c r="Y130" s="2988">
        <f t="shared" si="40"/>
        <v>0</v>
      </c>
      <c r="Z130" s="996"/>
    </row>
    <row r="131" spans="1:26">
      <c r="A131" s="35"/>
      <c r="B131" s="20"/>
      <c r="C131" s="13">
        <f t="shared" si="29"/>
        <v>1</v>
      </c>
      <c r="D131" s="599"/>
      <c r="E131" s="13">
        <f t="shared" si="30"/>
        <v>1</v>
      </c>
      <c r="F131" s="599"/>
      <c r="G131" s="13">
        <f t="shared" si="31"/>
        <v>1</v>
      </c>
      <c r="H131" s="599"/>
      <c r="I131" s="13">
        <f t="shared" si="32"/>
        <v>1</v>
      </c>
      <c r="J131" s="599"/>
      <c r="K131" s="13">
        <f t="shared" si="33"/>
        <v>1</v>
      </c>
      <c r="L131" s="599"/>
      <c r="M131" s="13">
        <f t="shared" si="34"/>
        <v>1</v>
      </c>
      <c r="N131" s="599"/>
      <c r="O131" s="13">
        <f t="shared" si="35"/>
        <v>1</v>
      </c>
      <c r="P131" s="599"/>
      <c r="Q131" s="13">
        <f t="shared" si="36"/>
        <v>0</v>
      </c>
      <c r="R131" s="596">
        <f t="shared" si="41"/>
        <v>0</v>
      </c>
      <c r="S131" s="250">
        <f t="shared" si="42"/>
        <v>0</v>
      </c>
      <c r="T131" s="899">
        <f t="shared" si="43"/>
        <v>0</v>
      </c>
      <c r="U131" s="2988">
        <f t="shared" si="37"/>
        <v>0</v>
      </c>
      <c r="V131" s="2988">
        <f t="shared" si="38"/>
        <v>0</v>
      </c>
      <c r="W131" s="996"/>
      <c r="X131" s="2988">
        <f t="shared" si="39"/>
        <v>0</v>
      </c>
      <c r="Y131" s="2988">
        <f t="shared" si="40"/>
        <v>0</v>
      </c>
      <c r="Z131" s="996"/>
    </row>
    <row r="132" spans="1:26">
      <c r="A132" s="35"/>
      <c r="B132" s="20"/>
      <c r="C132" s="13">
        <f t="shared" si="29"/>
        <v>1</v>
      </c>
      <c r="D132" s="599"/>
      <c r="E132" s="13">
        <f t="shared" si="30"/>
        <v>1</v>
      </c>
      <c r="F132" s="599"/>
      <c r="G132" s="13">
        <f t="shared" si="31"/>
        <v>1</v>
      </c>
      <c r="H132" s="599"/>
      <c r="I132" s="13">
        <f t="shared" si="32"/>
        <v>1</v>
      </c>
      <c r="J132" s="599"/>
      <c r="K132" s="13">
        <f t="shared" si="33"/>
        <v>1</v>
      </c>
      <c r="L132" s="599"/>
      <c r="M132" s="13">
        <f t="shared" si="34"/>
        <v>1</v>
      </c>
      <c r="N132" s="599"/>
      <c r="O132" s="13">
        <f t="shared" si="35"/>
        <v>1</v>
      </c>
      <c r="P132" s="599"/>
      <c r="Q132" s="13">
        <f t="shared" si="36"/>
        <v>0</v>
      </c>
      <c r="R132" s="596">
        <f t="shared" si="41"/>
        <v>0</v>
      </c>
      <c r="S132" s="250">
        <f t="shared" si="42"/>
        <v>0</v>
      </c>
      <c r="T132" s="899">
        <f t="shared" si="43"/>
        <v>0</v>
      </c>
      <c r="U132" s="2988">
        <f t="shared" si="37"/>
        <v>0</v>
      </c>
      <c r="V132" s="2988">
        <f t="shared" si="38"/>
        <v>0</v>
      </c>
      <c r="W132" s="996"/>
      <c r="X132" s="2988">
        <f t="shared" si="39"/>
        <v>0</v>
      </c>
      <c r="Y132" s="2988">
        <f t="shared" si="40"/>
        <v>0</v>
      </c>
      <c r="Z132" s="996"/>
    </row>
    <row r="133" spans="1:26">
      <c r="A133" s="35"/>
      <c r="B133" s="20"/>
      <c r="C133" s="13">
        <f t="shared" si="29"/>
        <v>1</v>
      </c>
      <c r="D133" s="599"/>
      <c r="E133" s="13">
        <f t="shared" si="30"/>
        <v>1</v>
      </c>
      <c r="F133" s="599"/>
      <c r="G133" s="13">
        <f t="shared" si="31"/>
        <v>1</v>
      </c>
      <c r="H133" s="599"/>
      <c r="I133" s="13">
        <f t="shared" si="32"/>
        <v>1</v>
      </c>
      <c r="J133" s="599"/>
      <c r="K133" s="13">
        <f t="shared" si="33"/>
        <v>1</v>
      </c>
      <c r="L133" s="599"/>
      <c r="M133" s="13">
        <f t="shared" si="34"/>
        <v>1</v>
      </c>
      <c r="N133" s="599"/>
      <c r="O133" s="13">
        <f t="shared" si="35"/>
        <v>1</v>
      </c>
      <c r="P133" s="599"/>
      <c r="Q133" s="13">
        <f t="shared" si="36"/>
        <v>0</v>
      </c>
      <c r="R133" s="596">
        <f t="shared" si="41"/>
        <v>0</v>
      </c>
      <c r="S133" s="250">
        <f t="shared" si="42"/>
        <v>0</v>
      </c>
      <c r="T133" s="899">
        <f t="shared" si="43"/>
        <v>0</v>
      </c>
      <c r="U133" s="2988">
        <f t="shared" si="37"/>
        <v>0</v>
      </c>
      <c r="V133" s="2988">
        <f t="shared" si="38"/>
        <v>0</v>
      </c>
      <c r="W133" s="996"/>
      <c r="X133" s="2988">
        <f t="shared" si="39"/>
        <v>0</v>
      </c>
      <c r="Y133" s="2988">
        <f t="shared" si="40"/>
        <v>0</v>
      </c>
      <c r="Z133" s="996"/>
    </row>
    <row r="134" spans="1:26">
      <c r="A134" s="35"/>
      <c r="B134" s="20"/>
      <c r="C134" s="13">
        <f t="shared" si="29"/>
        <v>1</v>
      </c>
      <c r="D134" s="599"/>
      <c r="E134" s="13">
        <f t="shared" si="30"/>
        <v>1</v>
      </c>
      <c r="F134" s="599"/>
      <c r="G134" s="13">
        <f t="shared" si="31"/>
        <v>1</v>
      </c>
      <c r="H134" s="599"/>
      <c r="I134" s="13">
        <f t="shared" si="32"/>
        <v>1</v>
      </c>
      <c r="J134" s="599"/>
      <c r="K134" s="13">
        <f t="shared" si="33"/>
        <v>1</v>
      </c>
      <c r="L134" s="599"/>
      <c r="M134" s="13">
        <f t="shared" si="34"/>
        <v>1</v>
      </c>
      <c r="N134" s="599"/>
      <c r="O134" s="13">
        <f t="shared" si="35"/>
        <v>1</v>
      </c>
      <c r="P134" s="599"/>
      <c r="Q134" s="13">
        <f t="shared" si="36"/>
        <v>0</v>
      </c>
      <c r="R134" s="596">
        <f t="shared" si="41"/>
        <v>0</v>
      </c>
      <c r="S134" s="250">
        <f t="shared" si="42"/>
        <v>0</v>
      </c>
      <c r="T134" s="899">
        <f t="shared" si="43"/>
        <v>0</v>
      </c>
      <c r="U134" s="2988">
        <f t="shared" si="37"/>
        <v>0</v>
      </c>
      <c r="V134" s="2988">
        <f t="shared" si="38"/>
        <v>0</v>
      </c>
      <c r="W134" s="996"/>
      <c r="X134" s="2988">
        <f t="shared" si="39"/>
        <v>0</v>
      </c>
      <c r="Y134" s="2988">
        <f t="shared" si="40"/>
        <v>0</v>
      </c>
      <c r="Z134" s="996"/>
    </row>
    <row r="135" spans="1:26">
      <c r="A135" s="35"/>
      <c r="B135" s="20"/>
      <c r="C135" s="13">
        <f t="shared" si="29"/>
        <v>1</v>
      </c>
      <c r="D135" s="599"/>
      <c r="E135" s="13">
        <f t="shared" si="30"/>
        <v>1</v>
      </c>
      <c r="F135" s="599"/>
      <c r="G135" s="13">
        <f t="shared" si="31"/>
        <v>1</v>
      </c>
      <c r="H135" s="599"/>
      <c r="I135" s="13">
        <f t="shared" si="32"/>
        <v>1</v>
      </c>
      <c r="J135" s="599"/>
      <c r="K135" s="13">
        <f t="shared" si="33"/>
        <v>1</v>
      </c>
      <c r="L135" s="599"/>
      <c r="M135" s="13">
        <f t="shared" si="34"/>
        <v>1</v>
      </c>
      <c r="N135" s="599"/>
      <c r="O135" s="13">
        <f t="shared" si="35"/>
        <v>1</v>
      </c>
      <c r="P135" s="599"/>
      <c r="Q135" s="13">
        <f t="shared" si="36"/>
        <v>0</v>
      </c>
      <c r="R135" s="596">
        <f t="shared" si="41"/>
        <v>0</v>
      </c>
      <c r="S135" s="250">
        <f t="shared" si="42"/>
        <v>0</v>
      </c>
      <c r="T135" s="899">
        <f t="shared" si="43"/>
        <v>0</v>
      </c>
      <c r="U135" s="2988">
        <f t="shared" si="37"/>
        <v>0</v>
      </c>
      <c r="V135" s="2988">
        <f t="shared" si="38"/>
        <v>0</v>
      </c>
      <c r="W135" s="996"/>
      <c r="X135" s="2988">
        <f t="shared" si="39"/>
        <v>0</v>
      </c>
      <c r="Y135" s="2988">
        <f t="shared" si="40"/>
        <v>0</v>
      </c>
      <c r="Z135" s="996"/>
    </row>
    <row r="136" spans="1:26">
      <c r="A136" s="35"/>
      <c r="B136" s="20"/>
      <c r="C136" s="13">
        <f t="shared" si="29"/>
        <v>1</v>
      </c>
      <c r="D136" s="599"/>
      <c r="E136" s="13">
        <f t="shared" si="30"/>
        <v>1</v>
      </c>
      <c r="F136" s="599"/>
      <c r="G136" s="13">
        <f t="shared" si="31"/>
        <v>1</v>
      </c>
      <c r="H136" s="599"/>
      <c r="I136" s="13">
        <f t="shared" si="32"/>
        <v>1</v>
      </c>
      <c r="J136" s="599"/>
      <c r="K136" s="13">
        <f t="shared" si="33"/>
        <v>1</v>
      </c>
      <c r="L136" s="599"/>
      <c r="M136" s="13">
        <f t="shared" si="34"/>
        <v>1</v>
      </c>
      <c r="N136" s="599"/>
      <c r="O136" s="13">
        <f t="shared" si="35"/>
        <v>1</v>
      </c>
      <c r="P136" s="599"/>
      <c r="Q136" s="13">
        <f t="shared" si="36"/>
        <v>0</v>
      </c>
      <c r="R136" s="596">
        <f t="shared" si="41"/>
        <v>0</v>
      </c>
      <c r="S136" s="250">
        <f t="shared" si="42"/>
        <v>0</v>
      </c>
      <c r="T136" s="899">
        <f t="shared" si="43"/>
        <v>0</v>
      </c>
      <c r="U136" s="2988">
        <f t="shared" si="37"/>
        <v>0</v>
      </c>
      <c r="V136" s="2988">
        <f t="shared" si="38"/>
        <v>0</v>
      </c>
      <c r="W136" s="996"/>
      <c r="X136" s="2988">
        <f t="shared" si="39"/>
        <v>0</v>
      </c>
      <c r="Y136" s="2988">
        <f t="shared" si="40"/>
        <v>0</v>
      </c>
      <c r="Z136" s="996"/>
    </row>
    <row r="137" spans="1:26">
      <c r="A137" s="35"/>
      <c r="B137" s="20"/>
      <c r="C137" s="13">
        <f t="shared" si="29"/>
        <v>1</v>
      </c>
      <c r="D137" s="599"/>
      <c r="E137" s="13">
        <f t="shared" si="30"/>
        <v>1</v>
      </c>
      <c r="F137" s="599"/>
      <c r="G137" s="13">
        <f t="shared" si="31"/>
        <v>1</v>
      </c>
      <c r="H137" s="599"/>
      <c r="I137" s="13">
        <f t="shared" si="32"/>
        <v>1</v>
      </c>
      <c r="J137" s="599"/>
      <c r="K137" s="13">
        <f t="shared" si="33"/>
        <v>1</v>
      </c>
      <c r="L137" s="599"/>
      <c r="M137" s="13">
        <f t="shared" si="34"/>
        <v>1</v>
      </c>
      <c r="N137" s="599"/>
      <c r="O137" s="13">
        <f t="shared" si="35"/>
        <v>1</v>
      </c>
      <c r="P137" s="599"/>
      <c r="Q137" s="13">
        <f t="shared" si="36"/>
        <v>0</v>
      </c>
      <c r="R137" s="596">
        <f t="shared" si="41"/>
        <v>0</v>
      </c>
      <c r="S137" s="250">
        <f t="shared" si="42"/>
        <v>0</v>
      </c>
      <c r="T137" s="899">
        <f t="shared" si="43"/>
        <v>0</v>
      </c>
      <c r="U137" s="2988">
        <f t="shared" si="37"/>
        <v>0</v>
      </c>
      <c r="V137" s="2988">
        <f t="shared" si="38"/>
        <v>0</v>
      </c>
      <c r="W137" s="996"/>
      <c r="X137" s="2988">
        <f t="shared" si="39"/>
        <v>0</v>
      </c>
      <c r="Y137" s="2988">
        <f t="shared" si="40"/>
        <v>0</v>
      </c>
      <c r="Z137" s="996"/>
    </row>
    <row r="138" spans="1:26">
      <c r="A138" s="35"/>
      <c r="B138" s="20"/>
      <c r="C138" s="13">
        <f t="shared" si="29"/>
        <v>1</v>
      </c>
      <c r="D138" s="599"/>
      <c r="E138" s="13">
        <f t="shared" si="30"/>
        <v>1</v>
      </c>
      <c r="F138" s="599"/>
      <c r="G138" s="13">
        <f t="shared" si="31"/>
        <v>1</v>
      </c>
      <c r="H138" s="599"/>
      <c r="I138" s="13">
        <f t="shared" si="32"/>
        <v>1</v>
      </c>
      <c r="J138" s="599"/>
      <c r="K138" s="13">
        <f t="shared" si="33"/>
        <v>1</v>
      </c>
      <c r="L138" s="599"/>
      <c r="M138" s="13">
        <f t="shared" si="34"/>
        <v>1</v>
      </c>
      <c r="N138" s="599"/>
      <c r="O138" s="13">
        <f t="shared" si="35"/>
        <v>1</v>
      </c>
      <c r="P138" s="599"/>
      <c r="Q138" s="13">
        <f t="shared" si="36"/>
        <v>0</v>
      </c>
      <c r="R138" s="596">
        <f t="shared" si="41"/>
        <v>0</v>
      </c>
      <c r="S138" s="250">
        <f t="shared" si="42"/>
        <v>0</v>
      </c>
      <c r="T138" s="899">
        <f t="shared" si="43"/>
        <v>0</v>
      </c>
      <c r="U138" s="2988">
        <f t="shared" si="37"/>
        <v>0</v>
      </c>
      <c r="V138" s="2988">
        <f t="shared" si="38"/>
        <v>0</v>
      </c>
      <c r="W138" s="996"/>
      <c r="X138" s="2988">
        <f t="shared" si="39"/>
        <v>0</v>
      </c>
      <c r="Y138" s="2988">
        <f t="shared" si="40"/>
        <v>0</v>
      </c>
      <c r="Z138" s="996"/>
    </row>
    <row r="139" spans="1:26">
      <c r="A139" s="35"/>
      <c r="B139" s="20"/>
      <c r="C139" s="13">
        <f t="shared" si="29"/>
        <v>1</v>
      </c>
      <c r="D139" s="599"/>
      <c r="E139" s="13">
        <f t="shared" si="30"/>
        <v>1</v>
      </c>
      <c r="F139" s="599"/>
      <c r="G139" s="13">
        <f t="shared" si="31"/>
        <v>1</v>
      </c>
      <c r="H139" s="599"/>
      <c r="I139" s="13">
        <f t="shared" si="32"/>
        <v>1</v>
      </c>
      <c r="J139" s="599"/>
      <c r="K139" s="13">
        <f t="shared" si="33"/>
        <v>1</v>
      </c>
      <c r="L139" s="599"/>
      <c r="M139" s="13">
        <f t="shared" si="34"/>
        <v>1</v>
      </c>
      <c r="N139" s="599"/>
      <c r="O139" s="13">
        <f t="shared" si="35"/>
        <v>1</v>
      </c>
      <c r="P139" s="599"/>
      <c r="Q139" s="13">
        <f t="shared" si="36"/>
        <v>0</v>
      </c>
      <c r="R139" s="596">
        <f t="shared" si="41"/>
        <v>0</v>
      </c>
      <c r="S139" s="250">
        <f t="shared" si="42"/>
        <v>0</v>
      </c>
      <c r="T139" s="899">
        <f t="shared" si="43"/>
        <v>0</v>
      </c>
      <c r="U139" s="2988">
        <f t="shared" si="37"/>
        <v>0</v>
      </c>
      <c r="V139" s="2988">
        <f t="shared" si="38"/>
        <v>0</v>
      </c>
      <c r="W139" s="996"/>
      <c r="X139" s="2988">
        <f t="shared" si="39"/>
        <v>0</v>
      </c>
      <c r="Y139" s="2988">
        <f t="shared" si="40"/>
        <v>0</v>
      </c>
      <c r="Z139" s="996"/>
    </row>
    <row r="140" spans="1:26">
      <c r="A140" s="35"/>
      <c r="B140" s="20"/>
      <c r="C140" s="13">
        <f t="shared" si="29"/>
        <v>1</v>
      </c>
      <c r="D140" s="599"/>
      <c r="E140" s="13">
        <f t="shared" si="30"/>
        <v>1</v>
      </c>
      <c r="F140" s="599"/>
      <c r="G140" s="13">
        <f t="shared" si="31"/>
        <v>1</v>
      </c>
      <c r="H140" s="599"/>
      <c r="I140" s="13">
        <f t="shared" si="32"/>
        <v>1</v>
      </c>
      <c r="J140" s="599"/>
      <c r="K140" s="13">
        <f t="shared" si="33"/>
        <v>1</v>
      </c>
      <c r="L140" s="599"/>
      <c r="M140" s="13">
        <f t="shared" si="34"/>
        <v>1</v>
      </c>
      <c r="N140" s="599"/>
      <c r="O140" s="13">
        <f t="shared" si="35"/>
        <v>1</v>
      </c>
      <c r="P140" s="599"/>
      <c r="Q140" s="13">
        <f t="shared" si="36"/>
        <v>0</v>
      </c>
      <c r="R140" s="596">
        <f t="shared" si="41"/>
        <v>0</v>
      </c>
      <c r="S140" s="250">
        <f t="shared" si="42"/>
        <v>0</v>
      </c>
      <c r="T140" s="899">
        <f t="shared" si="43"/>
        <v>0</v>
      </c>
      <c r="U140" s="2988">
        <f t="shared" si="37"/>
        <v>0</v>
      </c>
      <c r="V140" s="2988">
        <f t="shared" si="38"/>
        <v>0</v>
      </c>
      <c r="W140" s="996"/>
      <c r="X140" s="2988">
        <f t="shared" si="39"/>
        <v>0</v>
      </c>
      <c r="Y140" s="2988">
        <f t="shared" si="40"/>
        <v>0</v>
      </c>
      <c r="Z140" s="996"/>
    </row>
    <row r="141" spans="1:26">
      <c r="A141" s="35"/>
      <c r="B141" s="20"/>
      <c r="C141" s="13">
        <f t="shared" si="29"/>
        <v>1</v>
      </c>
      <c r="D141" s="599"/>
      <c r="E141" s="13">
        <f t="shared" si="30"/>
        <v>1</v>
      </c>
      <c r="F141" s="599"/>
      <c r="G141" s="13">
        <f t="shared" si="31"/>
        <v>1</v>
      </c>
      <c r="H141" s="599"/>
      <c r="I141" s="13">
        <f t="shared" si="32"/>
        <v>1</v>
      </c>
      <c r="J141" s="599"/>
      <c r="K141" s="13">
        <f t="shared" si="33"/>
        <v>1</v>
      </c>
      <c r="L141" s="599"/>
      <c r="M141" s="13">
        <f t="shared" si="34"/>
        <v>1</v>
      </c>
      <c r="N141" s="599"/>
      <c r="O141" s="13">
        <f t="shared" si="35"/>
        <v>1</v>
      </c>
      <c r="P141" s="599"/>
      <c r="Q141" s="13">
        <f t="shared" si="36"/>
        <v>0</v>
      </c>
      <c r="R141" s="596">
        <f t="shared" si="41"/>
        <v>0</v>
      </c>
      <c r="S141" s="250">
        <f t="shared" si="42"/>
        <v>0</v>
      </c>
      <c r="T141" s="899">
        <f t="shared" si="43"/>
        <v>0</v>
      </c>
      <c r="U141" s="2988">
        <f t="shared" si="37"/>
        <v>0</v>
      </c>
      <c r="V141" s="2988">
        <f t="shared" si="38"/>
        <v>0</v>
      </c>
      <c r="W141" s="996"/>
      <c r="X141" s="2988">
        <f t="shared" si="39"/>
        <v>0</v>
      </c>
      <c r="Y141" s="2988">
        <f t="shared" si="40"/>
        <v>0</v>
      </c>
      <c r="Z141" s="996"/>
    </row>
    <row r="142" spans="1:26">
      <c r="A142" s="35"/>
      <c r="B142" s="20"/>
      <c r="C142" s="13">
        <f t="shared" si="29"/>
        <v>1</v>
      </c>
      <c r="D142" s="599"/>
      <c r="E142" s="13">
        <f t="shared" si="30"/>
        <v>1</v>
      </c>
      <c r="F142" s="599"/>
      <c r="G142" s="13">
        <f t="shared" si="31"/>
        <v>1</v>
      </c>
      <c r="H142" s="599"/>
      <c r="I142" s="13">
        <f t="shared" si="32"/>
        <v>1</v>
      </c>
      <c r="J142" s="599"/>
      <c r="K142" s="13">
        <f t="shared" si="33"/>
        <v>1</v>
      </c>
      <c r="L142" s="599"/>
      <c r="M142" s="13">
        <f t="shared" si="34"/>
        <v>1</v>
      </c>
      <c r="N142" s="599"/>
      <c r="O142" s="13">
        <f t="shared" si="35"/>
        <v>1</v>
      </c>
      <c r="P142" s="599"/>
      <c r="Q142" s="13">
        <f t="shared" si="36"/>
        <v>0</v>
      </c>
      <c r="R142" s="596">
        <f t="shared" si="41"/>
        <v>0</v>
      </c>
      <c r="S142" s="250">
        <f t="shared" si="42"/>
        <v>0</v>
      </c>
      <c r="T142" s="899">
        <f t="shared" si="43"/>
        <v>0</v>
      </c>
      <c r="U142" s="2988">
        <f t="shared" si="37"/>
        <v>0</v>
      </c>
      <c r="V142" s="2988">
        <f t="shared" si="38"/>
        <v>0</v>
      </c>
      <c r="W142" s="996"/>
      <c r="X142" s="2988">
        <f t="shared" si="39"/>
        <v>0</v>
      </c>
      <c r="Y142" s="2988">
        <f t="shared" si="40"/>
        <v>0</v>
      </c>
      <c r="Z142" s="996"/>
    </row>
    <row r="143" spans="1:26">
      <c r="A143" s="35"/>
      <c r="B143" s="20"/>
      <c r="C143" s="13">
        <f t="shared" si="29"/>
        <v>1</v>
      </c>
      <c r="D143" s="599"/>
      <c r="E143" s="13">
        <f t="shared" si="30"/>
        <v>1</v>
      </c>
      <c r="F143" s="599"/>
      <c r="G143" s="13">
        <f t="shared" si="31"/>
        <v>1</v>
      </c>
      <c r="H143" s="599"/>
      <c r="I143" s="13">
        <f t="shared" si="32"/>
        <v>1</v>
      </c>
      <c r="J143" s="599"/>
      <c r="K143" s="13">
        <f t="shared" si="33"/>
        <v>1</v>
      </c>
      <c r="L143" s="599"/>
      <c r="M143" s="13">
        <f t="shared" si="34"/>
        <v>1</v>
      </c>
      <c r="N143" s="599"/>
      <c r="O143" s="13">
        <f t="shared" si="35"/>
        <v>1</v>
      </c>
      <c r="P143" s="599"/>
      <c r="Q143" s="13">
        <f t="shared" si="36"/>
        <v>0</v>
      </c>
      <c r="R143" s="596">
        <f t="shared" si="41"/>
        <v>0</v>
      </c>
      <c r="S143" s="250">
        <f t="shared" si="42"/>
        <v>0</v>
      </c>
      <c r="T143" s="899">
        <f t="shared" si="43"/>
        <v>0</v>
      </c>
      <c r="U143" s="2988">
        <f t="shared" si="37"/>
        <v>0</v>
      </c>
      <c r="V143" s="2988">
        <f t="shared" si="38"/>
        <v>0</v>
      </c>
      <c r="W143" s="996"/>
      <c r="X143" s="2988">
        <f t="shared" si="39"/>
        <v>0</v>
      </c>
      <c r="Y143" s="2988">
        <f t="shared" si="40"/>
        <v>0</v>
      </c>
      <c r="Z143" s="996"/>
    </row>
    <row r="144" spans="1:26">
      <c r="A144" s="35"/>
      <c r="B144" s="20"/>
      <c r="C144" s="13">
        <f t="shared" si="29"/>
        <v>1</v>
      </c>
      <c r="D144" s="599"/>
      <c r="E144" s="13">
        <f t="shared" si="30"/>
        <v>1</v>
      </c>
      <c r="F144" s="599"/>
      <c r="G144" s="13">
        <f t="shared" si="31"/>
        <v>1</v>
      </c>
      <c r="H144" s="599"/>
      <c r="I144" s="13">
        <f t="shared" si="32"/>
        <v>1</v>
      </c>
      <c r="J144" s="599"/>
      <c r="K144" s="13">
        <f t="shared" si="33"/>
        <v>1</v>
      </c>
      <c r="L144" s="599"/>
      <c r="M144" s="13">
        <f t="shared" si="34"/>
        <v>1</v>
      </c>
      <c r="N144" s="599"/>
      <c r="O144" s="13">
        <f t="shared" si="35"/>
        <v>1</v>
      </c>
      <c r="P144" s="599"/>
      <c r="Q144" s="13">
        <f t="shared" si="36"/>
        <v>0</v>
      </c>
      <c r="R144" s="596">
        <f t="shared" si="41"/>
        <v>0</v>
      </c>
      <c r="S144" s="250">
        <f t="shared" si="42"/>
        <v>0</v>
      </c>
      <c r="T144" s="899">
        <f t="shared" si="43"/>
        <v>0</v>
      </c>
      <c r="U144" s="2988">
        <f t="shared" si="37"/>
        <v>0</v>
      </c>
      <c r="V144" s="2988">
        <f t="shared" si="38"/>
        <v>0</v>
      </c>
      <c r="W144" s="996"/>
      <c r="X144" s="2988">
        <f t="shared" si="39"/>
        <v>0</v>
      </c>
      <c r="Y144" s="2988">
        <f t="shared" si="40"/>
        <v>0</v>
      </c>
      <c r="Z144" s="996"/>
    </row>
    <row r="145" spans="1:26">
      <c r="A145" s="35"/>
      <c r="B145" s="20"/>
      <c r="C145" s="13">
        <f t="shared" si="29"/>
        <v>1</v>
      </c>
      <c r="D145" s="599"/>
      <c r="E145" s="13">
        <f t="shared" si="30"/>
        <v>1</v>
      </c>
      <c r="F145" s="599"/>
      <c r="G145" s="13">
        <f t="shared" si="31"/>
        <v>1</v>
      </c>
      <c r="H145" s="599"/>
      <c r="I145" s="13">
        <f t="shared" si="32"/>
        <v>1</v>
      </c>
      <c r="J145" s="599"/>
      <c r="K145" s="13">
        <f t="shared" si="33"/>
        <v>1</v>
      </c>
      <c r="L145" s="599"/>
      <c r="M145" s="13">
        <f t="shared" si="34"/>
        <v>1</v>
      </c>
      <c r="N145" s="599"/>
      <c r="O145" s="13">
        <f t="shared" si="35"/>
        <v>1</v>
      </c>
      <c r="P145" s="599"/>
      <c r="Q145" s="13">
        <f t="shared" si="36"/>
        <v>0</v>
      </c>
      <c r="R145" s="596">
        <f t="shared" si="41"/>
        <v>0</v>
      </c>
      <c r="S145" s="250">
        <f t="shared" si="42"/>
        <v>0</v>
      </c>
      <c r="T145" s="899">
        <f t="shared" si="43"/>
        <v>0</v>
      </c>
      <c r="U145" s="2988">
        <f t="shared" si="37"/>
        <v>0</v>
      </c>
      <c r="V145" s="2988">
        <f t="shared" si="38"/>
        <v>0</v>
      </c>
      <c r="W145" s="996"/>
      <c r="X145" s="2988">
        <f t="shared" si="39"/>
        <v>0</v>
      </c>
      <c r="Y145" s="2988">
        <f t="shared" si="40"/>
        <v>0</v>
      </c>
      <c r="Z145" s="996"/>
    </row>
    <row r="146" spans="1:26">
      <c r="A146" s="35"/>
      <c r="B146" s="20"/>
      <c r="C146" s="13">
        <f t="shared" si="29"/>
        <v>1</v>
      </c>
      <c r="D146" s="599"/>
      <c r="E146" s="13">
        <f t="shared" si="30"/>
        <v>1</v>
      </c>
      <c r="F146" s="599"/>
      <c r="G146" s="13">
        <f t="shared" si="31"/>
        <v>1</v>
      </c>
      <c r="H146" s="599"/>
      <c r="I146" s="13">
        <f t="shared" si="32"/>
        <v>1</v>
      </c>
      <c r="J146" s="599"/>
      <c r="K146" s="13">
        <f t="shared" si="33"/>
        <v>1</v>
      </c>
      <c r="L146" s="599"/>
      <c r="M146" s="13">
        <f t="shared" si="34"/>
        <v>1</v>
      </c>
      <c r="N146" s="599"/>
      <c r="O146" s="13">
        <f t="shared" si="35"/>
        <v>1</v>
      </c>
      <c r="P146" s="599"/>
      <c r="Q146" s="13">
        <f t="shared" si="36"/>
        <v>0</v>
      </c>
      <c r="R146" s="596">
        <f t="shared" si="41"/>
        <v>0</v>
      </c>
      <c r="S146" s="250">
        <f t="shared" si="42"/>
        <v>0</v>
      </c>
      <c r="T146" s="899">
        <f t="shared" si="43"/>
        <v>0</v>
      </c>
      <c r="U146" s="2988">
        <f t="shared" si="37"/>
        <v>0</v>
      </c>
      <c r="V146" s="2988">
        <f t="shared" si="38"/>
        <v>0</v>
      </c>
      <c r="W146" s="996"/>
      <c r="X146" s="2988">
        <f t="shared" si="39"/>
        <v>0</v>
      </c>
      <c r="Y146" s="2988">
        <f t="shared" si="40"/>
        <v>0</v>
      </c>
      <c r="Z146" s="996"/>
    </row>
    <row r="147" spans="1:26">
      <c r="A147" s="35"/>
      <c r="B147" s="20"/>
      <c r="C147" s="13">
        <f t="shared" si="29"/>
        <v>1</v>
      </c>
      <c r="D147" s="599"/>
      <c r="E147" s="13">
        <f t="shared" si="30"/>
        <v>1</v>
      </c>
      <c r="F147" s="599"/>
      <c r="G147" s="13">
        <f t="shared" si="31"/>
        <v>1</v>
      </c>
      <c r="H147" s="599"/>
      <c r="I147" s="13">
        <f t="shared" si="32"/>
        <v>1</v>
      </c>
      <c r="J147" s="599"/>
      <c r="K147" s="13">
        <f t="shared" si="33"/>
        <v>1</v>
      </c>
      <c r="L147" s="599"/>
      <c r="M147" s="13">
        <f t="shared" si="34"/>
        <v>1</v>
      </c>
      <c r="N147" s="599"/>
      <c r="O147" s="13">
        <f t="shared" si="35"/>
        <v>1</v>
      </c>
      <c r="P147" s="599"/>
      <c r="Q147" s="13">
        <f t="shared" si="36"/>
        <v>0</v>
      </c>
      <c r="R147" s="596">
        <f t="shared" si="41"/>
        <v>0</v>
      </c>
      <c r="S147" s="250">
        <f t="shared" si="42"/>
        <v>0</v>
      </c>
      <c r="T147" s="899">
        <f t="shared" si="43"/>
        <v>0</v>
      </c>
      <c r="U147" s="2988">
        <f t="shared" si="37"/>
        <v>0</v>
      </c>
      <c r="V147" s="2988">
        <f t="shared" si="38"/>
        <v>0</v>
      </c>
      <c r="W147" s="996"/>
      <c r="X147" s="2988">
        <f t="shared" si="39"/>
        <v>0</v>
      </c>
      <c r="Y147" s="2988">
        <f t="shared" si="40"/>
        <v>0</v>
      </c>
      <c r="Z147" s="996"/>
    </row>
    <row r="148" spans="1:26">
      <c r="A148" s="35"/>
      <c r="B148" s="20"/>
      <c r="C148" s="13">
        <f t="shared" si="29"/>
        <v>1</v>
      </c>
      <c r="D148" s="599"/>
      <c r="E148" s="13">
        <f t="shared" si="30"/>
        <v>1</v>
      </c>
      <c r="F148" s="599"/>
      <c r="G148" s="13">
        <f t="shared" si="31"/>
        <v>1</v>
      </c>
      <c r="H148" s="599"/>
      <c r="I148" s="13">
        <f t="shared" si="32"/>
        <v>1</v>
      </c>
      <c r="J148" s="599"/>
      <c r="K148" s="13">
        <f t="shared" si="33"/>
        <v>1</v>
      </c>
      <c r="L148" s="599"/>
      <c r="M148" s="13">
        <f t="shared" si="34"/>
        <v>1</v>
      </c>
      <c r="N148" s="599"/>
      <c r="O148" s="13">
        <f t="shared" si="35"/>
        <v>1</v>
      </c>
      <c r="P148" s="599"/>
      <c r="Q148" s="13">
        <f t="shared" si="36"/>
        <v>0</v>
      </c>
      <c r="R148" s="596">
        <f t="shared" si="41"/>
        <v>0</v>
      </c>
      <c r="S148" s="250">
        <f t="shared" si="42"/>
        <v>0</v>
      </c>
      <c r="T148" s="899">
        <f t="shared" si="43"/>
        <v>0</v>
      </c>
      <c r="U148" s="2988">
        <f t="shared" si="37"/>
        <v>0</v>
      </c>
      <c r="V148" s="2988">
        <f t="shared" si="38"/>
        <v>0</v>
      </c>
      <c r="W148" s="996"/>
      <c r="X148" s="2988">
        <f t="shared" si="39"/>
        <v>0</v>
      </c>
      <c r="Y148" s="2988">
        <f t="shared" si="40"/>
        <v>0</v>
      </c>
      <c r="Z148" s="996"/>
    </row>
    <row r="149" spans="1:26">
      <c r="A149" s="35"/>
      <c r="B149" s="20"/>
      <c r="C149" s="13">
        <f t="shared" si="29"/>
        <v>1</v>
      </c>
      <c r="D149" s="599"/>
      <c r="E149" s="13">
        <f t="shared" si="30"/>
        <v>1</v>
      </c>
      <c r="F149" s="599"/>
      <c r="G149" s="13">
        <f t="shared" si="31"/>
        <v>1</v>
      </c>
      <c r="H149" s="599"/>
      <c r="I149" s="13">
        <f t="shared" si="32"/>
        <v>1</v>
      </c>
      <c r="J149" s="599"/>
      <c r="K149" s="13">
        <f t="shared" si="33"/>
        <v>1</v>
      </c>
      <c r="L149" s="599"/>
      <c r="M149" s="13">
        <f t="shared" si="34"/>
        <v>1</v>
      </c>
      <c r="N149" s="599"/>
      <c r="O149" s="13">
        <f t="shared" si="35"/>
        <v>1</v>
      </c>
      <c r="P149" s="599"/>
      <c r="Q149" s="13">
        <f t="shared" si="36"/>
        <v>0</v>
      </c>
      <c r="R149" s="596">
        <f t="shared" si="41"/>
        <v>0</v>
      </c>
      <c r="S149" s="250">
        <f t="shared" si="42"/>
        <v>0</v>
      </c>
      <c r="T149" s="899">
        <f t="shared" si="43"/>
        <v>0</v>
      </c>
      <c r="U149" s="2988">
        <f t="shared" si="37"/>
        <v>0</v>
      </c>
      <c r="V149" s="2988">
        <f t="shared" si="38"/>
        <v>0</v>
      </c>
      <c r="W149" s="996"/>
      <c r="X149" s="2988">
        <f t="shared" si="39"/>
        <v>0</v>
      </c>
      <c r="Y149" s="2988">
        <f t="shared" si="40"/>
        <v>0</v>
      </c>
      <c r="Z149" s="996"/>
    </row>
    <row r="150" spans="1:26">
      <c r="A150" s="35"/>
      <c r="B150" s="20"/>
      <c r="C150" s="13">
        <f t="shared" si="29"/>
        <v>1</v>
      </c>
      <c r="D150" s="599"/>
      <c r="E150" s="13">
        <f t="shared" si="30"/>
        <v>1</v>
      </c>
      <c r="F150" s="599"/>
      <c r="G150" s="13">
        <f t="shared" si="31"/>
        <v>1</v>
      </c>
      <c r="H150" s="599"/>
      <c r="I150" s="13">
        <f t="shared" si="32"/>
        <v>1</v>
      </c>
      <c r="J150" s="599"/>
      <c r="K150" s="13">
        <f t="shared" si="33"/>
        <v>1</v>
      </c>
      <c r="L150" s="599"/>
      <c r="M150" s="13">
        <f t="shared" si="34"/>
        <v>1</v>
      </c>
      <c r="N150" s="599"/>
      <c r="O150" s="13">
        <f t="shared" si="35"/>
        <v>1</v>
      </c>
      <c r="P150" s="599"/>
      <c r="Q150" s="13">
        <f t="shared" si="36"/>
        <v>0</v>
      </c>
      <c r="R150" s="596">
        <f t="shared" si="41"/>
        <v>0</v>
      </c>
      <c r="S150" s="250">
        <f t="shared" si="42"/>
        <v>0</v>
      </c>
      <c r="T150" s="899">
        <f t="shared" si="43"/>
        <v>0</v>
      </c>
      <c r="U150" s="2988">
        <f t="shared" si="37"/>
        <v>0</v>
      </c>
      <c r="V150" s="2988">
        <f t="shared" si="38"/>
        <v>0</v>
      </c>
      <c r="W150" s="996"/>
      <c r="X150" s="2988">
        <f t="shared" si="39"/>
        <v>0</v>
      </c>
      <c r="Y150" s="2988">
        <f t="shared" si="40"/>
        <v>0</v>
      </c>
      <c r="Z150" s="996"/>
    </row>
    <row r="151" spans="1:26">
      <c r="A151" s="35"/>
      <c r="B151" s="20"/>
      <c r="C151" s="13">
        <f t="shared" si="29"/>
        <v>1</v>
      </c>
      <c r="D151" s="599"/>
      <c r="E151" s="13">
        <f t="shared" si="30"/>
        <v>1</v>
      </c>
      <c r="F151" s="599"/>
      <c r="G151" s="13">
        <f t="shared" si="31"/>
        <v>1</v>
      </c>
      <c r="H151" s="599"/>
      <c r="I151" s="13">
        <f t="shared" si="32"/>
        <v>1</v>
      </c>
      <c r="J151" s="599"/>
      <c r="K151" s="13">
        <f t="shared" si="33"/>
        <v>1</v>
      </c>
      <c r="L151" s="599"/>
      <c r="M151" s="13">
        <f t="shared" si="34"/>
        <v>1</v>
      </c>
      <c r="N151" s="599"/>
      <c r="O151" s="13">
        <f t="shared" si="35"/>
        <v>1</v>
      </c>
      <c r="P151" s="599"/>
      <c r="Q151" s="13">
        <f t="shared" si="36"/>
        <v>0</v>
      </c>
      <c r="R151" s="596">
        <f t="shared" si="41"/>
        <v>0</v>
      </c>
      <c r="S151" s="250">
        <f t="shared" si="42"/>
        <v>0</v>
      </c>
      <c r="T151" s="899">
        <f t="shared" si="43"/>
        <v>0</v>
      </c>
      <c r="U151" s="2988">
        <f t="shared" si="37"/>
        <v>0</v>
      </c>
      <c r="V151" s="2988">
        <f t="shared" si="38"/>
        <v>0</v>
      </c>
      <c r="W151" s="996"/>
      <c r="X151" s="2988">
        <f t="shared" si="39"/>
        <v>0</v>
      </c>
      <c r="Y151" s="2988">
        <f t="shared" si="40"/>
        <v>0</v>
      </c>
      <c r="Z151" s="996"/>
    </row>
    <row r="152" spans="1:26">
      <c r="A152" s="35"/>
      <c r="B152" s="20"/>
      <c r="C152" s="13">
        <f t="shared" si="29"/>
        <v>1</v>
      </c>
      <c r="D152" s="599"/>
      <c r="E152" s="13">
        <f t="shared" si="30"/>
        <v>1</v>
      </c>
      <c r="F152" s="599"/>
      <c r="G152" s="13">
        <f t="shared" si="31"/>
        <v>1</v>
      </c>
      <c r="H152" s="599"/>
      <c r="I152" s="13">
        <f t="shared" si="32"/>
        <v>1</v>
      </c>
      <c r="J152" s="599"/>
      <c r="K152" s="13">
        <f t="shared" si="33"/>
        <v>1</v>
      </c>
      <c r="L152" s="599"/>
      <c r="M152" s="13">
        <f t="shared" si="34"/>
        <v>1</v>
      </c>
      <c r="N152" s="599"/>
      <c r="O152" s="13">
        <f t="shared" si="35"/>
        <v>1</v>
      </c>
      <c r="P152" s="599"/>
      <c r="Q152" s="13">
        <f t="shared" si="36"/>
        <v>0</v>
      </c>
      <c r="R152" s="596">
        <f t="shared" si="41"/>
        <v>0</v>
      </c>
      <c r="S152" s="250">
        <f t="shared" si="42"/>
        <v>0</v>
      </c>
      <c r="T152" s="899">
        <f t="shared" si="43"/>
        <v>0</v>
      </c>
      <c r="U152" s="2988">
        <f t="shared" si="37"/>
        <v>0</v>
      </c>
      <c r="V152" s="2988">
        <f t="shared" si="38"/>
        <v>0</v>
      </c>
      <c r="W152" s="996"/>
      <c r="X152" s="2988">
        <f t="shared" si="39"/>
        <v>0</v>
      </c>
      <c r="Y152" s="2988">
        <f t="shared" si="40"/>
        <v>0</v>
      </c>
      <c r="Z152" s="996"/>
    </row>
    <row r="153" spans="1:26">
      <c r="A153" s="35"/>
      <c r="B153" s="20"/>
      <c r="C153" s="13">
        <f t="shared" si="29"/>
        <v>1</v>
      </c>
      <c r="D153" s="599"/>
      <c r="E153" s="13">
        <f t="shared" si="30"/>
        <v>1</v>
      </c>
      <c r="F153" s="599"/>
      <c r="G153" s="13">
        <f t="shared" si="31"/>
        <v>1</v>
      </c>
      <c r="H153" s="599"/>
      <c r="I153" s="13">
        <f t="shared" si="32"/>
        <v>1</v>
      </c>
      <c r="J153" s="599"/>
      <c r="K153" s="13">
        <f t="shared" si="33"/>
        <v>1</v>
      </c>
      <c r="L153" s="599"/>
      <c r="M153" s="13">
        <f t="shared" si="34"/>
        <v>1</v>
      </c>
      <c r="N153" s="599"/>
      <c r="O153" s="13">
        <f t="shared" si="35"/>
        <v>1</v>
      </c>
      <c r="P153" s="599"/>
      <c r="Q153" s="13">
        <f t="shared" si="36"/>
        <v>0</v>
      </c>
      <c r="R153" s="596">
        <f t="shared" si="41"/>
        <v>0</v>
      </c>
      <c r="S153" s="250">
        <f t="shared" si="42"/>
        <v>0</v>
      </c>
      <c r="T153" s="899">
        <f t="shared" si="43"/>
        <v>0</v>
      </c>
      <c r="U153" s="2988">
        <f t="shared" si="37"/>
        <v>0</v>
      </c>
      <c r="V153" s="2988">
        <f t="shared" si="38"/>
        <v>0</v>
      </c>
      <c r="W153" s="996"/>
      <c r="X153" s="2988">
        <f t="shared" si="39"/>
        <v>0</v>
      </c>
      <c r="Y153" s="2988">
        <f t="shared" si="40"/>
        <v>0</v>
      </c>
      <c r="Z153" s="996"/>
    </row>
    <row r="154" spans="1:26">
      <c r="A154" s="35"/>
      <c r="B154" s="20"/>
      <c r="C154" s="13">
        <f t="shared" si="29"/>
        <v>1</v>
      </c>
      <c r="D154" s="599"/>
      <c r="E154" s="13">
        <f t="shared" si="30"/>
        <v>1</v>
      </c>
      <c r="F154" s="599"/>
      <c r="G154" s="13">
        <f t="shared" si="31"/>
        <v>1</v>
      </c>
      <c r="H154" s="599"/>
      <c r="I154" s="13">
        <f t="shared" si="32"/>
        <v>1</v>
      </c>
      <c r="J154" s="599"/>
      <c r="K154" s="13">
        <f t="shared" si="33"/>
        <v>1</v>
      </c>
      <c r="L154" s="599"/>
      <c r="M154" s="13">
        <f t="shared" si="34"/>
        <v>1</v>
      </c>
      <c r="N154" s="599"/>
      <c r="O154" s="13">
        <f t="shared" si="35"/>
        <v>1</v>
      </c>
      <c r="P154" s="599"/>
      <c r="Q154" s="13">
        <f t="shared" si="36"/>
        <v>0</v>
      </c>
      <c r="R154" s="596">
        <f t="shared" si="41"/>
        <v>0</v>
      </c>
      <c r="S154" s="250">
        <f t="shared" si="42"/>
        <v>0</v>
      </c>
      <c r="T154" s="899">
        <f t="shared" si="43"/>
        <v>0</v>
      </c>
      <c r="U154" s="2988">
        <f t="shared" si="37"/>
        <v>0</v>
      </c>
      <c r="V154" s="2988">
        <f t="shared" si="38"/>
        <v>0</v>
      </c>
      <c r="W154" s="996"/>
      <c r="X154" s="2988">
        <f t="shared" si="39"/>
        <v>0</v>
      </c>
      <c r="Y154" s="2988">
        <f t="shared" si="40"/>
        <v>0</v>
      </c>
      <c r="Z154" s="996"/>
    </row>
    <row r="155" spans="1:26">
      <c r="A155" s="35"/>
      <c r="B155" s="20"/>
      <c r="C155" s="13">
        <f t="shared" si="29"/>
        <v>1</v>
      </c>
      <c r="D155" s="599"/>
      <c r="E155" s="13">
        <f t="shared" si="30"/>
        <v>1</v>
      </c>
      <c r="F155" s="599"/>
      <c r="G155" s="13">
        <f t="shared" si="31"/>
        <v>1</v>
      </c>
      <c r="H155" s="599"/>
      <c r="I155" s="13">
        <f t="shared" si="32"/>
        <v>1</v>
      </c>
      <c r="J155" s="599"/>
      <c r="K155" s="13">
        <f t="shared" si="33"/>
        <v>1</v>
      </c>
      <c r="L155" s="599"/>
      <c r="M155" s="13">
        <f t="shared" si="34"/>
        <v>1</v>
      </c>
      <c r="N155" s="599"/>
      <c r="O155" s="13">
        <f t="shared" si="35"/>
        <v>1</v>
      </c>
      <c r="P155" s="599"/>
      <c r="Q155" s="13">
        <f t="shared" si="36"/>
        <v>0</v>
      </c>
      <c r="R155" s="596">
        <f t="shared" si="41"/>
        <v>0</v>
      </c>
      <c r="S155" s="250">
        <f t="shared" si="42"/>
        <v>0</v>
      </c>
      <c r="T155" s="899">
        <f t="shared" si="43"/>
        <v>0</v>
      </c>
      <c r="U155" s="2988">
        <f t="shared" si="37"/>
        <v>0</v>
      </c>
      <c r="V155" s="2988">
        <f t="shared" si="38"/>
        <v>0</v>
      </c>
      <c r="W155" s="996"/>
      <c r="X155" s="2988">
        <f t="shared" si="39"/>
        <v>0</v>
      </c>
      <c r="Y155" s="2988">
        <f t="shared" si="40"/>
        <v>0</v>
      </c>
      <c r="Z155" s="996"/>
    </row>
    <row r="156" spans="1:26">
      <c r="A156" s="35"/>
      <c r="B156" s="20"/>
      <c r="C156" s="13">
        <f t="shared" ref="C156:C219" si="44">IF(B156="",1,(LOOKUP(B156,$6:$6,$7:$7)-LOOKUP($B$27,$6:$6,$7:$7)+100)/100)</f>
        <v>1</v>
      </c>
      <c r="D156" s="599"/>
      <c r="E156" s="13">
        <f t="shared" ref="E156:E219" si="45">(SUMIF($8:$8,D156,$9:$9)-SUMIF($8:$8,$D$27,$9:$9)+100)/100</f>
        <v>1</v>
      </c>
      <c r="F156" s="599"/>
      <c r="G156" s="13">
        <f t="shared" ref="G156:G219" si="46">(SUMIF($10:$10,F156,$11:$11)-SUMIF($10:$10,$F$27,$11:$11)+100)/100</f>
        <v>1</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v>
      </c>
      <c r="R156" s="596">
        <f t="shared" si="41"/>
        <v>0</v>
      </c>
      <c r="S156" s="250">
        <f t="shared" si="42"/>
        <v>0</v>
      </c>
      <c r="T156" s="899">
        <f t="shared" si="43"/>
        <v>0</v>
      </c>
      <c r="U156" s="2988">
        <f t="shared" ref="U156:U219" si="52">ROUND(W156*B156,0)</f>
        <v>0</v>
      </c>
      <c r="V156" s="2988">
        <f t="shared" ref="V156:V219" si="53">ROUND(W156*B156/10000,0)</f>
        <v>0</v>
      </c>
      <c r="W156" s="996"/>
      <c r="X156" s="2988">
        <f t="shared" ref="X156:X219" si="54">ROUND(Z156*B156,0)</f>
        <v>0</v>
      </c>
      <c r="Y156" s="2988">
        <f t="shared" ref="Y156:Y219" si="55">ROUND(Z156*B156/10000,0)</f>
        <v>0</v>
      </c>
      <c r="Z156" s="996"/>
    </row>
    <row r="157" spans="1:26">
      <c r="A157" s="35"/>
      <c r="B157" s="20"/>
      <c r="C157" s="13">
        <f t="shared" si="44"/>
        <v>1</v>
      </c>
      <c r="D157" s="599"/>
      <c r="E157" s="13">
        <f t="shared" si="45"/>
        <v>1</v>
      </c>
      <c r="F157" s="599"/>
      <c r="G157" s="13">
        <f t="shared" si="46"/>
        <v>1</v>
      </c>
      <c r="H157" s="599"/>
      <c r="I157" s="13">
        <f t="shared" si="47"/>
        <v>1</v>
      </c>
      <c r="J157" s="599"/>
      <c r="K157" s="13">
        <f t="shared" si="48"/>
        <v>1</v>
      </c>
      <c r="L157" s="599"/>
      <c r="M157" s="13">
        <f t="shared" si="49"/>
        <v>1</v>
      </c>
      <c r="N157" s="599"/>
      <c r="O157" s="13">
        <f t="shared" si="50"/>
        <v>1</v>
      </c>
      <c r="P157" s="599"/>
      <c r="Q157" s="13">
        <f t="shared" si="51"/>
        <v>0</v>
      </c>
      <c r="R157" s="596">
        <f t="shared" ref="R157:R220" si="56">IF(B157="",0,ROUND($R$27*C157*E157*G157*I157*K157*M157*O157*Q157,0))</f>
        <v>0</v>
      </c>
      <c r="S157" s="250">
        <f t="shared" ref="S157:S220" si="57">ROUND(R157*B157,0)</f>
        <v>0</v>
      </c>
      <c r="T157" s="899">
        <f t="shared" ref="T157:T220" si="58">ROUND(R157*B157/10000,0)</f>
        <v>0</v>
      </c>
      <c r="U157" s="2988">
        <f t="shared" si="52"/>
        <v>0</v>
      </c>
      <c r="V157" s="2988">
        <f t="shared" si="53"/>
        <v>0</v>
      </c>
      <c r="W157" s="996"/>
      <c r="X157" s="2988">
        <f t="shared" si="54"/>
        <v>0</v>
      </c>
      <c r="Y157" s="2988">
        <f t="shared" si="55"/>
        <v>0</v>
      </c>
      <c r="Z157" s="996"/>
    </row>
    <row r="158" spans="1:26">
      <c r="A158" s="35"/>
      <c r="B158" s="20"/>
      <c r="C158" s="13">
        <f t="shared" si="44"/>
        <v>1</v>
      </c>
      <c r="D158" s="599"/>
      <c r="E158" s="13">
        <f t="shared" si="45"/>
        <v>1</v>
      </c>
      <c r="F158" s="599"/>
      <c r="G158" s="13">
        <f t="shared" si="46"/>
        <v>1</v>
      </c>
      <c r="H158" s="599"/>
      <c r="I158" s="13">
        <f t="shared" si="47"/>
        <v>1</v>
      </c>
      <c r="J158" s="599"/>
      <c r="K158" s="13">
        <f t="shared" si="48"/>
        <v>1</v>
      </c>
      <c r="L158" s="599"/>
      <c r="M158" s="13">
        <f t="shared" si="49"/>
        <v>1</v>
      </c>
      <c r="N158" s="599"/>
      <c r="O158" s="13">
        <f t="shared" si="50"/>
        <v>1</v>
      </c>
      <c r="P158" s="599"/>
      <c r="Q158" s="13">
        <f t="shared" si="51"/>
        <v>0</v>
      </c>
      <c r="R158" s="596">
        <f t="shared" si="56"/>
        <v>0</v>
      </c>
      <c r="S158" s="250">
        <f t="shared" si="57"/>
        <v>0</v>
      </c>
      <c r="T158" s="899">
        <f t="shared" si="58"/>
        <v>0</v>
      </c>
      <c r="U158" s="2988">
        <f t="shared" si="52"/>
        <v>0</v>
      </c>
      <c r="V158" s="2988">
        <f t="shared" si="53"/>
        <v>0</v>
      </c>
      <c r="W158" s="996"/>
      <c r="X158" s="2988">
        <f t="shared" si="54"/>
        <v>0</v>
      </c>
      <c r="Y158" s="2988">
        <f t="shared" si="55"/>
        <v>0</v>
      </c>
      <c r="Z158" s="996"/>
    </row>
    <row r="159" spans="1:26">
      <c r="A159" s="35"/>
      <c r="B159" s="20"/>
      <c r="C159" s="13">
        <f t="shared" si="44"/>
        <v>1</v>
      </c>
      <c r="D159" s="599"/>
      <c r="E159" s="13">
        <f t="shared" si="45"/>
        <v>1</v>
      </c>
      <c r="F159" s="599"/>
      <c r="G159" s="13">
        <f t="shared" si="46"/>
        <v>1</v>
      </c>
      <c r="H159" s="599"/>
      <c r="I159" s="13">
        <f t="shared" si="47"/>
        <v>1</v>
      </c>
      <c r="J159" s="599"/>
      <c r="K159" s="13">
        <f t="shared" si="48"/>
        <v>1</v>
      </c>
      <c r="L159" s="599"/>
      <c r="M159" s="13">
        <f t="shared" si="49"/>
        <v>1</v>
      </c>
      <c r="N159" s="599"/>
      <c r="O159" s="13">
        <f t="shared" si="50"/>
        <v>1</v>
      </c>
      <c r="P159" s="599"/>
      <c r="Q159" s="13">
        <f t="shared" si="51"/>
        <v>0</v>
      </c>
      <c r="R159" s="596">
        <f t="shared" si="56"/>
        <v>0</v>
      </c>
      <c r="S159" s="250">
        <f t="shared" si="57"/>
        <v>0</v>
      </c>
      <c r="T159" s="899">
        <f t="shared" si="58"/>
        <v>0</v>
      </c>
      <c r="U159" s="2988">
        <f t="shared" si="52"/>
        <v>0</v>
      </c>
      <c r="V159" s="2988">
        <f t="shared" si="53"/>
        <v>0</v>
      </c>
      <c r="W159" s="996"/>
      <c r="X159" s="2988">
        <f t="shared" si="54"/>
        <v>0</v>
      </c>
      <c r="Y159" s="2988">
        <f t="shared" si="55"/>
        <v>0</v>
      </c>
      <c r="Z159" s="996"/>
    </row>
    <row r="160" spans="1:26">
      <c r="A160" s="35"/>
      <c r="B160" s="20"/>
      <c r="C160" s="13">
        <f t="shared" si="44"/>
        <v>1</v>
      </c>
      <c r="D160" s="599"/>
      <c r="E160" s="13">
        <f t="shared" si="45"/>
        <v>1</v>
      </c>
      <c r="F160" s="599"/>
      <c r="G160" s="13">
        <f t="shared" si="46"/>
        <v>1</v>
      </c>
      <c r="H160" s="599"/>
      <c r="I160" s="13">
        <f t="shared" si="47"/>
        <v>1</v>
      </c>
      <c r="J160" s="599"/>
      <c r="K160" s="13">
        <f t="shared" si="48"/>
        <v>1</v>
      </c>
      <c r="L160" s="599"/>
      <c r="M160" s="13">
        <f t="shared" si="49"/>
        <v>1</v>
      </c>
      <c r="N160" s="599"/>
      <c r="O160" s="13">
        <f t="shared" si="50"/>
        <v>1</v>
      </c>
      <c r="P160" s="599"/>
      <c r="Q160" s="13">
        <f t="shared" si="51"/>
        <v>0</v>
      </c>
      <c r="R160" s="596">
        <f t="shared" si="56"/>
        <v>0</v>
      </c>
      <c r="S160" s="250">
        <f t="shared" si="57"/>
        <v>0</v>
      </c>
      <c r="T160" s="899">
        <f t="shared" si="58"/>
        <v>0</v>
      </c>
      <c r="U160" s="2988">
        <f t="shared" si="52"/>
        <v>0</v>
      </c>
      <c r="V160" s="2988">
        <f t="shared" si="53"/>
        <v>0</v>
      </c>
      <c r="W160" s="996"/>
      <c r="X160" s="2988">
        <f t="shared" si="54"/>
        <v>0</v>
      </c>
      <c r="Y160" s="2988">
        <f t="shared" si="55"/>
        <v>0</v>
      </c>
      <c r="Z160" s="996"/>
    </row>
    <row r="161" spans="1:26">
      <c r="A161" s="35"/>
      <c r="B161" s="20"/>
      <c r="C161" s="13">
        <f t="shared" si="44"/>
        <v>1</v>
      </c>
      <c r="D161" s="599"/>
      <c r="E161" s="13">
        <f t="shared" si="45"/>
        <v>1</v>
      </c>
      <c r="F161" s="599"/>
      <c r="G161" s="13">
        <f t="shared" si="46"/>
        <v>1</v>
      </c>
      <c r="H161" s="599"/>
      <c r="I161" s="13">
        <f t="shared" si="47"/>
        <v>1</v>
      </c>
      <c r="J161" s="599"/>
      <c r="K161" s="13">
        <f t="shared" si="48"/>
        <v>1</v>
      </c>
      <c r="L161" s="599"/>
      <c r="M161" s="13">
        <f t="shared" si="49"/>
        <v>1</v>
      </c>
      <c r="N161" s="599"/>
      <c r="O161" s="13">
        <f t="shared" si="50"/>
        <v>1</v>
      </c>
      <c r="P161" s="599"/>
      <c r="Q161" s="13">
        <f t="shared" si="51"/>
        <v>0</v>
      </c>
      <c r="R161" s="596">
        <f t="shared" si="56"/>
        <v>0</v>
      </c>
      <c r="S161" s="250">
        <f t="shared" si="57"/>
        <v>0</v>
      </c>
      <c r="T161" s="899">
        <f t="shared" si="58"/>
        <v>0</v>
      </c>
      <c r="U161" s="2988">
        <f t="shared" si="52"/>
        <v>0</v>
      </c>
      <c r="V161" s="2988">
        <f t="shared" si="53"/>
        <v>0</v>
      </c>
      <c r="W161" s="996"/>
      <c r="X161" s="2988">
        <f t="shared" si="54"/>
        <v>0</v>
      </c>
      <c r="Y161" s="2988">
        <f t="shared" si="55"/>
        <v>0</v>
      </c>
      <c r="Z161" s="996"/>
    </row>
    <row r="162" spans="1:26">
      <c r="A162" s="35"/>
      <c r="B162" s="20"/>
      <c r="C162" s="13">
        <f t="shared" si="44"/>
        <v>1</v>
      </c>
      <c r="D162" s="599"/>
      <c r="E162" s="13">
        <f t="shared" si="45"/>
        <v>1</v>
      </c>
      <c r="F162" s="599"/>
      <c r="G162" s="13">
        <f t="shared" si="46"/>
        <v>1</v>
      </c>
      <c r="H162" s="599"/>
      <c r="I162" s="13">
        <f t="shared" si="47"/>
        <v>1</v>
      </c>
      <c r="J162" s="599"/>
      <c r="K162" s="13">
        <f t="shared" si="48"/>
        <v>1</v>
      </c>
      <c r="L162" s="599"/>
      <c r="M162" s="13">
        <f t="shared" si="49"/>
        <v>1</v>
      </c>
      <c r="N162" s="599"/>
      <c r="O162" s="13">
        <f t="shared" si="50"/>
        <v>1</v>
      </c>
      <c r="P162" s="599"/>
      <c r="Q162" s="13">
        <f t="shared" si="51"/>
        <v>0</v>
      </c>
      <c r="R162" s="596">
        <f t="shared" si="56"/>
        <v>0</v>
      </c>
      <c r="S162" s="250">
        <f t="shared" si="57"/>
        <v>0</v>
      </c>
      <c r="T162" s="899">
        <f t="shared" si="58"/>
        <v>0</v>
      </c>
      <c r="U162" s="2988">
        <f t="shared" si="52"/>
        <v>0</v>
      </c>
      <c r="V162" s="2988">
        <f t="shared" si="53"/>
        <v>0</v>
      </c>
      <c r="W162" s="996"/>
      <c r="X162" s="2988">
        <f t="shared" si="54"/>
        <v>0</v>
      </c>
      <c r="Y162" s="2988">
        <f t="shared" si="55"/>
        <v>0</v>
      </c>
      <c r="Z162" s="996"/>
    </row>
    <row r="163" spans="1:26">
      <c r="A163" s="35"/>
      <c r="B163" s="20"/>
      <c r="C163" s="13">
        <f t="shared" si="44"/>
        <v>1</v>
      </c>
      <c r="D163" s="599"/>
      <c r="E163" s="13">
        <f t="shared" si="45"/>
        <v>1</v>
      </c>
      <c r="F163" s="599"/>
      <c r="G163" s="13">
        <f t="shared" si="46"/>
        <v>1</v>
      </c>
      <c r="H163" s="599"/>
      <c r="I163" s="13">
        <f t="shared" si="47"/>
        <v>1</v>
      </c>
      <c r="J163" s="599"/>
      <c r="K163" s="13">
        <f t="shared" si="48"/>
        <v>1</v>
      </c>
      <c r="L163" s="599"/>
      <c r="M163" s="13">
        <f t="shared" si="49"/>
        <v>1</v>
      </c>
      <c r="N163" s="599"/>
      <c r="O163" s="13">
        <f t="shared" si="50"/>
        <v>1</v>
      </c>
      <c r="P163" s="599"/>
      <c r="Q163" s="13">
        <f t="shared" si="51"/>
        <v>0</v>
      </c>
      <c r="R163" s="596">
        <f t="shared" si="56"/>
        <v>0</v>
      </c>
      <c r="S163" s="250">
        <f t="shared" si="57"/>
        <v>0</v>
      </c>
      <c r="T163" s="899">
        <f t="shared" si="58"/>
        <v>0</v>
      </c>
      <c r="U163" s="2988">
        <f t="shared" si="52"/>
        <v>0</v>
      </c>
      <c r="V163" s="2988">
        <f t="shared" si="53"/>
        <v>0</v>
      </c>
      <c r="W163" s="996"/>
      <c r="X163" s="2988">
        <f t="shared" si="54"/>
        <v>0</v>
      </c>
      <c r="Y163" s="2988">
        <f t="shared" si="55"/>
        <v>0</v>
      </c>
      <c r="Z163" s="996"/>
    </row>
    <row r="164" spans="1:26">
      <c r="A164" s="35"/>
      <c r="B164" s="20"/>
      <c r="C164" s="13">
        <f t="shared" si="44"/>
        <v>1</v>
      </c>
      <c r="D164" s="599"/>
      <c r="E164" s="13">
        <f t="shared" si="45"/>
        <v>1</v>
      </c>
      <c r="F164" s="599"/>
      <c r="G164" s="13">
        <f t="shared" si="46"/>
        <v>1</v>
      </c>
      <c r="H164" s="599"/>
      <c r="I164" s="13">
        <f t="shared" si="47"/>
        <v>1</v>
      </c>
      <c r="J164" s="599"/>
      <c r="K164" s="13">
        <f t="shared" si="48"/>
        <v>1</v>
      </c>
      <c r="L164" s="599"/>
      <c r="M164" s="13">
        <f t="shared" si="49"/>
        <v>1</v>
      </c>
      <c r="N164" s="599"/>
      <c r="O164" s="13">
        <f t="shared" si="50"/>
        <v>1</v>
      </c>
      <c r="P164" s="599"/>
      <c r="Q164" s="13">
        <f t="shared" si="51"/>
        <v>0</v>
      </c>
      <c r="R164" s="596">
        <f t="shared" si="56"/>
        <v>0</v>
      </c>
      <c r="S164" s="250">
        <f t="shared" si="57"/>
        <v>0</v>
      </c>
      <c r="T164" s="899">
        <f t="shared" si="58"/>
        <v>0</v>
      </c>
      <c r="U164" s="2988">
        <f t="shared" si="52"/>
        <v>0</v>
      </c>
      <c r="V164" s="2988">
        <f t="shared" si="53"/>
        <v>0</v>
      </c>
      <c r="W164" s="996"/>
      <c r="X164" s="2988">
        <f t="shared" si="54"/>
        <v>0</v>
      </c>
      <c r="Y164" s="2988">
        <f t="shared" si="55"/>
        <v>0</v>
      </c>
      <c r="Z164" s="996"/>
    </row>
    <row r="165" spans="1:26">
      <c r="A165" s="35"/>
      <c r="B165" s="20"/>
      <c r="C165" s="13">
        <f t="shared" si="44"/>
        <v>1</v>
      </c>
      <c r="D165" s="599"/>
      <c r="E165" s="13">
        <f t="shared" si="45"/>
        <v>1</v>
      </c>
      <c r="F165" s="599"/>
      <c r="G165" s="13">
        <f t="shared" si="46"/>
        <v>1</v>
      </c>
      <c r="H165" s="599"/>
      <c r="I165" s="13">
        <f t="shared" si="47"/>
        <v>1</v>
      </c>
      <c r="J165" s="599"/>
      <c r="K165" s="13">
        <f t="shared" si="48"/>
        <v>1</v>
      </c>
      <c r="L165" s="599"/>
      <c r="M165" s="13">
        <f t="shared" si="49"/>
        <v>1</v>
      </c>
      <c r="N165" s="599"/>
      <c r="O165" s="13">
        <f t="shared" si="50"/>
        <v>1</v>
      </c>
      <c r="P165" s="599"/>
      <c r="Q165" s="13">
        <f t="shared" si="51"/>
        <v>0</v>
      </c>
      <c r="R165" s="596">
        <f t="shared" si="56"/>
        <v>0</v>
      </c>
      <c r="S165" s="250">
        <f t="shared" si="57"/>
        <v>0</v>
      </c>
      <c r="T165" s="899">
        <f t="shared" si="58"/>
        <v>0</v>
      </c>
      <c r="U165" s="2988">
        <f t="shared" si="52"/>
        <v>0</v>
      </c>
      <c r="V165" s="2988">
        <f t="shared" si="53"/>
        <v>0</v>
      </c>
      <c r="W165" s="996"/>
      <c r="X165" s="2988">
        <f t="shared" si="54"/>
        <v>0</v>
      </c>
      <c r="Y165" s="2988">
        <f t="shared" si="55"/>
        <v>0</v>
      </c>
      <c r="Z165" s="996"/>
    </row>
    <row r="166" spans="1:26">
      <c r="A166" s="35"/>
      <c r="B166" s="20"/>
      <c r="C166" s="13">
        <f t="shared" si="44"/>
        <v>1</v>
      </c>
      <c r="D166" s="599"/>
      <c r="E166" s="13">
        <f t="shared" si="45"/>
        <v>1</v>
      </c>
      <c r="F166" s="599"/>
      <c r="G166" s="13">
        <f t="shared" si="46"/>
        <v>1</v>
      </c>
      <c r="H166" s="599"/>
      <c r="I166" s="13">
        <f t="shared" si="47"/>
        <v>1</v>
      </c>
      <c r="J166" s="599"/>
      <c r="K166" s="13">
        <f t="shared" si="48"/>
        <v>1</v>
      </c>
      <c r="L166" s="599"/>
      <c r="M166" s="13">
        <f t="shared" si="49"/>
        <v>1</v>
      </c>
      <c r="N166" s="599"/>
      <c r="O166" s="13">
        <f t="shared" si="50"/>
        <v>1</v>
      </c>
      <c r="P166" s="599"/>
      <c r="Q166" s="13">
        <f t="shared" si="51"/>
        <v>0</v>
      </c>
      <c r="R166" s="596">
        <f t="shared" si="56"/>
        <v>0</v>
      </c>
      <c r="S166" s="250">
        <f t="shared" si="57"/>
        <v>0</v>
      </c>
      <c r="T166" s="899">
        <f t="shared" si="58"/>
        <v>0</v>
      </c>
      <c r="U166" s="2988">
        <f t="shared" si="52"/>
        <v>0</v>
      </c>
      <c r="V166" s="2988">
        <f t="shared" si="53"/>
        <v>0</v>
      </c>
      <c r="W166" s="996"/>
      <c r="X166" s="2988">
        <f t="shared" si="54"/>
        <v>0</v>
      </c>
      <c r="Y166" s="2988">
        <f t="shared" si="55"/>
        <v>0</v>
      </c>
      <c r="Z166" s="996"/>
    </row>
    <row r="167" spans="1:26">
      <c r="A167" s="35"/>
      <c r="B167" s="20"/>
      <c r="C167" s="13">
        <f t="shared" si="44"/>
        <v>1</v>
      </c>
      <c r="D167" s="599"/>
      <c r="E167" s="13">
        <f t="shared" si="45"/>
        <v>1</v>
      </c>
      <c r="F167" s="599"/>
      <c r="G167" s="13">
        <f t="shared" si="46"/>
        <v>1</v>
      </c>
      <c r="H167" s="599"/>
      <c r="I167" s="13">
        <f t="shared" si="47"/>
        <v>1</v>
      </c>
      <c r="J167" s="599"/>
      <c r="K167" s="13">
        <f t="shared" si="48"/>
        <v>1</v>
      </c>
      <c r="L167" s="599"/>
      <c r="M167" s="13">
        <f t="shared" si="49"/>
        <v>1</v>
      </c>
      <c r="N167" s="599"/>
      <c r="O167" s="13">
        <f t="shared" si="50"/>
        <v>1</v>
      </c>
      <c r="P167" s="599"/>
      <c r="Q167" s="13">
        <f t="shared" si="51"/>
        <v>0</v>
      </c>
      <c r="R167" s="596">
        <f t="shared" si="56"/>
        <v>0</v>
      </c>
      <c r="S167" s="250">
        <f t="shared" si="57"/>
        <v>0</v>
      </c>
      <c r="T167" s="899">
        <f t="shared" si="58"/>
        <v>0</v>
      </c>
      <c r="U167" s="2988">
        <f t="shared" si="52"/>
        <v>0</v>
      </c>
      <c r="V167" s="2988">
        <f t="shared" si="53"/>
        <v>0</v>
      </c>
      <c r="W167" s="996"/>
      <c r="X167" s="2988">
        <f t="shared" si="54"/>
        <v>0</v>
      </c>
      <c r="Y167" s="2988">
        <f t="shared" si="55"/>
        <v>0</v>
      </c>
      <c r="Z167" s="996"/>
    </row>
    <row r="168" spans="1:26">
      <c r="A168" s="35"/>
      <c r="B168" s="20"/>
      <c r="C168" s="13">
        <f t="shared" si="44"/>
        <v>1</v>
      </c>
      <c r="D168" s="599"/>
      <c r="E168" s="13">
        <f t="shared" si="45"/>
        <v>1</v>
      </c>
      <c r="F168" s="599"/>
      <c r="G168" s="13">
        <f t="shared" si="46"/>
        <v>1</v>
      </c>
      <c r="H168" s="599"/>
      <c r="I168" s="13">
        <f t="shared" si="47"/>
        <v>1</v>
      </c>
      <c r="J168" s="599"/>
      <c r="K168" s="13">
        <f t="shared" si="48"/>
        <v>1</v>
      </c>
      <c r="L168" s="599"/>
      <c r="M168" s="13">
        <f t="shared" si="49"/>
        <v>1</v>
      </c>
      <c r="N168" s="599"/>
      <c r="O168" s="13">
        <f t="shared" si="50"/>
        <v>1</v>
      </c>
      <c r="P168" s="599"/>
      <c r="Q168" s="13">
        <f t="shared" si="51"/>
        <v>0</v>
      </c>
      <c r="R168" s="596">
        <f t="shared" si="56"/>
        <v>0</v>
      </c>
      <c r="S168" s="250">
        <f t="shared" si="57"/>
        <v>0</v>
      </c>
      <c r="T168" s="899">
        <f t="shared" si="58"/>
        <v>0</v>
      </c>
      <c r="U168" s="2988">
        <f t="shared" si="52"/>
        <v>0</v>
      </c>
      <c r="V168" s="2988">
        <f t="shared" si="53"/>
        <v>0</v>
      </c>
      <c r="W168" s="996"/>
      <c r="X168" s="2988">
        <f t="shared" si="54"/>
        <v>0</v>
      </c>
      <c r="Y168" s="2988">
        <f t="shared" si="55"/>
        <v>0</v>
      </c>
      <c r="Z168" s="996"/>
    </row>
    <row r="169" spans="1:26">
      <c r="A169" s="35"/>
      <c r="B169" s="20"/>
      <c r="C169" s="13">
        <f t="shared" si="44"/>
        <v>1</v>
      </c>
      <c r="D169" s="599"/>
      <c r="E169" s="13">
        <f t="shared" si="45"/>
        <v>1</v>
      </c>
      <c r="F169" s="599"/>
      <c r="G169" s="13">
        <f t="shared" si="46"/>
        <v>1</v>
      </c>
      <c r="H169" s="599"/>
      <c r="I169" s="13">
        <f t="shared" si="47"/>
        <v>1</v>
      </c>
      <c r="J169" s="599"/>
      <c r="K169" s="13">
        <f t="shared" si="48"/>
        <v>1</v>
      </c>
      <c r="L169" s="599"/>
      <c r="M169" s="13">
        <f t="shared" si="49"/>
        <v>1</v>
      </c>
      <c r="N169" s="599"/>
      <c r="O169" s="13">
        <f t="shared" si="50"/>
        <v>1</v>
      </c>
      <c r="P169" s="599"/>
      <c r="Q169" s="13">
        <f t="shared" si="51"/>
        <v>0</v>
      </c>
      <c r="R169" s="596">
        <f t="shared" si="56"/>
        <v>0</v>
      </c>
      <c r="S169" s="250">
        <f t="shared" si="57"/>
        <v>0</v>
      </c>
      <c r="T169" s="899">
        <f t="shared" si="58"/>
        <v>0</v>
      </c>
      <c r="U169" s="2988">
        <f t="shared" si="52"/>
        <v>0</v>
      </c>
      <c r="V169" s="2988">
        <f t="shared" si="53"/>
        <v>0</v>
      </c>
      <c r="W169" s="996"/>
      <c r="X169" s="2988">
        <f t="shared" si="54"/>
        <v>0</v>
      </c>
      <c r="Y169" s="2988">
        <f t="shared" si="55"/>
        <v>0</v>
      </c>
      <c r="Z169" s="996"/>
    </row>
    <row r="170" spans="1:26">
      <c r="A170" s="35"/>
      <c r="B170" s="20"/>
      <c r="C170" s="13">
        <f t="shared" si="44"/>
        <v>1</v>
      </c>
      <c r="D170" s="599"/>
      <c r="E170" s="13">
        <f t="shared" si="45"/>
        <v>1</v>
      </c>
      <c r="F170" s="599"/>
      <c r="G170" s="13">
        <f t="shared" si="46"/>
        <v>1</v>
      </c>
      <c r="H170" s="599"/>
      <c r="I170" s="13">
        <f t="shared" si="47"/>
        <v>1</v>
      </c>
      <c r="J170" s="599"/>
      <c r="K170" s="13">
        <f t="shared" si="48"/>
        <v>1</v>
      </c>
      <c r="L170" s="599"/>
      <c r="M170" s="13">
        <f t="shared" si="49"/>
        <v>1</v>
      </c>
      <c r="N170" s="599"/>
      <c r="O170" s="13">
        <f t="shared" si="50"/>
        <v>1</v>
      </c>
      <c r="P170" s="599"/>
      <c r="Q170" s="13">
        <f t="shared" si="51"/>
        <v>0</v>
      </c>
      <c r="R170" s="596">
        <f t="shared" si="56"/>
        <v>0</v>
      </c>
      <c r="S170" s="250">
        <f t="shared" si="57"/>
        <v>0</v>
      </c>
      <c r="T170" s="899">
        <f t="shared" si="58"/>
        <v>0</v>
      </c>
      <c r="U170" s="2988">
        <f t="shared" si="52"/>
        <v>0</v>
      </c>
      <c r="V170" s="2988">
        <f t="shared" si="53"/>
        <v>0</v>
      </c>
      <c r="W170" s="996"/>
      <c r="X170" s="2988">
        <f t="shared" si="54"/>
        <v>0</v>
      </c>
      <c r="Y170" s="2988">
        <f t="shared" si="55"/>
        <v>0</v>
      </c>
      <c r="Z170" s="996"/>
    </row>
    <row r="171" spans="1:26">
      <c r="A171" s="35"/>
      <c r="B171" s="20"/>
      <c r="C171" s="13">
        <f t="shared" si="44"/>
        <v>1</v>
      </c>
      <c r="D171" s="599"/>
      <c r="E171" s="13">
        <f t="shared" si="45"/>
        <v>1</v>
      </c>
      <c r="F171" s="599"/>
      <c r="G171" s="13">
        <f t="shared" si="46"/>
        <v>1</v>
      </c>
      <c r="H171" s="599"/>
      <c r="I171" s="13">
        <f t="shared" si="47"/>
        <v>1</v>
      </c>
      <c r="J171" s="599"/>
      <c r="K171" s="13">
        <f t="shared" si="48"/>
        <v>1</v>
      </c>
      <c r="L171" s="599"/>
      <c r="M171" s="13">
        <f t="shared" si="49"/>
        <v>1</v>
      </c>
      <c r="N171" s="599"/>
      <c r="O171" s="13">
        <f t="shared" si="50"/>
        <v>1</v>
      </c>
      <c r="P171" s="599"/>
      <c r="Q171" s="13">
        <f t="shared" si="51"/>
        <v>0</v>
      </c>
      <c r="R171" s="596">
        <f t="shared" si="56"/>
        <v>0</v>
      </c>
      <c r="S171" s="250">
        <f t="shared" si="57"/>
        <v>0</v>
      </c>
      <c r="T171" s="899">
        <f t="shared" si="58"/>
        <v>0</v>
      </c>
      <c r="U171" s="2988">
        <f t="shared" si="52"/>
        <v>0</v>
      </c>
      <c r="V171" s="2988">
        <f t="shared" si="53"/>
        <v>0</v>
      </c>
      <c r="W171" s="996"/>
      <c r="X171" s="2988">
        <f t="shared" si="54"/>
        <v>0</v>
      </c>
      <c r="Y171" s="2988">
        <f t="shared" si="55"/>
        <v>0</v>
      </c>
      <c r="Z171" s="996"/>
    </row>
    <row r="172" spans="1:26">
      <c r="A172" s="35"/>
      <c r="B172" s="20"/>
      <c r="C172" s="13">
        <f t="shared" si="44"/>
        <v>1</v>
      </c>
      <c r="D172" s="599"/>
      <c r="E172" s="13">
        <f t="shared" si="45"/>
        <v>1</v>
      </c>
      <c r="F172" s="599"/>
      <c r="G172" s="13">
        <f t="shared" si="46"/>
        <v>1</v>
      </c>
      <c r="H172" s="599"/>
      <c r="I172" s="13">
        <f t="shared" si="47"/>
        <v>1</v>
      </c>
      <c r="J172" s="599"/>
      <c r="K172" s="13">
        <f t="shared" si="48"/>
        <v>1</v>
      </c>
      <c r="L172" s="599"/>
      <c r="M172" s="13">
        <f t="shared" si="49"/>
        <v>1</v>
      </c>
      <c r="N172" s="599"/>
      <c r="O172" s="13">
        <f t="shared" si="50"/>
        <v>1</v>
      </c>
      <c r="P172" s="599"/>
      <c r="Q172" s="13">
        <f t="shared" si="51"/>
        <v>0</v>
      </c>
      <c r="R172" s="596">
        <f t="shared" si="56"/>
        <v>0</v>
      </c>
      <c r="S172" s="250">
        <f t="shared" si="57"/>
        <v>0</v>
      </c>
      <c r="T172" s="899">
        <f t="shared" si="58"/>
        <v>0</v>
      </c>
      <c r="U172" s="2988">
        <f t="shared" si="52"/>
        <v>0</v>
      </c>
      <c r="V172" s="2988">
        <f t="shared" si="53"/>
        <v>0</v>
      </c>
      <c r="W172" s="996"/>
      <c r="X172" s="2988">
        <f t="shared" si="54"/>
        <v>0</v>
      </c>
      <c r="Y172" s="2988">
        <f t="shared" si="55"/>
        <v>0</v>
      </c>
      <c r="Z172" s="996"/>
    </row>
    <row r="173" spans="1:26">
      <c r="A173" s="35"/>
      <c r="B173" s="20"/>
      <c r="C173" s="13">
        <f t="shared" si="44"/>
        <v>1</v>
      </c>
      <c r="D173" s="599"/>
      <c r="E173" s="13">
        <f t="shared" si="45"/>
        <v>1</v>
      </c>
      <c r="F173" s="599"/>
      <c r="G173" s="13">
        <f t="shared" si="46"/>
        <v>1</v>
      </c>
      <c r="H173" s="599"/>
      <c r="I173" s="13">
        <f t="shared" si="47"/>
        <v>1</v>
      </c>
      <c r="J173" s="599"/>
      <c r="K173" s="13">
        <f t="shared" si="48"/>
        <v>1</v>
      </c>
      <c r="L173" s="599"/>
      <c r="M173" s="13">
        <f t="shared" si="49"/>
        <v>1</v>
      </c>
      <c r="N173" s="599"/>
      <c r="O173" s="13">
        <f t="shared" si="50"/>
        <v>1</v>
      </c>
      <c r="P173" s="599"/>
      <c r="Q173" s="13">
        <f t="shared" si="51"/>
        <v>0</v>
      </c>
      <c r="R173" s="596">
        <f t="shared" si="56"/>
        <v>0</v>
      </c>
      <c r="S173" s="250">
        <f t="shared" si="57"/>
        <v>0</v>
      </c>
      <c r="T173" s="899">
        <f t="shared" si="58"/>
        <v>0</v>
      </c>
      <c r="U173" s="2988">
        <f t="shared" si="52"/>
        <v>0</v>
      </c>
      <c r="V173" s="2988">
        <f t="shared" si="53"/>
        <v>0</v>
      </c>
      <c r="W173" s="996"/>
      <c r="X173" s="2988">
        <f t="shared" si="54"/>
        <v>0</v>
      </c>
      <c r="Y173" s="2988">
        <f t="shared" si="55"/>
        <v>0</v>
      </c>
      <c r="Z173" s="996"/>
    </row>
    <row r="174" spans="1:26">
      <c r="A174" s="35"/>
      <c r="B174" s="20"/>
      <c r="C174" s="13">
        <f t="shared" si="44"/>
        <v>1</v>
      </c>
      <c r="D174" s="599"/>
      <c r="E174" s="13">
        <f t="shared" si="45"/>
        <v>1</v>
      </c>
      <c r="F174" s="599"/>
      <c r="G174" s="13">
        <f t="shared" si="46"/>
        <v>1</v>
      </c>
      <c r="H174" s="599"/>
      <c r="I174" s="13">
        <f t="shared" si="47"/>
        <v>1</v>
      </c>
      <c r="J174" s="599"/>
      <c r="K174" s="13">
        <f t="shared" si="48"/>
        <v>1</v>
      </c>
      <c r="L174" s="599"/>
      <c r="M174" s="13">
        <f t="shared" si="49"/>
        <v>1</v>
      </c>
      <c r="N174" s="599"/>
      <c r="O174" s="13">
        <f t="shared" si="50"/>
        <v>1</v>
      </c>
      <c r="P174" s="599"/>
      <c r="Q174" s="13">
        <f t="shared" si="51"/>
        <v>0</v>
      </c>
      <c r="R174" s="596">
        <f t="shared" si="56"/>
        <v>0</v>
      </c>
      <c r="S174" s="250">
        <f t="shared" si="57"/>
        <v>0</v>
      </c>
      <c r="T174" s="899">
        <f t="shared" si="58"/>
        <v>0</v>
      </c>
      <c r="U174" s="2988">
        <f t="shared" si="52"/>
        <v>0</v>
      </c>
      <c r="V174" s="2988">
        <f t="shared" si="53"/>
        <v>0</v>
      </c>
      <c r="W174" s="996"/>
      <c r="X174" s="2988">
        <f t="shared" si="54"/>
        <v>0</v>
      </c>
      <c r="Y174" s="2988">
        <f t="shared" si="55"/>
        <v>0</v>
      </c>
      <c r="Z174" s="996"/>
    </row>
    <row r="175" spans="1:26">
      <c r="A175" s="35"/>
      <c r="B175" s="20"/>
      <c r="C175" s="13">
        <f t="shared" si="44"/>
        <v>1</v>
      </c>
      <c r="D175" s="599"/>
      <c r="E175" s="13">
        <f t="shared" si="45"/>
        <v>1</v>
      </c>
      <c r="F175" s="599"/>
      <c r="G175" s="13">
        <f t="shared" si="46"/>
        <v>1</v>
      </c>
      <c r="H175" s="599"/>
      <c r="I175" s="13">
        <f t="shared" si="47"/>
        <v>1</v>
      </c>
      <c r="J175" s="599"/>
      <c r="K175" s="13">
        <f t="shared" si="48"/>
        <v>1</v>
      </c>
      <c r="L175" s="599"/>
      <c r="M175" s="13">
        <f t="shared" si="49"/>
        <v>1</v>
      </c>
      <c r="N175" s="599"/>
      <c r="O175" s="13">
        <f t="shared" si="50"/>
        <v>1</v>
      </c>
      <c r="P175" s="599"/>
      <c r="Q175" s="13">
        <f t="shared" si="51"/>
        <v>0</v>
      </c>
      <c r="R175" s="596">
        <f t="shared" si="56"/>
        <v>0</v>
      </c>
      <c r="S175" s="250">
        <f t="shared" si="57"/>
        <v>0</v>
      </c>
      <c r="T175" s="899">
        <f t="shared" si="58"/>
        <v>0</v>
      </c>
      <c r="U175" s="2988">
        <f t="shared" si="52"/>
        <v>0</v>
      </c>
      <c r="V175" s="2988">
        <f t="shared" si="53"/>
        <v>0</v>
      </c>
      <c r="W175" s="996"/>
      <c r="X175" s="2988">
        <f t="shared" si="54"/>
        <v>0</v>
      </c>
      <c r="Y175" s="2988">
        <f t="shared" si="55"/>
        <v>0</v>
      </c>
      <c r="Z175" s="996"/>
    </row>
    <row r="176" spans="1:26">
      <c r="A176" s="35"/>
      <c r="B176" s="20"/>
      <c r="C176" s="13">
        <f t="shared" si="44"/>
        <v>1</v>
      </c>
      <c r="D176" s="599"/>
      <c r="E176" s="13">
        <f t="shared" si="45"/>
        <v>1</v>
      </c>
      <c r="F176" s="599"/>
      <c r="G176" s="13">
        <f t="shared" si="46"/>
        <v>1</v>
      </c>
      <c r="H176" s="599"/>
      <c r="I176" s="13">
        <f t="shared" si="47"/>
        <v>1</v>
      </c>
      <c r="J176" s="599"/>
      <c r="K176" s="13">
        <f t="shared" si="48"/>
        <v>1</v>
      </c>
      <c r="L176" s="599"/>
      <c r="M176" s="13">
        <f t="shared" si="49"/>
        <v>1</v>
      </c>
      <c r="N176" s="599"/>
      <c r="O176" s="13">
        <f t="shared" si="50"/>
        <v>1</v>
      </c>
      <c r="P176" s="599"/>
      <c r="Q176" s="13">
        <f t="shared" si="51"/>
        <v>0</v>
      </c>
      <c r="R176" s="596">
        <f t="shared" si="56"/>
        <v>0</v>
      </c>
      <c r="S176" s="250">
        <f t="shared" si="57"/>
        <v>0</v>
      </c>
      <c r="T176" s="899">
        <f t="shared" si="58"/>
        <v>0</v>
      </c>
      <c r="U176" s="2988">
        <f t="shared" si="52"/>
        <v>0</v>
      </c>
      <c r="V176" s="2988">
        <f t="shared" si="53"/>
        <v>0</v>
      </c>
      <c r="W176" s="996"/>
      <c r="X176" s="2988">
        <f t="shared" si="54"/>
        <v>0</v>
      </c>
      <c r="Y176" s="2988">
        <f t="shared" si="55"/>
        <v>0</v>
      </c>
      <c r="Z176" s="996"/>
    </row>
    <row r="177" spans="1:26">
      <c r="A177" s="35"/>
      <c r="B177" s="20"/>
      <c r="C177" s="13">
        <f t="shared" si="44"/>
        <v>1</v>
      </c>
      <c r="D177" s="599"/>
      <c r="E177" s="13">
        <f t="shared" si="45"/>
        <v>1</v>
      </c>
      <c r="F177" s="599"/>
      <c r="G177" s="13">
        <f t="shared" si="46"/>
        <v>1</v>
      </c>
      <c r="H177" s="599"/>
      <c r="I177" s="13">
        <f t="shared" si="47"/>
        <v>1</v>
      </c>
      <c r="J177" s="599"/>
      <c r="K177" s="13">
        <f t="shared" si="48"/>
        <v>1</v>
      </c>
      <c r="L177" s="599"/>
      <c r="M177" s="13">
        <f t="shared" si="49"/>
        <v>1</v>
      </c>
      <c r="N177" s="599"/>
      <c r="O177" s="13">
        <f t="shared" si="50"/>
        <v>1</v>
      </c>
      <c r="P177" s="599"/>
      <c r="Q177" s="13">
        <f t="shared" si="51"/>
        <v>0</v>
      </c>
      <c r="R177" s="596">
        <f t="shared" si="56"/>
        <v>0</v>
      </c>
      <c r="S177" s="250">
        <f t="shared" si="57"/>
        <v>0</v>
      </c>
      <c r="T177" s="899">
        <f t="shared" si="58"/>
        <v>0</v>
      </c>
      <c r="U177" s="2988">
        <f t="shared" si="52"/>
        <v>0</v>
      </c>
      <c r="V177" s="2988">
        <f t="shared" si="53"/>
        <v>0</v>
      </c>
      <c r="W177" s="996"/>
      <c r="X177" s="2988">
        <f t="shared" si="54"/>
        <v>0</v>
      </c>
      <c r="Y177" s="2988">
        <f t="shared" si="55"/>
        <v>0</v>
      </c>
      <c r="Z177" s="996"/>
    </row>
    <row r="178" spans="1:26">
      <c r="A178" s="35"/>
      <c r="B178" s="20"/>
      <c r="C178" s="13">
        <f t="shared" si="44"/>
        <v>1</v>
      </c>
      <c r="D178" s="599"/>
      <c r="E178" s="13">
        <f t="shared" si="45"/>
        <v>1</v>
      </c>
      <c r="F178" s="599"/>
      <c r="G178" s="13">
        <f t="shared" si="46"/>
        <v>1</v>
      </c>
      <c r="H178" s="599"/>
      <c r="I178" s="13">
        <f t="shared" si="47"/>
        <v>1</v>
      </c>
      <c r="J178" s="599"/>
      <c r="K178" s="13">
        <f t="shared" si="48"/>
        <v>1</v>
      </c>
      <c r="L178" s="599"/>
      <c r="M178" s="13">
        <f t="shared" si="49"/>
        <v>1</v>
      </c>
      <c r="N178" s="599"/>
      <c r="O178" s="13">
        <f t="shared" si="50"/>
        <v>1</v>
      </c>
      <c r="P178" s="599"/>
      <c r="Q178" s="13">
        <f t="shared" si="51"/>
        <v>0</v>
      </c>
      <c r="R178" s="596">
        <f t="shared" si="56"/>
        <v>0</v>
      </c>
      <c r="S178" s="250">
        <f t="shared" si="57"/>
        <v>0</v>
      </c>
      <c r="T178" s="899">
        <f t="shared" si="58"/>
        <v>0</v>
      </c>
      <c r="U178" s="2988">
        <f t="shared" si="52"/>
        <v>0</v>
      </c>
      <c r="V178" s="2988">
        <f t="shared" si="53"/>
        <v>0</v>
      </c>
      <c r="W178" s="996"/>
      <c r="X178" s="2988">
        <f t="shared" si="54"/>
        <v>0</v>
      </c>
      <c r="Y178" s="2988">
        <f t="shared" si="55"/>
        <v>0</v>
      </c>
      <c r="Z178" s="996"/>
    </row>
    <row r="179" spans="1:26">
      <c r="A179" s="35"/>
      <c r="B179" s="20"/>
      <c r="C179" s="13">
        <f t="shared" si="44"/>
        <v>1</v>
      </c>
      <c r="D179" s="599"/>
      <c r="E179" s="13">
        <f t="shared" si="45"/>
        <v>1</v>
      </c>
      <c r="F179" s="599"/>
      <c r="G179" s="13">
        <f t="shared" si="46"/>
        <v>1</v>
      </c>
      <c r="H179" s="599"/>
      <c r="I179" s="13">
        <f t="shared" si="47"/>
        <v>1</v>
      </c>
      <c r="J179" s="599"/>
      <c r="K179" s="13">
        <f t="shared" si="48"/>
        <v>1</v>
      </c>
      <c r="L179" s="599"/>
      <c r="M179" s="13">
        <f t="shared" si="49"/>
        <v>1</v>
      </c>
      <c r="N179" s="599"/>
      <c r="O179" s="13">
        <f t="shared" si="50"/>
        <v>1</v>
      </c>
      <c r="P179" s="599"/>
      <c r="Q179" s="13">
        <f t="shared" si="51"/>
        <v>0</v>
      </c>
      <c r="R179" s="596">
        <f t="shared" si="56"/>
        <v>0</v>
      </c>
      <c r="S179" s="250">
        <f t="shared" si="57"/>
        <v>0</v>
      </c>
      <c r="T179" s="899">
        <f t="shared" si="58"/>
        <v>0</v>
      </c>
      <c r="U179" s="2988">
        <f t="shared" si="52"/>
        <v>0</v>
      </c>
      <c r="V179" s="2988">
        <f t="shared" si="53"/>
        <v>0</v>
      </c>
      <c r="W179" s="996"/>
      <c r="X179" s="2988">
        <f t="shared" si="54"/>
        <v>0</v>
      </c>
      <c r="Y179" s="2988">
        <f t="shared" si="55"/>
        <v>0</v>
      </c>
      <c r="Z179" s="996"/>
    </row>
    <row r="180" spans="1:26">
      <c r="A180" s="35"/>
      <c r="B180" s="20"/>
      <c r="C180" s="13">
        <f t="shared" si="44"/>
        <v>1</v>
      </c>
      <c r="D180" s="599"/>
      <c r="E180" s="13">
        <f t="shared" si="45"/>
        <v>1</v>
      </c>
      <c r="F180" s="599"/>
      <c r="G180" s="13">
        <f t="shared" si="46"/>
        <v>1</v>
      </c>
      <c r="H180" s="599"/>
      <c r="I180" s="13">
        <f t="shared" si="47"/>
        <v>1</v>
      </c>
      <c r="J180" s="599"/>
      <c r="K180" s="13">
        <f t="shared" si="48"/>
        <v>1</v>
      </c>
      <c r="L180" s="599"/>
      <c r="M180" s="13">
        <f t="shared" si="49"/>
        <v>1</v>
      </c>
      <c r="N180" s="599"/>
      <c r="O180" s="13">
        <f t="shared" si="50"/>
        <v>1</v>
      </c>
      <c r="P180" s="599"/>
      <c r="Q180" s="13">
        <f t="shared" si="51"/>
        <v>0</v>
      </c>
      <c r="R180" s="596">
        <f t="shared" si="56"/>
        <v>0</v>
      </c>
      <c r="S180" s="250">
        <f t="shared" si="57"/>
        <v>0</v>
      </c>
      <c r="T180" s="899">
        <f t="shared" si="58"/>
        <v>0</v>
      </c>
      <c r="U180" s="2988">
        <f t="shared" si="52"/>
        <v>0</v>
      </c>
      <c r="V180" s="2988">
        <f t="shared" si="53"/>
        <v>0</v>
      </c>
      <c r="W180" s="996"/>
      <c r="X180" s="2988">
        <f t="shared" si="54"/>
        <v>0</v>
      </c>
      <c r="Y180" s="2988">
        <f t="shared" si="55"/>
        <v>0</v>
      </c>
      <c r="Z180" s="996"/>
    </row>
    <row r="181" spans="1:26">
      <c r="A181" s="35"/>
      <c r="B181" s="20"/>
      <c r="C181" s="13">
        <f t="shared" si="44"/>
        <v>1</v>
      </c>
      <c r="D181" s="599"/>
      <c r="E181" s="13">
        <f t="shared" si="45"/>
        <v>1</v>
      </c>
      <c r="F181" s="599"/>
      <c r="G181" s="13">
        <f t="shared" si="46"/>
        <v>1</v>
      </c>
      <c r="H181" s="599"/>
      <c r="I181" s="13">
        <f t="shared" si="47"/>
        <v>1</v>
      </c>
      <c r="J181" s="599"/>
      <c r="K181" s="13">
        <f t="shared" si="48"/>
        <v>1</v>
      </c>
      <c r="L181" s="599"/>
      <c r="M181" s="13">
        <f t="shared" si="49"/>
        <v>1</v>
      </c>
      <c r="N181" s="599"/>
      <c r="O181" s="13">
        <f t="shared" si="50"/>
        <v>1</v>
      </c>
      <c r="P181" s="599"/>
      <c r="Q181" s="13">
        <f t="shared" si="51"/>
        <v>0</v>
      </c>
      <c r="R181" s="596">
        <f t="shared" si="56"/>
        <v>0</v>
      </c>
      <c r="S181" s="250">
        <f t="shared" si="57"/>
        <v>0</v>
      </c>
      <c r="T181" s="899">
        <f t="shared" si="58"/>
        <v>0</v>
      </c>
      <c r="U181" s="2988">
        <f t="shared" si="52"/>
        <v>0</v>
      </c>
      <c r="V181" s="2988">
        <f t="shared" si="53"/>
        <v>0</v>
      </c>
      <c r="W181" s="996"/>
      <c r="X181" s="2988">
        <f t="shared" si="54"/>
        <v>0</v>
      </c>
      <c r="Y181" s="2988">
        <f t="shared" si="55"/>
        <v>0</v>
      </c>
      <c r="Z181" s="996"/>
    </row>
    <row r="182" spans="1:26">
      <c r="A182" s="35"/>
      <c r="B182" s="20"/>
      <c r="C182" s="13">
        <f t="shared" si="44"/>
        <v>1</v>
      </c>
      <c r="D182" s="599"/>
      <c r="E182" s="13">
        <f t="shared" si="45"/>
        <v>1</v>
      </c>
      <c r="F182" s="599"/>
      <c r="G182" s="13">
        <f t="shared" si="46"/>
        <v>1</v>
      </c>
      <c r="H182" s="599"/>
      <c r="I182" s="13">
        <f t="shared" si="47"/>
        <v>1</v>
      </c>
      <c r="J182" s="599"/>
      <c r="K182" s="13">
        <f t="shared" si="48"/>
        <v>1</v>
      </c>
      <c r="L182" s="599"/>
      <c r="M182" s="13">
        <f t="shared" si="49"/>
        <v>1</v>
      </c>
      <c r="N182" s="599"/>
      <c r="O182" s="13">
        <f t="shared" si="50"/>
        <v>1</v>
      </c>
      <c r="P182" s="599"/>
      <c r="Q182" s="13">
        <f t="shared" si="51"/>
        <v>0</v>
      </c>
      <c r="R182" s="596">
        <f t="shared" si="56"/>
        <v>0</v>
      </c>
      <c r="S182" s="250">
        <f t="shared" si="57"/>
        <v>0</v>
      </c>
      <c r="T182" s="899">
        <f t="shared" si="58"/>
        <v>0</v>
      </c>
      <c r="U182" s="2988">
        <f t="shared" si="52"/>
        <v>0</v>
      </c>
      <c r="V182" s="2988">
        <f t="shared" si="53"/>
        <v>0</v>
      </c>
      <c r="W182" s="996"/>
      <c r="X182" s="2988">
        <f t="shared" si="54"/>
        <v>0</v>
      </c>
      <c r="Y182" s="2988">
        <f t="shared" si="55"/>
        <v>0</v>
      </c>
      <c r="Z182" s="996"/>
    </row>
    <row r="183" spans="1:26">
      <c r="A183" s="35"/>
      <c r="B183" s="20"/>
      <c r="C183" s="13">
        <f t="shared" si="44"/>
        <v>1</v>
      </c>
      <c r="D183" s="599"/>
      <c r="E183" s="13">
        <f t="shared" si="45"/>
        <v>1</v>
      </c>
      <c r="F183" s="599"/>
      <c r="G183" s="13">
        <f t="shared" si="46"/>
        <v>1</v>
      </c>
      <c r="H183" s="599"/>
      <c r="I183" s="13">
        <f t="shared" si="47"/>
        <v>1</v>
      </c>
      <c r="J183" s="599"/>
      <c r="K183" s="13">
        <f t="shared" si="48"/>
        <v>1</v>
      </c>
      <c r="L183" s="599"/>
      <c r="M183" s="13">
        <f t="shared" si="49"/>
        <v>1</v>
      </c>
      <c r="N183" s="599"/>
      <c r="O183" s="13">
        <f t="shared" si="50"/>
        <v>1</v>
      </c>
      <c r="P183" s="599"/>
      <c r="Q183" s="13">
        <f t="shared" si="51"/>
        <v>0</v>
      </c>
      <c r="R183" s="596">
        <f t="shared" si="56"/>
        <v>0</v>
      </c>
      <c r="S183" s="250">
        <f t="shared" si="57"/>
        <v>0</v>
      </c>
      <c r="T183" s="899">
        <f t="shared" si="58"/>
        <v>0</v>
      </c>
      <c r="U183" s="2988">
        <f t="shared" si="52"/>
        <v>0</v>
      </c>
      <c r="V183" s="2988">
        <f t="shared" si="53"/>
        <v>0</v>
      </c>
      <c r="W183" s="996"/>
      <c r="X183" s="2988">
        <f t="shared" si="54"/>
        <v>0</v>
      </c>
      <c r="Y183" s="2988">
        <f t="shared" si="55"/>
        <v>0</v>
      </c>
      <c r="Z183" s="996"/>
    </row>
    <row r="184" spans="1:26">
      <c r="A184" s="35"/>
      <c r="B184" s="20"/>
      <c r="C184" s="13">
        <f t="shared" si="44"/>
        <v>1</v>
      </c>
      <c r="D184" s="599"/>
      <c r="E184" s="13">
        <f t="shared" si="45"/>
        <v>1</v>
      </c>
      <c r="F184" s="599"/>
      <c r="G184" s="13">
        <f t="shared" si="46"/>
        <v>1</v>
      </c>
      <c r="H184" s="599"/>
      <c r="I184" s="13">
        <f t="shared" si="47"/>
        <v>1</v>
      </c>
      <c r="J184" s="599"/>
      <c r="K184" s="13">
        <f t="shared" si="48"/>
        <v>1</v>
      </c>
      <c r="L184" s="599"/>
      <c r="M184" s="13">
        <f t="shared" si="49"/>
        <v>1</v>
      </c>
      <c r="N184" s="599"/>
      <c r="O184" s="13">
        <f t="shared" si="50"/>
        <v>1</v>
      </c>
      <c r="P184" s="599"/>
      <c r="Q184" s="13">
        <f t="shared" si="51"/>
        <v>0</v>
      </c>
      <c r="R184" s="596">
        <f t="shared" si="56"/>
        <v>0</v>
      </c>
      <c r="S184" s="250">
        <f t="shared" si="57"/>
        <v>0</v>
      </c>
      <c r="T184" s="899">
        <f t="shared" si="58"/>
        <v>0</v>
      </c>
      <c r="U184" s="2988">
        <f t="shared" si="52"/>
        <v>0</v>
      </c>
      <c r="V184" s="2988">
        <f t="shared" si="53"/>
        <v>0</v>
      </c>
      <c r="W184" s="996"/>
      <c r="X184" s="2988">
        <f t="shared" si="54"/>
        <v>0</v>
      </c>
      <c r="Y184" s="2988">
        <f t="shared" si="55"/>
        <v>0</v>
      </c>
      <c r="Z184" s="996"/>
    </row>
    <row r="185" spans="1:26">
      <c r="A185" s="35"/>
      <c r="B185" s="20"/>
      <c r="C185" s="13">
        <f t="shared" si="44"/>
        <v>1</v>
      </c>
      <c r="D185" s="599"/>
      <c r="E185" s="13">
        <f t="shared" si="45"/>
        <v>1</v>
      </c>
      <c r="F185" s="599"/>
      <c r="G185" s="13">
        <f t="shared" si="46"/>
        <v>1</v>
      </c>
      <c r="H185" s="599"/>
      <c r="I185" s="13">
        <f t="shared" si="47"/>
        <v>1</v>
      </c>
      <c r="J185" s="599"/>
      <c r="K185" s="13">
        <f t="shared" si="48"/>
        <v>1</v>
      </c>
      <c r="L185" s="599"/>
      <c r="M185" s="13">
        <f t="shared" si="49"/>
        <v>1</v>
      </c>
      <c r="N185" s="599"/>
      <c r="O185" s="13">
        <f t="shared" si="50"/>
        <v>1</v>
      </c>
      <c r="P185" s="599"/>
      <c r="Q185" s="13">
        <f t="shared" si="51"/>
        <v>0</v>
      </c>
      <c r="R185" s="596">
        <f t="shared" si="56"/>
        <v>0</v>
      </c>
      <c r="S185" s="250">
        <f t="shared" si="57"/>
        <v>0</v>
      </c>
      <c r="T185" s="899">
        <f t="shared" si="58"/>
        <v>0</v>
      </c>
      <c r="U185" s="2988">
        <f t="shared" si="52"/>
        <v>0</v>
      </c>
      <c r="V185" s="2988">
        <f t="shared" si="53"/>
        <v>0</v>
      </c>
      <c r="W185" s="996"/>
      <c r="X185" s="2988">
        <f t="shared" si="54"/>
        <v>0</v>
      </c>
      <c r="Y185" s="2988">
        <f t="shared" si="55"/>
        <v>0</v>
      </c>
      <c r="Z185" s="996"/>
    </row>
    <row r="186" spans="1:26">
      <c r="A186" s="35"/>
      <c r="B186" s="20"/>
      <c r="C186" s="13">
        <f t="shared" si="44"/>
        <v>1</v>
      </c>
      <c r="D186" s="599"/>
      <c r="E186" s="13">
        <f t="shared" si="45"/>
        <v>1</v>
      </c>
      <c r="F186" s="599"/>
      <c r="G186" s="13">
        <f t="shared" si="46"/>
        <v>1</v>
      </c>
      <c r="H186" s="599"/>
      <c r="I186" s="13">
        <f t="shared" si="47"/>
        <v>1</v>
      </c>
      <c r="J186" s="599"/>
      <c r="K186" s="13">
        <f t="shared" si="48"/>
        <v>1</v>
      </c>
      <c r="L186" s="599"/>
      <c r="M186" s="13">
        <f t="shared" si="49"/>
        <v>1</v>
      </c>
      <c r="N186" s="599"/>
      <c r="O186" s="13">
        <f t="shared" si="50"/>
        <v>1</v>
      </c>
      <c r="P186" s="599"/>
      <c r="Q186" s="13">
        <f t="shared" si="51"/>
        <v>0</v>
      </c>
      <c r="R186" s="596">
        <f t="shared" si="56"/>
        <v>0</v>
      </c>
      <c r="S186" s="250">
        <f t="shared" si="57"/>
        <v>0</v>
      </c>
      <c r="T186" s="899">
        <f t="shared" si="58"/>
        <v>0</v>
      </c>
      <c r="U186" s="2988">
        <f t="shared" si="52"/>
        <v>0</v>
      </c>
      <c r="V186" s="2988">
        <f t="shared" si="53"/>
        <v>0</v>
      </c>
      <c r="W186" s="996"/>
      <c r="X186" s="2988">
        <f t="shared" si="54"/>
        <v>0</v>
      </c>
      <c r="Y186" s="2988">
        <f t="shared" si="55"/>
        <v>0</v>
      </c>
      <c r="Z186" s="996"/>
    </row>
    <row r="187" spans="1:26">
      <c r="A187" s="35"/>
      <c r="B187" s="20"/>
      <c r="C187" s="13">
        <f t="shared" si="44"/>
        <v>1</v>
      </c>
      <c r="D187" s="599"/>
      <c r="E187" s="13">
        <f t="shared" si="45"/>
        <v>1</v>
      </c>
      <c r="F187" s="599"/>
      <c r="G187" s="13">
        <f t="shared" si="46"/>
        <v>1</v>
      </c>
      <c r="H187" s="599"/>
      <c r="I187" s="13">
        <f t="shared" si="47"/>
        <v>1</v>
      </c>
      <c r="J187" s="599"/>
      <c r="K187" s="13">
        <f t="shared" si="48"/>
        <v>1</v>
      </c>
      <c r="L187" s="599"/>
      <c r="M187" s="13">
        <f t="shared" si="49"/>
        <v>1</v>
      </c>
      <c r="N187" s="599"/>
      <c r="O187" s="13">
        <f t="shared" si="50"/>
        <v>1</v>
      </c>
      <c r="P187" s="599"/>
      <c r="Q187" s="13">
        <f t="shared" si="51"/>
        <v>0</v>
      </c>
      <c r="R187" s="596">
        <f t="shared" si="56"/>
        <v>0</v>
      </c>
      <c r="S187" s="250">
        <f t="shared" si="57"/>
        <v>0</v>
      </c>
      <c r="T187" s="899">
        <f t="shared" si="58"/>
        <v>0</v>
      </c>
      <c r="U187" s="2988">
        <f t="shared" si="52"/>
        <v>0</v>
      </c>
      <c r="V187" s="2988">
        <f t="shared" si="53"/>
        <v>0</v>
      </c>
      <c r="W187" s="996"/>
      <c r="X187" s="2988">
        <f t="shared" si="54"/>
        <v>0</v>
      </c>
      <c r="Y187" s="2988">
        <f t="shared" si="55"/>
        <v>0</v>
      </c>
      <c r="Z187" s="996"/>
    </row>
    <row r="188" spans="1:26">
      <c r="A188" s="35"/>
      <c r="B188" s="20"/>
      <c r="C188" s="13">
        <f t="shared" si="44"/>
        <v>1</v>
      </c>
      <c r="D188" s="599"/>
      <c r="E188" s="13">
        <f t="shared" si="45"/>
        <v>1</v>
      </c>
      <c r="F188" s="599"/>
      <c r="G188" s="13">
        <f t="shared" si="46"/>
        <v>1</v>
      </c>
      <c r="H188" s="599"/>
      <c r="I188" s="13">
        <f t="shared" si="47"/>
        <v>1</v>
      </c>
      <c r="J188" s="599"/>
      <c r="K188" s="13">
        <f t="shared" si="48"/>
        <v>1</v>
      </c>
      <c r="L188" s="599"/>
      <c r="M188" s="13">
        <f t="shared" si="49"/>
        <v>1</v>
      </c>
      <c r="N188" s="599"/>
      <c r="O188" s="13">
        <f t="shared" si="50"/>
        <v>1</v>
      </c>
      <c r="P188" s="599"/>
      <c r="Q188" s="13">
        <f t="shared" si="51"/>
        <v>0</v>
      </c>
      <c r="R188" s="596">
        <f t="shared" si="56"/>
        <v>0</v>
      </c>
      <c r="S188" s="250">
        <f t="shared" si="57"/>
        <v>0</v>
      </c>
      <c r="T188" s="899">
        <f t="shared" si="58"/>
        <v>0</v>
      </c>
      <c r="U188" s="2988">
        <f t="shared" si="52"/>
        <v>0</v>
      </c>
      <c r="V188" s="2988">
        <f t="shared" si="53"/>
        <v>0</v>
      </c>
      <c r="W188" s="996"/>
      <c r="X188" s="2988">
        <f t="shared" si="54"/>
        <v>0</v>
      </c>
      <c r="Y188" s="2988">
        <f t="shared" si="55"/>
        <v>0</v>
      </c>
      <c r="Z188" s="996"/>
    </row>
    <row r="189" spans="1:26">
      <c r="A189" s="35"/>
      <c r="B189" s="20"/>
      <c r="C189" s="13">
        <f t="shared" si="44"/>
        <v>1</v>
      </c>
      <c r="D189" s="599"/>
      <c r="E189" s="13">
        <f t="shared" si="45"/>
        <v>1</v>
      </c>
      <c r="F189" s="599"/>
      <c r="G189" s="13">
        <f t="shared" si="46"/>
        <v>1</v>
      </c>
      <c r="H189" s="599"/>
      <c r="I189" s="13">
        <f t="shared" si="47"/>
        <v>1</v>
      </c>
      <c r="J189" s="599"/>
      <c r="K189" s="13">
        <f t="shared" si="48"/>
        <v>1</v>
      </c>
      <c r="L189" s="599"/>
      <c r="M189" s="13">
        <f t="shared" si="49"/>
        <v>1</v>
      </c>
      <c r="N189" s="599"/>
      <c r="O189" s="13">
        <f t="shared" si="50"/>
        <v>1</v>
      </c>
      <c r="P189" s="599"/>
      <c r="Q189" s="13">
        <f t="shared" si="51"/>
        <v>0</v>
      </c>
      <c r="R189" s="596">
        <f t="shared" si="56"/>
        <v>0</v>
      </c>
      <c r="S189" s="250">
        <f t="shared" si="57"/>
        <v>0</v>
      </c>
      <c r="T189" s="899">
        <f t="shared" si="58"/>
        <v>0</v>
      </c>
      <c r="U189" s="2988">
        <f t="shared" si="52"/>
        <v>0</v>
      </c>
      <c r="V189" s="2988">
        <f t="shared" si="53"/>
        <v>0</v>
      </c>
      <c r="W189" s="996"/>
      <c r="X189" s="2988">
        <f t="shared" si="54"/>
        <v>0</v>
      </c>
      <c r="Y189" s="2988">
        <f t="shared" si="55"/>
        <v>0</v>
      </c>
      <c r="Z189" s="996"/>
    </row>
    <row r="190" spans="1:26">
      <c r="A190" s="35"/>
      <c r="B190" s="20"/>
      <c r="C190" s="13">
        <f t="shared" si="44"/>
        <v>1</v>
      </c>
      <c r="D190" s="599"/>
      <c r="E190" s="13">
        <f t="shared" si="45"/>
        <v>1</v>
      </c>
      <c r="F190" s="599"/>
      <c r="G190" s="13">
        <f t="shared" si="46"/>
        <v>1</v>
      </c>
      <c r="H190" s="599"/>
      <c r="I190" s="13">
        <f t="shared" si="47"/>
        <v>1</v>
      </c>
      <c r="J190" s="599"/>
      <c r="K190" s="13">
        <f t="shared" si="48"/>
        <v>1</v>
      </c>
      <c r="L190" s="599"/>
      <c r="M190" s="13">
        <f t="shared" si="49"/>
        <v>1</v>
      </c>
      <c r="N190" s="599"/>
      <c r="O190" s="13">
        <f t="shared" si="50"/>
        <v>1</v>
      </c>
      <c r="P190" s="599"/>
      <c r="Q190" s="13">
        <f t="shared" si="51"/>
        <v>0</v>
      </c>
      <c r="R190" s="596">
        <f t="shared" si="56"/>
        <v>0</v>
      </c>
      <c r="S190" s="250">
        <f t="shared" si="57"/>
        <v>0</v>
      </c>
      <c r="T190" s="899">
        <f t="shared" si="58"/>
        <v>0</v>
      </c>
      <c r="U190" s="2988">
        <f t="shared" si="52"/>
        <v>0</v>
      </c>
      <c r="V190" s="2988">
        <f t="shared" si="53"/>
        <v>0</v>
      </c>
      <c r="W190" s="996"/>
      <c r="X190" s="2988">
        <f t="shared" si="54"/>
        <v>0</v>
      </c>
      <c r="Y190" s="2988">
        <f t="shared" si="55"/>
        <v>0</v>
      </c>
      <c r="Z190" s="996"/>
    </row>
    <row r="191" spans="1:26">
      <c r="A191" s="35"/>
      <c r="B191" s="20"/>
      <c r="C191" s="13">
        <f t="shared" si="44"/>
        <v>1</v>
      </c>
      <c r="D191" s="599"/>
      <c r="E191" s="13">
        <f t="shared" si="45"/>
        <v>1</v>
      </c>
      <c r="F191" s="599"/>
      <c r="G191" s="13">
        <f t="shared" si="46"/>
        <v>1</v>
      </c>
      <c r="H191" s="599"/>
      <c r="I191" s="13">
        <f t="shared" si="47"/>
        <v>1</v>
      </c>
      <c r="J191" s="599"/>
      <c r="K191" s="13">
        <f t="shared" si="48"/>
        <v>1</v>
      </c>
      <c r="L191" s="599"/>
      <c r="M191" s="13">
        <f t="shared" si="49"/>
        <v>1</v>
      </c>
      <c r="N191" s="599"/>
      <c r="O191" s="13">
        <f t="shared" si="50"/>
        <v>1</v>
      </c>
      <c r="P191" s="599"/>
      <c r="Q191" s="13">
        <f t="shared" si="51"/>
        <v>0</v>
      </c>
      <c r="R191" s="596">
        <f t="shared" si="56"/>
        <v>0</v>
      </c>
      <c r="S191" s="250">
        <f t="shared" si="57"/>
        <v>0</v>
      </c>
      <c r="T191" s="899">
        <f t="shared" si="58"/>
        <v>0</v>
      </c>
      <c r="U191" s="2988">
        <f t="shared" si="52"/>
        <v>0</v>
      </c>
      <c r="V191" s="2988">
        <f t="shared" si="53"/>
        <v>0</v>
      </c>
      <c r="W191" s="996"/>
      <c r="X191" s="2988">
        <f t="shared" si="54"/>
        <v>0</v>
      </c>
      <c r="Y191" s="2988">
        <f t="shared" si="55"/>
        <v>0</v>
      </c>
      <c r="Z191" s="996"/>
    </row>
    <row r="192" spans="1:26">
      <c r="A192" s="35"/>
      <c r="B192" s="20"/>
      <c r="C192" s="13">
        <f t="shared" si="44"/>
        <v>1</v>
      </c>
      <c r="D192" s="599"/>
      <c r="E192" s="13">
        <f t="shared" si="45"/>
        <v>1</v>
      </c>
      <c r="F192" s="599"/>
      <c r="G192" s="13">
        <f t="shared" si="46"/>
        <v>1</v>
      </c>
      <c r="H192" s="599"/>
      <c r="I192" s="13">
        <f t="shared" si="47"/>
        <v>1</v>
      </c>
      <c r="J192" s="599"/>
      <c r="K192" s="13">
        <f t="shared" si="48"/>
        <v>1</v>
      </c>
      <c r="L192" s="599"/>
      <c r="M192" s="13">
        <f t="shared" si="49"/>
        <v>1</v>
      </c>
      <c r="N192" s="599"/>
      <c r="O192" s="13">
        <f t="shared" si="50"/>
        <v>1</v>
      </c>
      <c r="P192" s="599"/>
      <c r="Q192" s="13">
        <f t="shared" si="51"/>
        <v>0</v>
      </c>
      <c r="R192" s="596">
        <f t="shared" si="56"/>
        <v>0</v>
      </c>
      <c r="S192" s="250">
        <f t="shared" si="57"/>
        <v>0</v>
      </c>
      <c r="T192" s="899">
        <f t="shared" si="58"/>
        <v>0</v>
      </c>
      <c r="U192" s="2988">
        <f t="shared" si="52"/>
        <v>0</v>
      </c>
      <c r="V192" s="2988">
        <f t="shared" si="53"/>
        <v>0</v>
      </c>
      <c r="W192" s="996"/>
      <c r="X192" s="2988">
        <f t="shared" si="54"/>
        <v>0</v>
      </c>
      <c r="Y192" s="2988">
        <f t="shared" si="55"/>
        <v>0</v>
      </c>
      <c r="Z192" s="996"/>
    </row>
    <row r="193" spans="1:26">
      <c r="A193" s="35"/>
      <c r="B193" s="20"/>
      <c r="C193" s="13">
        <f t="shared" si="44"/>
        <v>1</v>
      </c>
      <c r="D193" s="599"/>
      <c r="E193" s="13">
        <f t="shared" si="45"/>
        <v>1</v>
      </c>
      <c r="F193" s="599"/>
      <c r="G193" s="13">
        <f t="shared" si="46"/>
        <v>1</v>
      </c>
      <c r="H193" s="599"/>
      <c r="I193" s="13">
        <f t="shared" si="47"/>
        <v>1</v>
      </c>
      <c r="J193" s="599"/>
      <c r="K193" s="13">
        <f t="shared" si="48"/>
        <v>1</v>
      </c>
      <c r="L193" s="599"/>
      <c r="M193" s="13">
        <f t="shared" si="49"/>
        <v>1</v>
      </c>
      <c r="N193" s="599"/>
      <c r="O193" s="13">
        <f t="shared" si="50"/>
        <v>1</v>
      </c>
      <c r="P193" s="599"/>
      <c r="Q193" s="13">
        <f t="shared" si="51"/>
        <v>0</v>
      </c>
      <c r="R193" s="596">
        <f t="shared" si="56"/>
        <v>0</v>
      </c>
      <c r="S193" s="250">
        <f t="shared" si="57"/>
        <v>0</v>
      </c>
      <c r="T193" s="899">
        <f t="shared" si="58"/>
        <v>0</v>
      </c>
      <c r="U193" s="2988">
        <f t="shared" si="52"/>
        <v>0</v>
      </c>
      <c r="V193" s="2988">
        <f t="shared" si="53"/>
        <v>0</v>
      </c>
      <c r="W193" s="996"/>
      <c r="X193" s="2988">
        <f t="shared" si="54"/>
        <v>0</v>
      </c>
      <c r="Y193" s="2988">
        <f t="shared" si="55"/>
        <v>0</v>
      </c>
      <c r="Z193" s="996"/>
    </row>
    <row r="194" spans="1:26">
      <c r="A194" s="35"/>
      <c r="B194" s="20"/>
      <c r="C194" s="13">
        <f t="shared" si="44"/>
        <v>1</v>
      </c>
      <c r="D194" s="599"/>
      <c r="E194" s="13">
        <f t="shared" si="45"/>
        <v>1</v>
      </c>
      <c r="F194" s="599"/>
      <c r="G194" s="13">
        <f t="shared" si="46"/>
        <v>1</v>
      </c>
      <c r="H194" s="599"/>
      <c r="I194" s="13">
        <f t="shared" si="47"/>
        <v>1</v>
      </c>
      <c r="J194" s="599"/>
      <c r="K194" s="13">
        <f t="shared" si="48"/>
        <v>1</v>
      </c>
      <c r="L194" s="599"/>
      <c r="M194" s="13">
        <f t="shared" si="49"/>
        <v>1</v>
      </c>
      <c r="N194" s="599"/>
      <c r="O194" s="13">
        <f t="shared" si="50"/>
        <v>1</v>
      </c>
      <c r="P194" s="599"/>
      <c r="Q194" s="13">
        <f t="shared" si="51"/>
        <v>0</v>
      </c>
      <c r="R194" s="596">
        <f t="shared" si="56"/>
        <v>0</v>
      </c>
      <c r="S194" s="250">
        <f t="shared" si="57"/>
        <v>0</v>
      </c>
      <c r="T194" s="899">
        <f t="shared" si="58"/>
        <v>0</v>
      </c>
      <c r="U194" s="2988">
        <f t="shared" si="52"/>
        <v>0</v>
      </c>
      <c r="V194" s="2988">
        <f t="shared" si="53"/>
        <v>0</v>
      </c>
      <c r="W194" s="996"/>
      <c r="X194" s="2988">
        <f t="shared" si="54"/>
        <v>0</v>
      </c>
      <c r="Y194" s="2988">
        <f t="shared" si="55"/>
        <v>0</v>
      </c>
      <c r="Z194" s="996"/>
    </row>
    <row r="195" spans="1:26">
      <c r="A195" s="35"/>
      <c r="B195" s="20"/>
      <c r="C195" s="13">
        <f t="shared" si="44"/>
        <v>1</v>
      </c>
      <c r="D195" s="599"/>
      <c r="E195" s="13">
        <f t="shared" si="45"/>
        <v>1</v>
      </c>
      <c r="F195" s="599"/>
      <c r="G195" s="13">
        <f t="shared" si="46"/>
        <v>1</v>
      </c>
      <c r="H195" s="599"/>
      <c r="I195" s="13">
        <f t="shared" si="47"/>
        <v>1</v>
      </c>
      <c r="J195" s="599"/>
      <c r="K195" s="13">
        <f t="shared" si="48"/>
        <v>1</v>
      </c>
      <c r="L195" s="599"/>
      <c r="M195" s="13">
        <f t="shared" si="49"/>
        <v>1</v>
      </c>
      <c r="N195" s="599"/>
      <c r="O195" s="13">
        <f t="shared" si="50"/>
        <v>1</v>
      </c>
      <c r="P195" s="599"/>
      <c r="Q195" s="13">
        <f t="shared" si="51"/>
        <v>0</v>
      </c>
      <c r="R195" s="596">
        <f t="shared" si="56"/>
        <v>0</v>
      </c>
      <c r="S195" s="250">
        <f t="shared" si="57"/>
        <v>0</v>
      </c>
      <c r="T195" s="899">
        <f t="shared" si="58"/>
        <v>0</v>
      </c>
      <c r="U195" s="2988">
        <f t="shared" si="52"/>
        <v>0</v>
      </c>
      <c r="V195" s="2988">
        <f t="shared" si="53"/>
        <v>0</v>
      </c>
      <c r="W195" s="996"/>
      <c r="X195" s="2988">
        <f t="shared" si="54"/>
        <v>0</v>
      </c>
      <c r="Y195" s="2988">
        <f t="shared" si="55"/>
        <v>0</v>
      </c>
      <c r="Z195" s="996"/>
    </row>
    <row r="196" spans="1:26">
      <c r="A196" s="35"/>
      <c r="B196" s="20"/>
      <c r="C196" s="13">
        <f t="shared" si="44"/>
        <v>1</v>
      </c>
      <c r="D196" s="599"/>
      <c r="E196" s="13">
        <f t="shared" si="45"/>
        <v>1</v>
      </c>
      <c r="F196" s="599"/>
      <c r="G196" s="13">
        <f t="shared" si="46"/>
        <v>1</v>
      </c>
      <c r="H196" s="599"/>
      <c r="I196" s="13">
        <f t="shared" si="47"/>
        <v>1</v>
      </c>
      <c r="J196" s="599"/>
      <c r="K196" s="13">
        <f t="shared" si="48"/>
        <v>1</v>
      </c>
      <c r="L196" s="599"/>
      <c r="M196" s="13">
        <f t="shared" si="49"/>
        <v>1</v>
      </c>
      <c r="N196" s="599"/>
      <c r="O196" s="13">
        <f t="shared" si="50"/>
        <v>1</v>
      </c>
      <c r="P196" s="599"/>
      <c r="Q196" s="13">
        <f t="shared" si="51"/>
        <v>0</v>
      </c>
      <c r="R196" s="596">
        <f t="shared" si="56"/>
        <v>0</v>
      </c>
      <c r="S196" s="250">
        <f t="shared" si="57"/>
        <v>0</v>
      </c>
      <c r="T196" s="899">
        <f t="shared" si="58"/>
        <v>0</v>
      </c>
      <c r="U196" s="2988">
        <f t="shared" si="52"/>
        <v>0</v>
      </c>
      <c r="V196" s="2988">
        <f t="shared" si="53"/>
        <v>0</v>
      </c>
      <c r="W196" s="996"/>
      <c r="X196" s="2988">
        <f t="shared" si="54"/>
        <v>0</v>
      </c>
      <c r="Y196" s="2988">
        <f t="shared" si="55"/>
        <v>0</v>
      </c>
      <c r="Z196" s="996"/>
    </row>
    <row r="197" spans="1:26">
      <c r="A197" s="35"/>
      <c r="B197" s="20"/>
      <c r="C197" s="13">
        <f t="shared" si="44"/>
        <v>1</v>
      </c>
      <c r="D197" s="599"/>
      <c r="E197" s="13">
        <f t="shared" si="45"/>
        <v>1</v>
      </c>
      <c r="F197" s="599"/>
      <c r="G197" s="13">
        <f t="shared" si="46"/>
        <v>1</v>
      </c>
      <c r="H197" s="599"/>
      <c r="I197" s="13">
        <f t="shared" si="47"/>
        <v>1</v>
      </c>
      <c r="J197" s="599"/>
      <c r="K197" s="13">
        <f t="shared" si="48"/>
        <v>1</v>
      </c>
      <c r="L197" s="599"/>
      <c r="M197" s="13">
        <f t="shared" si="49"/>
        <v>1</v>
      </c>
      <c r="N197" s="599"/>
      <c r="O197" s="13">
        <f t="shared" si="50"/>
        <v>1</v>
      </c>
      <c r="P197" s="599"/>
      <c r="Q197" s="13">
        <f t="shared" si="51"/>
        <v>0</v>
      </c>
      <c r="R197" s="596">
        <f t="shared" si="56"/>
        <v>0</v>
      </c>
      <c r="S197" s="250">
        <f t="shared" si="57"/>
        <v>0</v>
      </c>
      <c r="T197" s="899">
        <f t="shared" si="58"/>
        <v>0</v>
      </c>
      <c r="U197" s="2988">
        <f t="shared" si="52"/>
        <v>0</v>
      </c>
      <c r="V197" s="2988">
        <f t="shared" si="53"/>
        <v>0</v>
      </c>
      <c r="W197" s="996"/>
      <c r="X197" s="2988">
        <f t="shared" si="54"/>
        <v>0</v>
      </c>
      <c r="Y197" s="2988">
        <f t="shared" si="55"/>
        <v>0</v>
      </c>
      <c r="Z197" s="996"/>
    </row>
    <row r="198" spans="1:26">
      <c r="A198" s="35"/>
      <c r="B198" s="20"/>
      <c r="C198" s="13">
        <f t="shared" si="44"/>
        <v>1</v>
      </c>
      <c r="D198" s="599"/>
      <c r="E198" s="13">
        <f t="shared" si="45"/>
        <v>1</v>
      </c>
      <c r="F198" s="599"/>
      <c r="G198" s="13">
        <f t="shared" si="46"/>
        <v>1</v>
      </c>
      <c r="H198" s="599"/>
      <c r="I198" s="13">
        <f t="shared" si="47"/>
        <v>1</v>
      </c>
      <c r="J198" s="599"/>
      <c r="K198" s="13">
        <f t="shared" si="48"/>
        <v>1</v>
      </c>
      <c r="L198" s="599"/>
      <c r="M198" s="13">
        <f t="shared" si="49"/>
        <v>1</v>
      </c>
      <c r="N198" s="599"/>
      <c r="O198" s="13">
        <f t="shared" si="50"/>
        <v>1</v>
      </c>
      <c r="P198" s="599"/>
      <c r="Q198" s="13">
        <f t="shared" si="51"/>
        <v>0</v>
      </c>
      <c r="R198" s="596">
        <f t="shared" si="56"/>
        <v>0</v>
      </c>
      <c r="S198" s="250">
        <f t="shared" si="57"/>
        <v>0</v>
      </c>
      <c r="T198" s="899">
        <f t="shared" si="58"/>
        <v>0</v>
      </c>
      <c r="U198" s="2988">
        <f t="shared" si="52"/>
        <v>0</v>
      </c>
      <c r="V198" s="2988">
        <f t="shared" si="53"/>
        <v>0</v>
      </c>
      <c r="W198" s="996"/>
      <c r="X198" s="2988">
        <f t="shared" si="54"/>
        <v>0</v>
      </c>
      <c r="Y198" s="2988">
        <f t="shared" si="55"/>
        <v>0</v>
      </c>
      <c r="Z198" s="996"/>
    </row>
    <row r="199" spans="1:26">
      <c r="A199" s="35"/>
      <c r="B199" s="20"/>
      <c r="C199" s="13">
        <f t="shared" si="44"/>
        <v>1</v>
      </c>
      <c r="D199" s="599"/>
      <c r="E199" s="13">
        <f t="shared" si="45"/>
        <v>1</v>
      </c>
      <c r="F199" s="599"/>
      <c r="G199" s="13">
        <f t="shared" si="46"/>
        <v>1</v>
      </c>
      <c r="H199" s="599"/>
      <c r="I199" s="13">
        <f t="shared" si="47"/>
        <v>1</v>
      </c>
      <c r="J199" s="599"/>
      <c r="K199" s="13">
        <f t="shared" si="48"/>
        <v>1</v>
      </c>
      <c r="L199" s="599"/>
      <c r="M199" s="13">
        <f t="shared" si="49"/>
        <v>1</v>
      </c>
      <c r="N199" s="599"/>
      <c r="O199" s="13">
        <f t="shared" si="50"/>
        <v>1</v>
      </c>
      <c r="P199" s="599"/>
      <c r="Q199" s="13">
        <f t="shared" si="51"/>
        <v>0</v>
      </c>
      <c r="R199" s="596">
        <f t="shared" si="56"/>
        <v>0</v>
      </c>
      <c r="S199" s="250">
        <f t="shared" si="57"/>
        <v>0</v>
      </c>
      <c r="T199" s="899">
        <f t="shared" si="58"/>
        <v>0</v>
      </c>
      <c r="U199" s="2988">
        <f t="shared" si="52"/>
        <v>0</v>
      </c>
      <c r="V199" s="2988">
        <f t="shared" si="53"/>
        <v>0</v>
      </c>
      <c r="W199" s="996"/>
      <c r="X199" s="2988">
        <f t="shared" si="54"/>
        <v>0</v>
      </c>
      <c r="Y199" s="2988">
        <f t="shared" si="55"/>
        <v>0</v>
      </c>
      <c r="Z199" s="996"/>
    </row>
    <row r="200" spans="1:26">
      <c r="A200" s="35"/>
      <c r="B200" s="20"/>
      <c r="C200" s="13">
        <f t="shared" si="44"/>
        <v>1</v>
      </c>
      <c r="D200" s="599"/>
      <c r="E200" s="13">
        <f t="shared" si="45"/>
        <v>1</v>
      </c>
      <c r="F200" s="599"/>
      <c r="G200" s="13">
        <f t="shared" si="46"/>
        <v>1</v>
      </c>
      <c r="H200" s="599"/>
      <c r="I200" s="13">
        <f t="shared" si="47"/>
        <v>1</v>
      </c>
      <c r="J200" s="599"/>
      <c r="K200" s="13">
        <f t="shared" si="48"/>
        <v>1</v>
      </c>
      <c r="L200" s="599"/>
      <c r="M200" s="13">
        <f t="shared" si="49"/>
        <v>1</v>
      </c>
      <c r="N200" s="599"/>
      <c r="O200" s="13">
        <f t="shared" si="50"/>
        <v>1</v>
      </c>
      <c r="P200" s="599"/>
      <c r="Q200" s="13">
        <f t="shared" si="51"/>
        <v>0</v>
      </c>
      <c r="R200" s="596">
        <f t="shared" si="56"/>
        <v>0</v>
      </c>
      <c r="S200" s="250">
        <f t="shared" si="57"/>
        <v>0</v>
      </c>
      <c r="T200" s="899">
        <f t="shared" si="58"/>
        <v>0</v>
      </c>
      <c r="U200" s="2988">
        <f t="shared" si="52"/>
        <v>0</v>
      </c>
      <c r="V200" s="2988">
        <f t="shared" si="53"/>
        <v>0</v>
      </c>
      <c r="W200" s="996"/>
      <c r="X200" s="2988">
        <f t="shared" si="54"/>
        <v>0</v>
      </c>
      <c r="Y200" s="2988">
        <f t="shared" si="55"/>
        <v>0</v>
      </c>
      <c r="Z200" s="996"/>
    </row>
    <row r="201" spans="1:26">
      <c r="A201" s="35"/>
      <c r="B201" s="20"/>
      <c r="C201" s="13">
        <f t="shared" si="44"/>
        <v>1</v>
      </c>
      <c r="D201" s="599"/>
      <c r="E201" s="13">
        <f t="shared" si="45"/>
        <v>1</v>
      </c>
      <c r="F201" s="599"/>
      <c r="G201" s="13">
        <f t="shared" si="46"/>
        <v>1</v>
      </c>
      <c r="H201" s="599"/>
      <c r="I201" s="13">
        <f t="shared" si="47"/>
        <v>1</v>
      </c>
      <c r="J201" s="599"/>
      <c r="K201" s="13">
        <f t="shared" si="48"/>
        <v>1</v>
      </c>
      <c r="L201" s="599"/>
      <c r="M201" s="13">
        <f t="shared" si="49"/>
        <v>1</v>
      </c>
      <c r="N201" s="599"/>
      <c r="O201" s="13">
        <f t="shared" si="50"/>
        <v>1</v>
      </c>
      <c r="P201" s="599"/>
      <c r="Q201" s="13">
        <f t="shared" si="51"/>
        <v>0</v>
      </c>
      <c r="R201" s="596">
        <f t="shared" si="56"/>
        <v>0</v>
      </c>
      <c r="S201" s="250">
        <f t="shared" si="57"/>
        <v>0</v>
      </c>
      <c r="T201" s="899">
        <f t="shared" si="58"/>
        <v>0</v>
      </c>
      <c r="U201" s="2988">
        <f t="shared" si="52"/>
        <v>0</v>
      </c>
      <c r="V201" s="2988">
        <f t="shared" si="53"/>
        <v>0</v>
      </c>
      <c r="W201" s="996"/>
      <c r="X201" s="2988">
        <f t="shared" si="54"/>
        <v>0</v>
      </c>
      <c r="Y201" s="2988">
        <f t="shared" si="55"/>
        <v>0</v>
      </c>
      <c r="Z201" s="996"/>
    </row>
    <row r="202" spans="1:26">
      <c r="A202" s="35"/>
      <c r="B202" s="20"/>
      <c r="C202" s="13">
        <f t="shared" si="44"/>
        <v>1</v>
      </c>
      <c r="D202" s="599"/>
      <c r="E202" s="13">
        <f t="shared" si="45"/>
        <v>1</v>
      </c>
      <c r="F202" s="599"/>
      <c r="G202" s="13">
        <f t="shared" si="46"/>
        <v>1</v>
      </c>
      <c r="H202" s="599"/>
      <c r="I202" s="13">
        <f t="shared" si="47"/>
        <v>1</v>
      </c>
      <c r="J202" s="599"/>
      <c r="K202" s="13">
        <f t="shared" si="48"/>
        <v>1</v>
      </c>
      <c r="L202" s="599"/>
      <c r="M202" s="13">
        <f t="shared" si="49"/>
        <v>1</v>
      </c>
      <c r="N202" s="599"/>
      <c r="O202" s="13">
        <f t="shared" si="50"/>
        <v>1</v>
      </c>
      <c r="P202" s="599"/>
      <c r="Q202" s="13">
        <f t="shared" si="51"/>
        <v>0</v>
      </c>
      <c r="R202" s="596">
        <f t="shared" si="56"/>
        <v>0</v>
      </c>
      <c r="S202" s="250">
        <f t="shared" si="57"/>
        <v>0</v>
      </c>
      <c r="T202" s="899">
        <f t="shared" si="58"/>
        <v>0</v>
      </c>
      <c r="U202" s="2988">
        <f t="shared" si="52"/>
        <v>0</v>
      </c>
      <c r="V202" s="2988">
        <f t="shared" si="53"/>
        <v>0</v>
      </c>
      <c r="W202" s="996"/>
      <c r="X202" s="2988">
        <f t="shared" si="54"/>
        <v>0</v>
      </c>
      <c r="Y202" s="2988">
        <f t="shared" si="55"/>
        <v>0</v>
      </c>
      <c r="Z202" s="996"/>
    </row>
    <row r="203" spans="1:26">
      <c r="A203" s="35"/>
      <c r="B203" s="20"/>
      <c r="C203" s="13">
        <f t="shared" si="44"/>
        <v>1</v>
      </c>
      <c r="D203" s="599"/>
      <c r="E203" s="13">
        <f t="shared" si="45"/>
        <v>1</v>
      </c>
      <c r="F203" s="599"/>
      <c r="G203" s="13">
        <f t="shared" si="46"/>
        <v>1</v>
      </c>
      <c r="H203" s="599"/>
      <c r="I203" s="13">
        <f t="shared" si="47"/>
        <v>1</v>
      </c>
      <c r="J203" s="599"/>
      <c r="K203" s="13">
        <f t="shared" si="48"/>
        <v>1</v>
      </c>
      <c r="L203" s="599"/>
      <c r="M203" s="13">
        <f t="shared" si="49"/>
        <v>1</v>
      </c>
      <c r="N203" s="599"/>
      <c r="O203" s="13">
        <f t="shared" si="50"/>
        <v>1</v>
      </c>
      <c r="P203" s="599"/>
      <c r="Q203" s="13">
        <f t="shared" si="51"/>
        <v>0</v>
      </c>
      <c r="R203" s="596">
        <f t="shared" si="56"/>
        <v>0</v>
      </c>
      <c r="S203" s="250">
        <f t="shared" si="57"/>
        <v>0</v>
      </c>
      <c r="T203" s="899">
        <f t="shared" si="58"/>
        <v>0</v>
      </c>
      <c r="U203" s="2988">
        <f t="shared" si="52"/>
        <v>0</v>
      </c>
      <c r="V203" s="2988">
        <f t="shared" si="53"/>
        <v>0</v>
      </c>
      <c r="W203" s="996"/>
      <c r="X203" s="2988">
        <f t="shared" si="54"/>
        <v>0</v>
      </c>
      <c r="Y203" s="2988">
        <f t="shared" si="55"/>
        <v>0</v>
      </c>
      <c r="Z203" s="996"/>
    </row>
    <row r="204" spans="1:26">
      <c r="A204" s="35"/>
      <c r="B204" s="20"/>
      <c r="C204" s="13">
        <f t="shared" si="44"/>
        <v>1</v>
      </c>
      <c r="D204" s="599"/>
      <c r="E204" s="13">
        <f t="shared" si="45"/>
        <v>1</v>
      </c>
      <c r="F204" s="599"/>
      <c r="G204" s="13">
        <f t="shared" si="46"/>
        <v>1</v>
      </c>
      <c r="H204" s="599"/>
      <c r="I204" s="13">
        <f t="shared" si="47"/>
        <v>1</v>
      </c>
      <c r="J204" s="599"/>
      <c r="K204" s="13">
        <f t="shared" si="48"/>
        <v>1</v>
      </c>
      <c r="L204" s="599"/>
      <c r="M204" s="13">
        <f t="shared" si="49"/>
        <v>1</v>
      </c>
      <c r="N204" s="599"/>
      <c r="O204" s="13">
        <f t="shared" si="50"/>
        <v>1</v>
      </c>
      <c r="P204" s="599"/>
      <c r="Q204" s="13">
        <f t="shared" si="51"/>
        <v>0</v>
      </c>
      <c r="R204" s="596">
        <f t="shared" si="56"/>
        <v>0</v>
      </c>
      <c r="S204" s="250">
        <f t="shared" si="57"/>
        <v>0</v>
      </c>
      <c r="T204" s="899">
        <f t="shared" si="58"/>
        <v>0</v>
      </c>
      <c r="U204" s="2988">
        <f t="shared" si="52"/>
        <v>0</v>
      </c>
      <c r="V204" s="2988">
        <f t="shared" si="53"/>
        <v>0</v>
      </c>
      <c r="W204" s="996"/>
      <c r="X204" s="2988">
        <f t="shared" si="54"/>
        <v>0</v>
      </c>
      <c r="Y204" s="2988">
        <f t="shared" si="55"/>
        <v>0</v>
      </c>
      <c r="Z204" s="996"/>
    </row>
    <row r="205" spans="1:26">
      <c r="A205" s="35"/>
      <c r="B205" s="20"/>
      <c r="C205" s="13">
        <f t="shared" si="44"/>
        <v>1</v>
      </c>
      <c r="D205" s="599"/>
      <c r="E205" s="13">
        <f t="shared" si="45"/>
        <v>1</v>
      </c>
      <c r="F205" s="599"/>
      <c r="G205" s="13">
        <f t="shared" si="46"/>
        <v>1</v>
      </c>
      <c r="H205" s="599"/>
      <c r="I205" s="13">
        <f t="shared" si="47"/>
        <v>1</v>
      </c>
      <c r="J205" s="599"/>
      <c r="K205" s="13">
        <f t="shared" si="48"/>
        <v>1</v>
      </c>
      <c r="L205" s="599"/>
      <c r="M205" s="13">
        <f t="shared" si="49"/>
        <v>1</v>
      </c>
      <c r="N205" s="599"/>
      <c r="O205" s="13">
        <f t="shared" si="50"/>
        <v>1</v>
      </c>
      <c r="P205" s="599"/>
      <c r="Q205" s="13">
        <f t="shared" si="51"/>
        <v>0</v>
      </c>
      <c r="R205" s="596">
        <f t="shared" si="56"/>
        <v>0</v>
      </c>
      <c r="S205" s="250">
        <f t="shared" si="57"/>
        <v>0</v>
      </c>
      <c r="T205" s="899">
        <f t="shared" si="58"/>
        <v>0</v>
      </c>
      <c r="U205" s="2988">
        <f t="shared" si="52"/>
        <v>0</v>
      </c>
      <c r="V205" s="2988">
        <f t="shared" si="53"/>
        <v>0</v>
      </c>
      <c r="W205" s="996"/>
      <c r="X205" s="2988">
        <f t="shared" si="54"/>
        <v>0</v>
      </c>
      <c r="Y205" s="2988">
        <f t="shared" si="55"/>
        <v>0</v>
      </c>
      <c r="Z205" s="996"/>
    </row>
    <row r="206" spans="1:26">
      <c r="A206" s="35"/>
      <c r="B206" s="20"/>
      <c r="C206" s="13">
        <f t="shared" si="44"/>
        <v>1</v>
      </c>
      <c r="D206" s="599"/>
      <c r="E206" s="13">
        <f t="shared" si="45"/>
        <v>1</v>
      </c>
      <c r="F206" s="599"/>
      <c r="G206" s="13">
        <f t="shared" si="46"/>
        <v>1</v>
      </c>
      <c r="H206" s="599"/>
      <c r="I206" s="13">
        <f t="shared" si="47"/>
        <v>1</v>
      </c>
      <c r="J206" s="599"/>
      <c r="K206" s="13">
        <f t="shared" si="48"/>
        <v>1</v>
      </c>
      <c r="L206" s="599"/>
      <c r="M206" s="13">
        <f t="shared" si="49"/>
        <v>1</v>
      </c>
      <c r="N206" s="599"/>
      <c r="O206" s="13">
        <f t="shared" si="50"/>
        <v>1</v>
      </c>
      <c r="P206" s="599"/>
      <c r="Q206" s="13">
        <f t="shared" si="51"/>
        <v>0</v>
      </c>
      <c r="R206" s="596">
        <f t="shared" si="56"/>
        <v>0</v>
      </c>
      <c r="S206" s="250">
        <f t="shared" si="57"/>
        <v>0</v>
      </c>
      <c r="T206" s="899">
        <f t="shared" si="58"/>
        <v>0</v>
      </c>
      <c r="U206" s="2988">
        <f t="shared" si="52"/>
        <v>0</v>
      </c>
      <c r="V206" s="2988">
        <f t="shared" si="53"/>
        <v>0</v>
      </c>
      <c r="W206" s="996"/>
      <c r="X206" s="2988">
        <f t="shared" si="54"/>
        <v>0</v>
      </c>
      <c r="Y206" s="2988">
        <f t="shared" si="55"/>
        <v>0</v>
      </c>
      <c r="Z206" s="996"/>
    </row>
    <row r="207" spans="1:26">
      <c r="A207" s="35"/>
      <c r="B207" s="20"/>
      <c r="C207" s="13">
        <f t="shared" si="44"/>
        <v>1</v>
      </c>
      <c r="D207" s="599"/>
      <c r="E207" s="13">
        <f t="shared" si="45"/>
        <v>1</v>
      </c>
      <c r="F207" s="599"/>
      <c r="G207" s="13">
        <f t="shared" si="46"/>
        <v>1</v>
      </c>
      <c r="H207" s="599"/>
      <c r="I207" s="13">
        <f t="shared" si="47"/>
        <v>1</v>
      </c>
      <c r="J207" s="599"/>
      <c r="K207" s="13">
        <f t="shared" si="48"/>
        <v>1</v>
      </c>
      <c r="L207" s="599"/>
      <c r="M207" s="13">
        <f t="shared" si="49"/>
        <v>1</v>
      </c>
      <c r="N207" s="599"/>
      <c r="O207" s="13">
        <f t="shared" si="50"/>
        <v>1</v>
      </c>
      <c r="P207" s="599"/>
      <c r="Q207" s="13">
        <f t="shared" si="51"/>
        <v>0</v>
      </c>
      <c r="R207" s="596">
        <f t="shared" si="56"/>
        <v>0</v>
      </c>
      <c r="S207" s="250">
        <f t="shared" si="57"/>
        <v>0</v>
      </c>
      <c r="T207" s="899">
        <f t="shared" si="58"/>
        <v>0</v>
      </c>
      <c r="U207" s="2988">
        <f t="shared" si="52"/>
        <v>0</v>
      </c>
      <c r="V207" s="2988">
        <f t="shared" si="53"/>
        <v>0</v>
      </c>
      <c r="W207" s="996"/>
      <c r="X207" s="2988">
        <f t="shared" si="54"/>
        <v>0</v>
      </c>
      <c r="Y207" s="2988">
        <f t="shared" si="55"/>
        <v>0</v>
      </c>
      <c r="Z207" s="996"/>
    </row>
    <row r="208" spans="1:26">
      <c r="A208" s="35"/>
      <c r="B208" s="20"/>
      <c r="C208" s="13">
        <f t="shared" si="44"/>
        <v>1</v>
      </c>
      <c r="D208" s="599"/>
      <c r="E208" s="13">
        <f t="shared" si="45"/>
        <v>1</v>
      </c>
      <c r="F208" s="599"/>
      <c r="G208" s="13">
        <f t="shared" si="46"/>
        <v>1</v>
      </c>
      <c r="H208" s="599"/>
      <c r="I208" s="13">
        <f t="shared" si="47"/>
        <v>1</v>
      </c>
      <c r="J208" s="599"/>
      <c r="K208" s="13">
        <f t="shared" si="48"/>
        <v>1</v>
      </c>
      <c r="L208" s="599"/>
      <c r="M208" s="13">
        <f t="shared" si="49"/>
        <v>1</v>
      </c>
      <c r="N208" s="599"/>
      <c r="O208" s="13">
        <f t="shared" si="50"/>
        <v>1</v>
      </c>
      <c r="P208" s="599"/>
      <c r="Q208" s="13">
        <f t="shared" si="51"/>
        <v>0</v>
      </c>
      <c r="R208" s="596">
        <f t="shared" si="56"/>
        <v>0</v>
      </c>
      <c r="S208" s="250">
        <f t="shared" si="57"/>
        <v>0</v>
      </c>
      <c r="T208" s="899">
        <f t="shared" si="58"/>
        <v>0</v>
      </c>
      <c r="U208" s="2988">
        <f t="shared" si="52"/>
        <v>0</v>
      </c>
      <c r="V208" s="2988">
        <f t="shared" si="53"/>
        <v>0</v>
      </c>
      <c r="W208" s="996"/>
      <c r="X208" s="2988">
        <f t="shared" si="54"/>
        <v>0</v>
      </c>
      <c r="Y208" s="2988">
        <f t="shared" si="55"/>
        <v>0</v>
      </c>
      <c r="Z208" s="996"/>
    </row>
    <row r="209" spans="1:26">
      <c r="A209" s="35"/>
      <c r="B209" s="20"/>
      <c r="C209" s="13">
        <f t="shared" si="44"/>
        <v>1</v>
      </c>
      <c r="D209" s="599"/>
      <c r="E209" s="13">
        <f t="shared" si="45"/>
        <v>1</v>
      </c>
      <c r="F209" s="599"/>
      <c r="G209" s="13">
        <f t="shared" si="46"/>
        <v>1</v>
      </c>
      <c r="H209" s="599"/>
      <c r="I209" s="13">
        <f t="shared" si="47"/>
        <v>1</v>
      </c>
      <c r="J209" s="599"/>
      <c r="K209" s="13">
        <f t="shared" si="48"/>
        <v>1</v>
      </c>
      <c r="L209" s="599"/>
      <c r="M209" s="13">
        <f t="shared" si="49"/>
        <v>1</v>
      </c>
      <c r="N209" s="599"/>
      <c r="O209" s="13">
        <f t="shared" si="50"/>
        <v>1</v>
      </c>
      <c r="P209" s="599"/>
      <c r="Q209" s="13">
        <f t="shared" si="51"/>
        <v>0</v>
      </c>
      <c r="R209" s="596">
        <f t="shared" si="56"/>
        <v>0</v>
      </c>
      <c r="S209" s="250">
        <f t="shared" si="57"/>
        <v>0</v>
      </c>
      <c r="T209" s="899">
        <f t="shared" si="58"/>
        <v>0</v>
      </c>
      <c r="U209" s="2988">
        <f t="shared" si="52"/>
        <v>0</v>
      </c>
      <c r="V209" s="2988">
        <f t="shared" si="53"/>
        <v>0</v>
      </c>
      <c r="W209" s="996"/>
      <c r="X209" s="2988">
        <f t="shared" si="54"/>
        <v>0</v>
      </c>
      <c r="Y209" s="2988">
        <f t="shared" si="55"/>
        <v>0</v>
      </c>
      <c r="Z209" s="996"/>
    </row>
    <row r="210" spans="1:26">
      <c r="A210" s="35"/>
      <c r="B210" s="20"/>
      <c r="C210" s="13">
        <f t="shared" si="44"/>
        <v>1</v>
      </c>
      <c r="D210" s="599"/>
      <c r="E210" s="13">
        <f t="shared" si="45"/>
        <v>1</v>
      </c>
      <c r="F210" s="599"/>
      <c r="G210" s="13">
        <f t="shared" si="46"/>
        <v>1</v>
      </c>
      <c r="H210" s="599"/>
      <c r="I210" s="13">
        <f t="shared" si="47"/>
        <v>1</v>
      </c>
      <c r="J210" s="599"/>
      <c r="K210" s="13">
        <f t="shared" si="48"/>
        <v>1</v>
      </c>
      <c r="L210" s="599"/>
      <c r="M210" s="13">
        <f t="shared" si="49"/>
        <v>1</v>
      </c>
      <c r="N210" s="599"/>
      <c r="O210" s="13">
        <f t="shared" si="50"/>
        <v>1</v>
      </c>
      <c r="P210" s="599"/>
      <c r="Q210" s="13">
        <f t="shared" si="51"/>
        <v>0</v>
      </c>
      <c r="R210" s="596">
        <f t="shared" si="56"/>
        <v>0</v>
      </c>
      <c r="S210" s="250">
        <f t="shared" si="57"/>
        <v>0</v>
      </c>
      <c r="T210" s="899">
        <f t="shared" si="58"/>
        <v>0</v>
      </c>
      <c r="U210" s="2988">
        <f t="shared" si="52"/>
        <v>0</v>
      </c>
      <c r="V210" s="2988">
        <f t="shared" si="53"/>
        <v>0</v>
      </c>
      <c r="W210" s="996"/>
      <c r="X210" s="2988">
        <f t="shared" si="54"/>
        <v>0</v>
      </c>
      <c r="Y210" s="2988">
        <f t="shared" si="55"/>
        <v>0</v>
      </c>
      <c r="Z210" s="996"/>
    </row>
    <row r="211" spans="1:26">
      <c r="A211" s="35"/>
      <c r="B211" s="20"/>
      <c r="C211" s="13">
        <f t="shared" si="44"/>
        <v>1</v>
      </c>
      <c r="D211" s="599"/>
      <c r="E211" s="13">
        <f t="shared" si="45"/>
        <v>1</v>
      </c>
      <c r="F211" s="599"/>
      <c r="G211" s="13">
        <f t="shared" si="46"/>
        <v>1</v>
      </c>
      <c r="H211" s="599"/>
      <c r="I211" s="13">
        <f t="shared" si="47"/>
        <v>1</v>
      </c>
      <c r="J211" s="599"/>
      <c r="K211" s="13">
        <f t="shared" si="48"/>
        <v>1</v>
      </c>
      <c r="L211" s="599"/>
      <c r="M211" s="13">
        <f t="shared" si="49"/>
        <v>1</v>
      </c>
      <c r="N211" s="599"/>
      <c r="O211" s="13">
        <f t="shared" si="50"/>
        <v>1</v>
      </c>
      <c r="P211" s="599"/>
      <c r="Q211" s="13">
        <f t="shared" si="51"/>
        <v>0</v>
      </c>
      <c r="R211" s="596">
        <f t="shared" si="56"/>
        <v>0</v>
      </c>
      <c r="S211" s="250">
        <f t="shared" si="57"/>
        <v>0</v>
      </c>
      <c r="T211" s="899">
        <f t="shared" si="58"/>
        <v>0</v>
      </c>
      <c r="U211" s="2988">
        <f t="shared" si="52"/>
        <v>0</v>
      </c>
      <c r="V211" s="2988">
        <f t="shared" si="53"/>
        <v>0</v>
      </c>
      <c r="W211" s="996"/>
      <c r="X211" s="2988">
        <f t="shared" si="54"/>
        <v>0</v>
      </c>
      <c r="Y211" s="2988">
        <f t="shared" si="55"/>
        <v>0</v>
      </c>
      <c r="Z211" s="996"/>
    </row>
    <row r="212" spans="1:26">
      <c r="A212" s="35"/>
      <c r="B212" s="20"/>
      <c r="C212" s="13">
        <f t="shared" si="44"/>
        <v>1</v>
      </c>
      <c r="D212" s="599"/>
      <c r="E212" s="13">
        <f t="shared" si="45"/>
        <v>1</v>
      </c>
      <c r="F212" s="599"/>
      <c r="G212" s="13">
        <f t="shared" si="46"/>
        <v>1</v>
      </c>
      <c r="H212" s="599"/>
      <c r="I212" s="13">
        <f t="shared" si="47"/>
        <v>1</v>
      </c>
      <c r="J212" s="599"/>
      <c r="K212" s="13">
        <f t="shared" si="48"/>
        <v>1</v>
      </c>
      <c r="L212" s="599"/>
      <c r="M212" s="13">
        <f t="shared" si="49"/>
        <v>1</v>
      </c>
      <c r="N212" s="599"/>
      <c r="O212" s="13">
        <f t="shared" si="50"/>
        <v>1</v>
      </c>
      <c r="P212" s="599"/>
      <c r="Q212" s="13">
        <f t="shared" si="51"/>
        <v>0</v>
      </c>
      <c r="R212" s="596">
        <f t="shared" si="56"/>
        <v>0</v>
      </c>
      <c r="S212" s="250">
        <f t="shared" si="57"/>
        <v>0</v>
      </c>
      <c r="T212" s="899">
        <f t="shared" si="58"/>
        <v>0</v>
      </c>
      <c r="U212" s="2988">
        <f t="shared" si="52"/>
        <v>0</v>
      </c>
      <c r="V212" s="2988">
        <f t="shared" si="53"/>
        <v>0</v>
      </c>
      <c r="W212" s="996"/>
      <c r="X212" s="2988">
        <f t="shared" si="54"/>
        <v>0</v>
      </c>
      <c r="Y212" s="2988">
        <f t="shared" si="55"/>
        <v>0</v>
      </c>
      <c r="Z212" s="996"/>
    </row>
    <row r="213" spans="1:26">
      <c r="A213" s="35"/>
      <c r="B213" s="20"/>
      <c r="C213" s="13">
        <f t="shared" si="44"/>
        <v>1</v>
      </c>
      <c r="D213" s="599"/>
      <c r="E213" s="13">
        <f t="shared" si="45"/>
        <v>1</v>
      </c>
      <c r="F213" s="599"/>
      <c r="G213" s="13">
        <f t="shared" si="46"/>
        <v>1</v>
      </c>
      <c r="H213" s="599"/>
      <c r="I213" s="13">
        <f t="shared" si="47"/>
        <v>1</v>
      </c>
      <c r="J213" s="599"/>
      <c r="K213" s="13">
        <f t="shared" si="48"/>
        <v>1</v>
      </c>
      <c r="L213" s="599"/>
      <c r="M213" s="13">
        <f t="shared" si="49"/>
        <v>1</v>
      </c>
      <c r="N213" s="599"/>
      <c r="O213" s="13">
        <f t="shared" si="50"/>
        <v>1</v>
      </c>
      <c r="P213" s="599"/>
      <c r="Q213" s="13">
        <f t="shared" si="51"/>
        <v>0</v>
      </c>
      <c r="R213" s="596">
        <f t="shared" si="56"/>
        <v>0</v>
      </c>
      <c r="S213" s="250">
        <f t="shared" si="57"/>
        <v>0</v>
      </c>
      <c r="T213" s="899">
        <f t="shared" si="58"/>
        <v>0</v>
      </c>
      <c r="U213" s="2988">
        <f t="shared" si="52"/>
        <v>0</v>
      </c>
      <c r="V213" s="2988">
        <f t="shared" si="53"/>
        <v>0</v>
      </c>
      <c r="W213" s="996"/>
      <c r="X213" s="2988">
        <f t="shared" si="54"/>
        <v>0</v>
      </c>
      <c r="Y213" s="2988">
        <f t="shared" si="55"/>
        <v>0</v>
      </c>
      <c r="Z213" s="996"/>
    </row>
    <row r="214" spans="1:26">
      <c r="A214" s="35"/>
      <c r="B214" s="20"/>
      <c r="C214" s="13">
        <f t="shared" si="44"/>
        <v>1</v>
      </c>
      <c r="D214" s="599"/>
      <c r="E214" s="13">
        <f t="shared" si="45"/>
        <v>1</v>
      </c>
      <c r="F214" s="599"/>
      <c r="G214" s="13">
        <f t="shared" si="46"/>
        <v>1</v>
      </c>
      <c r="H214" s="599"/>
      <c r="I214" s="13">
        <f t="shared" si="47"/>
        <v>1</v>
      </c>
      <c r="J214" s="599"/>
      <c r="K214" s="13">
        <f t="shared" si="48"/>
        <v>1</v>
      </c>
      <c r="L214" s="599"/>
      <c r="M214" s="13">
        <f t="shared" si="49"/>
        <v>1</v>
      </c>
      <c r="N214" s="599"/>
      <c r="O214" s="13">
        <f t="shared" si="50"/>
        <v>1</v>
      </c>
      <c r="P214" s="599"/>
      <c r="Q214" s="13">
        <f t="shared" si="51"/>
        <v>0</v>
      </c>
      <c r="R214" s="596">
        <f t="shared" si="56"/>
        <v>0</v>
      </c>
      <c r="S214" s="250">
        <f t="shared" si="57"/>
        <v>0</v>
      </c>
      <c r="T214" s="899">
        <f t="shared" si="58"/>
        <v>0</v>
      </c>
      <c r="U214" s="2988">
        <f t="shared" si="52"/>
        <v>0</v>
      </c>
      <c r="V214" s="2988">
        <f t="shared" si="53"/>
        <v>0</v>
      </c>
      <c r="W214" s="996"/>
      <c r="X214" s="2988">
        <f t="shared" si="54"/>
        <v>0</v>
      </c>
      <c r="Y214" s="2988">
        <f t="shared" si="55"/>
        <v>0</v>
      </c>
      <c r="Z214" s="996"/>
    </row>
    <row r="215" spans="1:26">
      <c r="A215" s="35"/>
      <c r="B215" s="20"/>
      <c r="C215" s="13">
        <f t="shared" si="44"/>
        <v>1</v>
      </c>
      <c r="D215" s="599"/>
      <c r="E215" s="13">
        <f t="shared" si="45"/>
        <v>1</v>
      </c>
      <c r="F215" s="599"/>
      <c r="G215" s="13">
        <f t="shared" si="46"/>
        <v>1</v>
      </c>
      <c r="H215" s="599"/>
      <c r="I215" s="13">
        <f t="shared" si="47"/>
        <v>1</v>
      </c>
      <c r="J215" s="599"/>
      <c r="K215" s="13">
        <f t="shared" si="48"/>
        <v>1</v>
      </c>
      <c r="L215" s="599"/>
      <c r="M215" s="13">
        <f t="shared" si="49"/>
        <v>1</v>
      </c>
      <c r="N215" s="599"/>
      <c r="O215" s="13">
        <f t="shared" si="50"/>
        <v>1</v>
      </c>
      <c r="P215" s="599"/>
      <c r="Q215" s="13">
        <f t="shared" si="51"/>
        <v>0</v>
      </c>
      <c r="R215" s="596">
        <f t="shared" si="56"/>
        <v>0</v>
      </c>
      <c r="S215" s="250">
        <f t="shared" si="57"/>
        <v>0</v>
      </c>
      <c r="T215" s="899">
        <f t="shared" si="58"/>
        <v>0</v>
      </c>
      <c r="U215" s="2988">
        <f t="shared" si="52"/>
        <v>0</v>
      </c>
      <c r="V215" s="2988">
        <f t="shared" si="53"/>
        <v>0</v>
      </c>
      <c r="W215" s="996"/>
      <c r="X215" s="2988">
        <f t="shared" si="54"/>
        <v>0</v>
      </c>
      <c r="Y215" s="2988">
        <f t="shared" si="55"/>
        <v>0</v>
      </c>
      <c r="Z215" s="996"/>
    </row>
    <row r="216" spans="1:26">
      <c r="A216" s="35"/>
      <c r="B216" s="20"/>
      <c r="C216" s="13">
        <f t="shared" si="44"/>
        <v>1</v>
      </c>
      <c r="D216" s="599"/>
      <c r="E216" s="13">
        <f t="shared" si="45"/>
        <v>1</v>
      </c>
      <c r="F216" s="599"/>
      <c r="G216" s="13">
        <f t="shared" si="46"/>
        <v>1</v>
      </c>
      <c r="H216" s="599"/>
      <c r="I216" s="13">
        <f t="shared" si="47"/>
        <v>1</v>
      </c>
      <c r="J216" s="599"/>
      <c r="K216" s="13">
        <f t="shared" si="48"/>
        <v>1</v>
      </c>
      <c r="L216" s="599"/>
      <c r="M216" s="13">
        <f t="shared" si="49"/>
        <v>1</v>
      </c>
      <c r="N216" s="599"/>
      <c r="O216" s="13">
        <f t="shared" si="50"/>
        <v>1</v>
      </c>
      <c r="P216" s="599"/>
      <c r="Q216" s="13">
        <f t="shared" si="51"/>
        <v>0</v>
      </c>
      <c r="R216" s="596">
        <f t="shared" si="56"/>
        <v>0</v>
      </c>
      <c r="S216" s="250">
        <f t="shared" si="57"/>
        <v>0</v>
      </c>
      <c r="T216" s="899">
        <f t="shared" si="58"/>
        <v>0</v>
      </c>
      <c r="U216" s="2988">
        <f t="shared" si="52"/>
        <v>0</v>
      </c>
      <c r="V216" s="2988">
        <f t="shared" si="53"/>
        <v>0</v>
      </c>
      <c r="W216" s="996"/>
      <c r="X216" s="2988">
        <f t="shared" si="54"/>
        <v>0</v>
      </c>
      <c r="Y216" s="2988">
        <f t="shared" si="55"/>
        <v>0</v>
      </c>
      <c r="Z216" s="996"/>
    </row>
    <row r="217" spans="1:26">
      <c r="A217" s="35"/>
      <c r="B217" s="20"/>
      <c r="C217" s="13">
        <f t="shared" si="44"/>
        <v>1</v>
      </c>
      <c r="D217" s="599"/>
      <c r="E217" s="13">
        <f t="shared" si="45"/>
        <v>1</v>
      </c>
      <c r="F217" s="599"/>
      <c r="G217" s="13">
        <f t="shared" si="46"/>
        <v>1</v>
      </c>
      <c r="H217" s="599"/>
      <c r="I217" s="13">
        <f t="shared" si="47"/>
        <v>1</v>
      </c>
      <c r="J217" s="599"/>
      <c r="K217" s="13">
        <f t="shared" si="48"/>
        <v>1</v>
      </c>
      <c r="L217" s="599"/>
      <c r="M217" s="13">
        <f t="shared" si="49"/>
        <v>1</v>
      </c>
      <c r="N217" s="599"/>
      <c r="O217" s="13">
        <f t="shared" si="50"/>
        <v>1</v>
      </c>
      <c r="P217" s="599"/>
      <c r="Q217" s="13">
        <f t="shared" si="51"/>
        <v>0</v>
      </c>
      <c r="R217" s="596">
        <f t="shared" si="56"/>
        <v>0</v>
      </c>
      <c r="S217" s="250">
        <f t="shared" si="57"/>
        <v>0</v>
      </c>
      <c r="T217" s="899">
        <f t="shared" si="58"/>
        <v>0</v>
      </c>
      <c r="U217" s="2988">
        <f t="shared" si="52"/>
        <v>0</v>
      </c>
      <c r="V217" s="2988">
        <f t="shared" si="53"/>
        <v>0</v>
      </c>
      <c r="W217" s="996"/>
      <c r="X217" s="2988">
        <f t="shared" si="54"/>
        <v>0</v>
      </c>
      <c r="Y217" s="2988">
        <f t="shared" si="55"/>
        <v>0</v>
      </c>
      <c r="Z217" s="996"/>
    </row>
    <row r="218" spans="1:26">
      <c r="A218" s="35"/>
      <c r="B218" s="20"/>
      <c r="C218" s="13">
        <f t="shared" si="44"/>
        <v>1</v>
      </c>
      <c r="D218" s="599"/>
      <c r="E218" s="13">
        <f t="shared" si="45"/>
        <v>1</v>
      </c>
      <c r="F218" s="599"/>
      <c r="G218" s="13">
        <f t="shared" si="46"/>
        <v>1</v>
      </c>
      <c r="H218" s="599"/>
      <c r="I218" s="13">
        <f t="shared" si="47"/>
        <v>1</v>
      </c>
      <c r="J218" s="599"/>
      <c r="K218" s="13">
        <f t="shared" si="48"/>
        <v>1</v>
      </c>
      <c r="L218" s="599"/>
      <c r="M218" s="13">
        <f t="shared" si="49"/>
        <v>1</v>
      </c>
      <c r="N218" s="599"/>
      <c r="O218" s="13">
        <f t="shared" si="50"/>
        <v>1</v>
      </c>
      <c r="P218" s="599"/>
      <c r="Q218" s="13">
        <f t="shared" si="51"/>
        <v>0</v>
      </c>
      <c r="R218" s="596">
        <f t="shared" si="56"/>
        <v>0</v>
      </c>
      <c r="S218" s="250">
        <f t="shared" si="57"/>
        <v>0</v>
      </c>
      <c r="T218" s="899">
        <f t="shared" si="58"/>
        <v>0</v>
      </c>
      <c r="U218" s="2988">
        <f t="shared" si="52"/>
        <v>0</v>
      </c>
      <c r="V218" s="2988">
        <f t="shared" si="53"/>
        <v>0</v>
      </c>
      <c r="W218" s="996"/>
      <c r="X218" s="2988">
        <f t="shared" si="54"/>
        <v>0</v>
      </c>
      <c r="Y218" s="2988">
        <f t="shared" si="55"/>
        <v>0</v>
      </c>
      <c r="Z218" s="996"/>
    </row>
    <row r="219" spans="1:26">
      <c r="A219" s="35"/>
      <c r="B219" s="20"/>
      <c r="C219" s="13">
        <f t="shared" si="44"/>
        <v>1</v>
      </c>
      <c r="D219" s="599"/>
      <c r="E219" s="13">
        <f t="shared" si="45"/>
        <v>1</v>
      </c>
      <c r="F219" s="599"/>
      <c r="G219" s="13">
        <f t="shared" si="46"/>
        <v>1</v>
      </c>
      <c r="H219" s="599"/>
      <c r="I219" s="13">
        <f t="shared" si="47"/>
        <v>1</v>
      </c>
      <c r="J219" s="599"/>
      <c r="K219" s="13">
        <f t="shared" si="48"/>
        <v>1</v>
      </c>
      <c r="L219" s="599"/>
      <c r="M219" s="13">
        <f t="shared" si="49"/>
        <v>1</v>
      </c>
      <c r="N219" s="599"/>
      <c r="O219" s="13">
        <f t="shared" si="50"/>
        <v>1</v>
      </c>
      <c r="P219" s="599"/>
      <c r="Q219" s="13">
        <f t="shared" si="51"/>
        <v>0</v>
      </c>
      <c r="R219" s="596">
        <f t="shared" si="56"/>
        <v>0</v>
      </c>
      <c r="S219" s="250">
        <f t="shared" si="57"/>
        <v>0</v>
      </c>
      <c r="T219" s="899">
        <f t="shared" si="58"/>
        <v>0</v>
      </c>
      <c r="U219" s="2988">
        <f t="shared" si="52"/>
        <v>0</v>
      </c>
      <c r="V219" s="2988">
        <f t="shared" si="53"/>
        <v>0</v>
      </c>
      <c r="W219" s="996"/>
      <c r="X219" s="2988">
        <f t="shared" si="54"/>
        <v>0</v>
      </c>
      <c r="Y219" s="2988">
        <f t="shared" si="55"/>
        <v>0</v>
      </c>
      <c r="Z219" s="996"/>
    </row>
    <row r="220" spans="1:26">
      <c r="A220" s="35"/>
      <c r="B220" s="20"/>
      <c r="C220" s="13">
        <f t="shared" ref="C220:C283" si="59">IF(B220="",1,(LOOKUP(B220,$6:$6,$7:$7)-LOOKUP($B$27,$6:$6,$7:$7)+100)/100)</f>
        <v>1</v>
      </c>
      <c r="D220" s="599"/>
      <c r="E220" s="13">
        <f t="shared" ref="E220:E283" si="60">(SUMIF($8:$8,D220,$9:$9)-SUMIF($8:$8,$D$27,$9:$9)+100)/100</f>
        <v>1</v>
      </c>
      <c r="F220" s="599"/>
      <c r="G220" s="13">
        <f t="shared" ref="G220:G283" si="61">(SUMIF($10:$10,F220,$11:$11)-SUMIF($10:$10,$F$27,$11:$11)+100)/100</f>
        <v>1</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v>
      </c>
      <c r="R220" s="596">
        <f t="shared" si="56"/>
        <v>0</v>
      </c>
      <c r="S220" s="250">
        <f t="shared" si="57"/>
        <v>0</v>
      </c>
      <c r="T220" s="899">
        <f t="shared" si="58"/>
        <v>0</v>
      </c>
      <c r="U220" s="2988">
        <f t="shared" ref="U220:U283" si="67">ROUND(W220*B220,0)</f>
        <v>0</v>
      </c>
      <c r="V220" s="2988">
        <f t="shared" ref="V220:V283" si="68">ROUND(W220*B220/10000,0)</f>
        <v>0</v>
      </c>
      <c r="W220" s="996"/>
      <c r="X220" s="2988">
        <f t="shared" ref="X220:X283" si="69">ROUND(Z220*B220,0)</f>
        <v>0</v>
      </c>
      <c r="Y220" s="2988">
        <f t="shared" ref="Y220:Y283" si="70">ROUND(Z220*B220/10000,0)</f>
        <v>0</v>
      </c>
      <c r="Z220" s="996"/>
    </row>
    <row r="221" spans="1:26">
      <c r="A221" s="35"/>
      <c r="B221" s="20"/>
      <c r="C221" s="13">
        <f t="shared" si="59"/>
        <v>1</v>
      </c>
      <c r="D221" s="599"/>
      <c r="E221" s="13">
        <f t="shared" si="60"/>
        <v>1</v>
      </c>
      <c r="F221" s="599"/>
      <c r="G221" s="13">
        <f t="shared" si="61"/>
        <v>1</v>
      </c>
      <c r="H221" s="599"/>
      <c r="I221" s="13">
        <f t="shared" si="62"/>
        <v>1</v>
      </c>
      <c r="J221" s="599"/>
      <c r="K221" s="13">
        <f t="shared" si="63"/>
        <v>1</v>
      </c>
      <c r="L221" s="599"/>
      <c r="M221" s="13">
        <f t="shared" si="64"/>
        <v>1</v>
      </c>
      <c r="N221" s="599"/>
      <c r="O221" s="13">
        <f t="shared" si="65"/>
        <v>1</v>
      </c>
      <c r="P221" s="599"/>
      <c r="Q221" s="13">
        <f t="shared" si="66"/>
        <v>0</v>
      </c>
      <c r="R221" s="596">
        <f t="shared" ref="R221:R284" si="71">IF(B221="",0,ROUND($R$27*C221*E221*G221*I221*K221*M221*O221*Q221,0))</f>
        <v>0</v>
      </c>
      <c r="S221" s="250">
        <f t="shared" ref="S221:S284" si="72">ROUND(R221*B221,0)</f>
        <v>0</v>
      </c>
      <c r="T221" s="899">
        <f t="shared" ref="T221:T284" si="73">ROUND(R221*B221/10000,0)</f>
        <v>0</v>
      </c>
      <c r="U221" s="2988">
        <f t="shared" si="67"/>
        <v>0</v>
      </c>
      <c r="V221" s="2988">
        <f t="shared" si="68"/>
        <v>0</v>
      </c>
      <c r="W221" s="996"/>
      <c r="X221" s="2988">
        <f t="shared" si="69"/>
        <v>0</v>
      </c>
      <c r="Y221" s="2988">
        <f t="shared" si="70"/>
        <v>0</v>
      </c>
      <c r="Z221" s="996"/>
    </row>
    <row r="222" spans="1:26">
      <c r="A222" s="35"/>
      <c r="B222" s="20"/>
      <c r="C222" s="13">
        <f t="shared" si="59"/>
        <v>1</v>
      </c>
      <c r="D222" s="599"/>
      <c r="E222" s="13">
        <f t="shared" si="60"/>
        <v>1</v>
      </c>
      <c r="F222" s="599"/>
      <c r="G222" s="13">
        <f t="shared" si="61"/>
        <v>1</v>
      </c>
      <c r="H222" s="599"/>
      <c r="I222" s="13">
        <f t="shared" si="62"/>
        <v>1</v>
      </c>
      <c r="J222" s="599"/>
      <c r="K222" s="13">
        <f t="shared" si="63"/>
        <v>1</v>
      </c>
      <c r="L222" s="599"/>
      <c r="M222" s="13">
        <f t="shared" si="64"/>
        <v>1</v>
      </c>
      <c r="N222" s="599"/>
      <c r="O222" s="13">
        <f t="shared" si="65"/>
        <v>1</v>
      </c>
      <c r="P222" s="599"/>
      <c r="Q222" s="13">
        <f t="shared" si="66"/>
        <v>0</v>
      </c>
      <c r="R222" s="596">
        <f t="shared" si="71"/>
        <v>0</v>
      </c>
      <c r="S222" s="250">
        <f t="shared" si="72"/>
        <v>0</v>
      </c>
      <c r="T222" s="899">
        <f t="shared" si="73"/>
        <v>0</v>
      </c>
      <c r="U222" s="2988">
        <f t="shared" si="67"/>
        <v>0</v>
      </c>
      <c r="V222" s="2988">
        <f t="shared" si="68"/>
        <v>0</v>
      </c>
      <c r="W222" s="996"/>
      <c r="X222" s="2988">
        <f t="shared" si="69"/>
        <v>0</v>
      </c>
      <c r="Y222" s="2988">
        <f t="shared" si="70"/>
        <v>0</v>
      </c>
      <c r="Z222" s="996"/>
    </row>
    <row r="223" spans="1:26">
      <c r="A223" s="35"/>
      <c r="B223" s="20"/>
      <c r="C223" s="13">
        <f t="shared" si="59"/>
        <v>1</v>
      </c>
      <c r="D223" s="599"/>
      <c r="E223" s="13">
        <f t="shared" si="60"/>
        <v>1</v>
      </c>
      <c r="F223" s="599"/>
      <c r="G223" s="13">
        <f t="shared" si="61"/>
        <v>1</v>
      </c>
      <c r="H223" s="599"/>
      <c r="I223" s="13">
        <f t="shared" si="62"/>
        <v>1</v>
      </c>
      <c r="J223" s="599"/>
      <c r="K223" s="13">
        <f t="shared" si="63"/>
        <v>1</v>
      </c>
      <c r="L223" s="599"/>
      <c r="M223" s="13">
        <f t="shared" si="64"/>
        <v>1</v>
      </c>
      <c r="N223" s="599"/>
      <c r="O223" s="13">
        <f t="shared" si="65"/>
        <v>1</v>
      </c>
      <c r="P223" s="599"/>
      <c r="Q223" s="13">
        <f t="shared" si="66"/>
        <v>0</v>
      </c>
      <c r="R223" s="596">
        <f t="shared" si="71"/>
        <v>0</v>
      </c>
      <c r="S223" s="250">
        <f t="shared" si="72"/>
        <v>0</v>
      </c>
      <c r="T223" s="899">
        <f t="shared" si="73"/>
        <v>0</v>
      </c>
      <c r="U223" s="2988">
        <f t="shared" si="67"/>
        <v>0</v>
      </c>
      <c r="V223" s="2988">
        <f t="shared" si="68"/>
        <v>0</v>
      </c>
      <c r="W223" s="996"/>
      <c r="X223" s="2988">
        <f t="shared" si="69"/>
        <v>0</v>
      </c>
      <c r="Y223" s="2988">
        <f t="shared" si="70"/>
        <v>0</v>
      </c>
      <c r="Z223" s="996"/>
    </row>
    <row r="224" spans="1:26">
      <c r="A224" s="35"/>
      <c r="B224" s="20"/>
      <c r="C224" s="13">
        <f t="shared" si="59"/>
        <v>1</v>
      </c>
      <c r="D224" s="599"/>
      <c r="E224" s="13">
        <f t="shared" si="60"/>
        <v>1</v>
      </c>
      <c r="F224" s="599"/>
      <c r="G224" s="13">
        <f t="shared" si="61"/>
        <v>1</v>
      </c>
      <c r="H224" s="599"/>
      <c r="I224" s="13">
        <f t="shared" si="62"/>
        <v>1</v>
      </c>
      <c r="J224" s="599"/>
      <c r="K224" s="13">
        <f t="shared" si="63"/>
        <v>1</v>
      </c>
      <c r="L224" s="599"/>
      <c r="M224" s="13">
        <f t="shared" si="64"/>
        <v>1</v>
      </c>
      <c r="N224" s="599"/>
      <c r="O224" s="13">
        <f t="shared" si="65"/>
        <v>1</v>
      </c>
      <c r="P224" s="599"/>
      <c r="Q224" s="13">
        <f t="shared" si="66"/>
        <v>0</v>
      </c>
      <c r="R224" s="596">
        <f t="shared" si="71"/>
        <v>0</v>
      </c>
      <c r="S224" s="250">
        <f t="shared" si="72"/>
        <v>0</v>
      </c>
      <c r="T224" s="899">
        <f t="shared" si="73"/>
        <v>0</v>
      </c>
      <c r="U224" s="2988">
        <f t="shared" si="67"/>
        <v>0</v>
      </c>
      <c r="V224" s="2988">
        <f t="shared" si="68"/>
        <v>0</v>
      </c>
      <c r="W224" s="996"/>
      <c r="X224" s="2988">
        <f t="shared" si="69"/>
        <v>0</v>
      </c>
      <c r="Y224" s="2988">
        <f t="shared" si="70"/>
        <v>0</v>
      </c>
      <c r="Z224" s="996"/>
    </row>
    <row r="225" spans="1:26">
      <c r="A225" s="35"/>
      <c r="B225" s="20"/>
      <c r="C225" s="13">
        <f t="shared" si="59"/>
        <v>1</v>
      </c>
      <c r="D225" s="599"/>
      <c r="E225" s="13">
        <f t="shared" si="60"/>
        <v>1</v>
      </c>
      <c r="F225" s="599"/>
      <c r="G225" s="13">
        <f t="shared" si="61"/>
        <v>1</v>
      </c>
      <c r="H225" s="599"/>
      <c r="I225" s="13">
        <f t="shared" si="62"/>
        <v>1</v>
      </c>
      <c r="J225" s="599"/>
      <c r="K225" s="13">
        <f t="shared" si="63"/>
        <v>1</v>
      </c>
      <c r="L225" s="599"/>
      <c r="M225" s="13">
        <f t="shared" si="64"/>
        <v>1</v>
      </c>
      <c r="N225" s="599"/>
      <c r="O225" s="13">
        <f t="shared" si="65"/>
        <v>1</v>
      </c>
      <c r="P225" s="599"/>
      <c r="Q225" s="13">
        <f t="shared" si="66"/>
        <v>0</v>
      </c>
      <c r="R225" s="596">
        <f t="shared" si="71"/>
        <v>0</v>
      </c>
      <c r="S225" s="250">
        <f t="shared" si="72"/>
        <v>0</v>
      </c>
      <c r="T225" s="899">
        <f t="shared" si="73"/>
        <v>0</v>
      </c>
      <c r="U225" s="2988">
        <f t="shared" si="67"/>
        <v>0</v>
      </c>
      <c r="V225" s="2988">
        <f t="shared" si="68"/>
        <v>0</v>
      </c>
      <c r="W225" s="996"/>
      <c r="X225" s="2988">
        <f t="shared" si="69"/>
        <v>0</v>
      </c>
      <c r="Y225" s="2988">
        <f t="shared" si="70"/>
        <v>0</v>
      </c>
      <c r="Z225" s="996"/>
    </row>
    <row r="226" spans="1:26">
      <c r="A226" s="35"/>
      <c r="B226" s="20"/>
      <c r="C226" s="13">
        <f t="shared" si="59"/>
        <v>1</v>
      </c>
      <c r="D226" s="599"/>
      <c r="E226" s="13">
        <f t="shared" si="60"/>
        <v>1</v>
      </c>
      <c r="F226" s="599"/>
      <c r="G226" s="13">
        <f t="shared" si="61"/>
        <v>1</v>
      </c>
      <c r="H226" s="599"/>
      <c r="I226" s="13">
        <f t="shared" si="62"/>
        <v>1</v>
      </c>
      <c r="J226" s="599"/>
      <c r="K226" s="13">
        <f t="shared" si="63"/>
        <v>1</v>
      </c>
      <c r="L226" s="599"/>
      <c r="M226" s="13">
        <f t="shared" si="64"/>
        <v>1</v>
      </c>
      <c r="N226" s="599"/>
      <c r="O226" s="13">
        <f t="shared" si="65"/>
        <v>1</v>
      </c>
      <c r="P226" s="599"/>
      <c r="Q226" s="13">
        <f t="shared" si="66"/>
        <v>0</v>
      </c>
      <c r="R226" s="596">
        <f t="shared" si="71"/>
        <v>0</v>
      </c>
      <c r="S226" s="250">
        <f t="shared" si="72"/>
        <v>0</v>
      </c>
      <c r="T226" s="899">
        <f t="shared" si="73"/>
        <v>0</v>
      </c>
      <c r="U226" s="2988">
        <f t="shared" si="67"/>
        <v>0</v>
      </c>
      <c r="V226" s="2988">
        <f t="shared" si="68"/>
        <v>0</v>
      </c>
      <c r="W226" s="996"/>
      <c r="X226" s="2988">
        <f t="shared" si="69"/>
        <v>0</v>
      </c>
      <c r="Y226" s="2988">
        <f t="shared" si="70"/>
        <v>0</v>
      </c>
      <c r="Z226" s="996"/>
    </row>
    <row r="227" spans="1:26">
      <c r="A227" s="35"/>
      <c r="B227" s="20"/>
      <c r="C227" s="13">
        <f t="shared" si="59"/>
        <v>1</v>
      </c>
      <c r="D227" s="599"/>
      <c r="E227" s="13">
        <f t="shared" si="60"/>
        <v>1</v>
      </c>
      <c r="F227" s="599"/>
      <c r="G227" s="13">
        <f t="shared" si="61"/>
        <v>1</v>
      </c>
      <c r="H227" s="599"/>
      <c r="I227" s="13">
        <f t="shared" si="62"/>
        <v>1</v>
      </c>
      <c r="J227" s="599"/>
      <c r="K227" s="13">
        <f t="shared" si="63"/>
        <v>1</v>
      </c>
      <c r="L227" s="599"/>
      <c r="M227" s="13">
        <f t="shared" si="64"/>
        <v>1</v>
      </c>
      <c r="N227" s="599"/>
      <c r="O227" s="13">
        <f t="shared" si="65"/>
        <v>1</v>
      </c>
      <c r="P227" s="599"/>
      <c r="Q227" s="13">
        <f t="shared" si="66"/>
        <v>0</v>
      </c>
      <c r="R227" s="596">
        <f t="shared" si="71"/>
        <v>0</v>
      </c>
      <c r="S227" s="250">
        <f t="shared" si="72"/>
        <v>0</v>
      </c>
      <c r="T227" s="899">
        <f t="shared" si="73"/>
        <v>0</v>
      </c>
      <c r="U227" s="2988">
        <f t="shared" si="67"/>
        <v>0</v>
      </c>
      <c r="V227" s="2988">
        <f t="shared" si="68"/>
        <v>0</v>
      </c>
      <c r="W227" s="996"/>
      <c r="X227" s="2988">
        <f t="shared" si="69"/>
        <v>0</v>
      </c>
      <c r="Y227" s="2988">
        <f t="shared" si="70"/>
        <v>0</v>
      </c>
      <c r="Z227" s="996"/>
    </row>
    <row r="228" spans="1:26">
      <c r="A228" s="35"/>
      <c r="B228" s="20"/>
      <c r="C228" s="13">
        <f t="shared" si="59"/>
        <v>1</v>
      </c>
      <c r="D228" s="599"/>
      <c r="E228" s="13">
        <f t="shared" si="60"/>
        <v>1</v>
      </c>
      <c r="F228" s="599"/>
      <c r="G228" s="13">
        <f t="shared" si="61"/>
        <v>1</v>
      </c>
      <c r="H228" s="599"/>
      <c r="I228" s="13">
        <f t="shared" si="62"/>
        <v>1</v>
      </c>
      <c r="J228" s="599"/>
      <c r="K228" s="13">
        <f t="shared" si="63"/>
        <v>1</v>
      </c>
      <c r="L228" s="599"/>
      <c r="M228" s="13">
        <f t="shared" si="64"/>
        <v>1</v>
      </c>
      <c r="N228" s="599"/>
      <c r="O228" s="13">
        <f t="shared" si="65"/>
        <v>1</v>
      </c>
      <c r="P228" s="599"/>
      <c r="Q228" s="13">
        <f t="shared" si="66"/>
        <v>0</v>
      </c>
      <c r="R228" s="596">
        <f t="shared" si="71"/>
        <v>0</v>
      </c>
      <c r="S228" s="250">
        <f t="shared" si="72"/>
        <v>0</v>
      </c>
      <c r="T228" s="899">
        <f t="shared" si="73"/>
        <v>0</v>
      </c>
      <c r="U228" s="2988">
        <f t="shared" si="67"/>
        <v>0</v>
      </c>
      <c r="V228" s="2988">
        <f t="shared" si="68"/>
        <v>0</v>
      </c>
      <c r="W228" s="996"/>
      <c r="X228" s="2988">
        <f t="shared" si="69"/>
        <v>0</v>
      </c>
      <c r="Y228" s="2988">
        <f t="shared" si="70"/>
        <v>0</v>
      </c>
      <c r="Z228" s="996"/>
    </row>
    <row r="229" spans="1:26">
      <c r="A229" s="35"/>
      <c r="B229" s="20"/>
      <c r="C229" s="13">
        <f t="shared" si="59"/>
        <v>1</v>
      </c>
      <c r="D229" s="599"/>
      <c r="E229" s="13">
        <f t="shared" si="60"/>
        <v>1</v>
      </c>
      <c r="F229" s="599"/>
      <c r="G229" s="13">
        <f t="shared" si="61"/>
        <v>1</v>
      </c>
      <c r="H229" s="599"/>
      <c r="I229" s="13">
        <f t="shared" si="62"/>
        <v>1</v>
      </c>
      <c r="J229" s="599"/>
      <c r="K229" s="13">
        <f t="shared" si="63"/>
        <v>1</v>
      </c>
      <c r="L229" s="599"/>
      <c r="M229" s="13">
        <f t="shared" si="64"/>
        <v>1</v>
      </c>
      <c r="N229" s="599"/>
      <c r="O229" s="13">
        <f t="shared" si="65"/>
        <v>1</v>
      </c>
      <c r="P229" s="599"/>
      <c r="Q229" s="13">
        <f t="shared" si="66"/>
        <v>0</v>
      </c>
      <c r="R229" s="596">
        <f t="shared" si="71"/>
        <v>0</v>
      </c>
      <c r="S229" s="250">
        <f t="shared" si="72"/>
        <v>0</v>
      </c>
      <c r="T229" s="899">
        <f t="shared" si="73"/>
        <v>0</v>
      </c>
      <c r="U229" s="2988">
        <f t="shared" si="67"/>
        <v>0</v>
      </c>
      <c r="V229" s="2988">
        <f t="shared" si="68"/>
        <v>0</v>
      </c>
      <c r="W229" s="996"/>
      <c r="X229" s="2988">
        <f t="shared" si="69"/>
        <v>0</v>
      </c>
      <c r="Y229" s="2988">
        <f t="shared" si="70"/>
        <v>0</v>
      </c>
      <c r="Z229" s="996"/>
    </row>
    <row r="230" spans="1:26">
      <c r="A230" s="35"/>
      <c r="B230" s="20"/>
      <c r="C230" s="13">
        <f t="shared" si="59"/>
        <v>1</v>
      </c>
      <c r="D230" s="599"/>
      <c r="E230" s="13">
        <f t="shared" si="60"/>
        <v>1</v>
      </c>
      <c r="F230" s="599"/>
      <c r="G230" s="13">
        <f t="shared" si="61"/>
        <v>1</v>
      </c>
      <c r="H230" s="599"/>
      <c r="I230" s="13">
        <f t="shared" si="62"/>
        <v>1</v>
      </c>
      <c r="J230" s="599"/>
      <c r="K230" s="13">
        <f t="shared" si="63"/>
        <v>1</v>
      </c>
      <c r="L230" s="599"/>
      <c r="M230" s="13">
        <f t="shared" si="64"/>
        <v>1</v>
      </c>
      <c r="N230" s="599"/>
      <c r="O230" s="13">
        <f t="shared" si="65"/>
        <v>1</v>
      </c>
      <c r="P230" s="599"/>
      <c r="Q230" s="13">
        <f t="shared" si="66"/>
        <v>0</v>
      </c>
      <c r="R230" s="596">
        <f t="shared" si="71"/>
        <v>0</v>
      </c>
      <c r="S230" s="250">
        <f t="shared" si="72"/>
        <v>0</v>
      </c>
      <c r="T230" s="899">
        <f t="shared" si="73"/>
        <v>0</v>
      </c>
      <c r="U230" s="2988">
        <f t="shared" si="67"/>
        <v>0</v>
      </c>
      <c r="V230" s="2988">
        <f t="shared" si="68"/>
        <v>0</v>
      </c>
      <c r="W230" s="996"/>
      <c r="X230" s="2988">
        <f t="shared" si="69"/>
        <v>0</v>
      </c>
      <c r="Y230" s="2988">
        <f t="shared" si="70"/>
        <v>0</v>
      </c>
      <c r="Z230" s="996"/>
    </row>
    <row r="231" spans="1:26">
      <c r="A231" s="35"/>
      <c r="B231" s="20"/>
      <c r="C231" s="13">
        <f t="shared" si="59"/>
        <v>1</v>
      </c>
      <c r="D231" s="599"/>
      <c r="E231" s="13">
        <f t="shared" si="60"/>
        <v>1</v>
      </c>
      <c r="F231" s="599"/>
      <c r="G231" s="13">
        <f t="shared" si="61"/>
        <v>1</v>
      </c>
      <c r="H231" s="599"/>
      <c r="I231" s="13">
        <f t="shared" si="62"/>
        <v>1</v>
      </c>
      <c r="J231" s="599"/>
      <c r="K231" s="13">
        <f t="shared" si="63"/>
        <v>1</v>
      </c>
      <c r="L231" s="599"/>
      <c r="M231" s="13">
        <f t="shared" si="64"/>
        <v>1</v>
      </c>
      <c r="N231" s="599"/>
      <c r="O231" s="13">
        <f t="shared" si="65"/>
        <v>1</v>
      </c>
      <c r="P231" s="599"/>
      <c r="Q231" s="13">
        <f t="shared" si="66"/>
        <v>0</v>
      </c>
      <c r="R231" s="596">
        <f t="shared" si="71"/>
        <v>0</v>
      </c>
      <c r="S231" s="250">
        <f t="shared" si="72"/>
        <v>0</v>
      </c>
      <c r="T231" s="899">
        <f t="shared" si="73"/>
        <v>0</v>
      </c>
      <c r="U231" s="2988">
        <f t="shared" si="67"/>
        <v>0</v>
      </c>
      <c r="V231" s="2988">
        <f t="shared" si="68"/>
        <v>0</v>
      </c>
      <c r="W231" s="996"/>
      <c r="X231" s="2988">
        <f t="shared" si="69"/>
        <v>0</v>
      </c>
      <c r="Y231" s="2988">
        <f t="shared" si="70"/>
        <v>0</v>
      </c>
      <c r="Z231" s="996"/>
    </row>
    <row r="232" spans="1:26">
      <c r="A232" s="35"/>
      <c r="B232" s="20"/>
      <c r="C232" s="13">
        <f t="shared" si="59"/>
        <v>1</v>
      </c>
      <c r="D232" s="599"/>
      <c r="E232" s="13">
        <f t="shared" si="60"/>
        <v>1</v>
      </c>
      <c r="F232" s="599"/>
      <c r="G232" s="13">
        <f t="shared" si="61"/>
        <v>1</v>
      </c>
      <c r="H232" s="599"/>
      <c r="I232" s="13">
        <f t="shared" si="62"/>
        <v>1</v>
      </c>
      <c r="J232" s="599"/>
      <c r="K232" s="13">
        <f t="shared" si="63"/>
        <v>1</v>
      </c>
      <c r="L232" s="599"/>
      <c r="M232" s="13">
        <f t="shared" si="64"/>
        <v>1</v>
      </c>
      <c r="N232" s="599"/>
      <c r="O232" s="13">
        <f t="shared" si="65"/>
        <v>1</v>
      </c>
      <c r="P232" s="599"/>
      <c r="Q232" s="13">
        <f t="shared" si="66"/>
        <v>0</v>
      </c>
      <c r="R232" s="596">
        <f t="shared" si="71"/>
        <v>0</v>
      </c>
      <c r="S232" s="250">
        <f t="shared" si="72"/>
        <v>0</v>
      </c>
      <c r="T232" s="899">
        <f t="shared" si="73"/>
        <v>0</v>
      </c>
      <c r="U232" s="2988">
        <f t="shared" si="67"/>
        <v>0</v>
      </c>
      <c r="V232" s="2988">
        <f t="shared" si="68"/>
        <v>0</v>
      </c>
      <c r="W232" s="996"/>
      <c r="X232" s="2988">
        <f t="shared" si="69"/>
        <v>0</v>
      </c>
      <c r="Y232" s="2988">
        <f t="shared" si="70"/>
        <v>0</v>
      </c>
      <c r="Z232" s="996"/>
    </row>
    <row r="233" spans="1:26">
      <c r="A233" s="35"/>
      <c r="B233" s="20"/>
      <c r="C233" s="13">
        <f t="shared" si="59"/>
        <v>1</v>
      </c>
      <c r="D233" s="599"/>
      <c r="E233" s="13">
        <f t="shared" si="60"/>
        <v>1</v>
      </c>
      <c r="F233" s="599"/>
      <c r="G233" s="13">
        <f t="shared" si="61"/>
        <v>1</v>
      </c>
      <c r="H233" s="599"/>
      <c r="I233" s="13">
        <f t="shared" si="62"/>
        <v>1</v>
      </c>
      <c r="J233" s="599"/>
      <c r="K233" s="13">
        <f t="shared" si="63"/>
        <v>1</v>
      </c>
      <c r="L233" s="599"/>
      <c r="M233" s="13">
        <f t="shared" si="64"/>
        <v>1</v>
      </c>
      <c r="N233" s="599"/>
      <c r="O233" s="13">
        <f t="shared" si="65"/>
        <v>1</v>
      </c>
      <c r="P233" s="599"/>
      <c r="Q233" s="13">
        <f t="shared" si="66"/>
        <v>0</v>
      </c>
      <c r="R233" s="596">
        <f t="shared" si="71"/>
        <v>0</v>
      </c>
      <c r="S233" s="250">
        <f t="shared" si="72"/>
        <v>0</v>
      </c>
      <c r="T233" s="899">
        <f t="shared" si="73"/>
        <v>0</v>
      </c>
      <c r="U233" s="2988">
        <f t="shared" si="67"/>
        <v>0</v>
      </c>
      <c r="V233" s="2988">
        <f t="shared" si="68"/>
        <v>0</v>
      </c>
      <c r="W233" s="996"/>
      <c r="X233" s="2988">
        <f t="shared" si="69"/>
        <v>0</v>
      </c>
      <c r="Y233" s="2988">
        <f t="shared" si="70"/>
        <v>0</v>
      </c>
      <c r="Z233" s="996"/>
    </row>
    <row r="234" spans="1:26">
      <c r="A234" s="35"/>
      <c r="B234" s="20"/>
      <c r="C234" s="13">
        <f t="shared" si="59"/>
        <v>1</v>
      </c>
      <c r="D234" s="599"/>
      <c r="E234" s="13">
        <f t="shared" si="60"/>
        <v>1</v>
      </c>
      <c r="F234" s="599"/>
      <c r="G234" s="13">
        <f t="shared" si="61"/>
        <v>1</v>
      </c>
      <c r="H234" s="599"/>
      <c r="I234" s="13">
        <f t="shared" si="62"/>
        <v>1</v>
      </c>
      <c r="J234" s="599"/>
      <c r="K234" s="13">
        <f t="shared" si="63"/>
        <v>1</v>
      </c>
      <c r="L234" s="599"/>
      <c r="M234" s="13">
        <f t="shared" si="64"/>
        <v>1</v>
      </c>
      <c r="N234" s="599"/>
      <c r="O234" s="13">
        <f t="shared" si="65"/>
        <v>1</v>
      </c>
      <c r="P234" s="599"/>
      <c r="Q234" s="13">
        <f t="shared" si="66"/>
        <v>0</v>
      </c>
      <c r="R234" s="596">
        <f t="shared" si="71"/>
        <v>0</v>
      </c>
      <c r="S234" s="250">
        <f t="shared" si="72"/>
        <v>0</v>
      </c>
      <c r="T234" s="899">
        <f t="shared" si="73"/>
        <v>0</v>
      </c>
      <c r="U234" s="2988">
        <f t="shared" si="67"/>
        <v>0</v>
      </c>
      <c r="V234" s="2988">
        <f t="shared" si="68"/>
        <v>0</v>
      </c>
      <c r="W234" s="996"/>
      <c r="X234" s="2988">
        <f t="shared" si="69"/>
        <v>0</v>
      </c>
      <c r="Y234" s="2988">
        <f t="shared" si="70"/>
        <v>0</v>
      </c>
      <c r="Z234" s="996"/>
    </row>
    <row r="235" spans="1:26">
      <c r="A235" s="35"/>
      <c r="B235" s="20"/>
      <c r="C235" s="13">
        <f t="shared" si="59"/>
        <v>1</v>
      </c>
      <c r="D235" s="599"/>
      <c r="E235" s="13">
        <f t="shared" si="60"/>
        <v>1</v>
      </c>
      <c r="F235" s="599"/>
      <c r="G235" s="13">
        <f t="shared" si="61"/>
        <v>1</v>
      </c>
      <c r="H235" s="599"/>
      <c r="I235" s="13">
        <f t="shared" si="62"/>
        <v>1</v>
      </c>
      <c r="J235" s="599"/>
      <c r="K235" s="13">
        <f t="shared" si="63"/>
        <v>1</v>
      </c>
      <c r="L235" s="599"/>
      <c r="M235" s="13">
        <f t="shared" si="64"/>
        <v>1</v>
      </c>
      <c r="N235" s="599"/>
      <c r="O235" s="13">
        <f t="shared" si="65"/>
        <v>1</v>
      </c>
      <c r="P235" s="599"/>
      <c r="Q235" s="13">
        <f t="shared" si="66"/>
        <v>0</v>
      </c>
      <c r="R235" s="596">
        <f t="shared" si="71"/>
        <v>0</v>
      </c>
      <c r="S235" s="250">
        <f t="shared" si="72"/>
        <v>0</v>
      </c>
      <c r="T235" s="899">
        <f t="shared" si="73"/>
        <v>0</v>
      </c>
      <c r="U235" s="2988">
        <f t="shared" si="67"/>
        <v>0</v>
      </c>
      <c r="V235" s="2988">
        <f t="shared" si="68"/>
        <v>0</v>
      </c>
      <c r="W235" s="996"/>
      <c r="X235" s="2988">
        <f t="shared" si="69"/>
        <v>0</v>
      </c>
      <c r="Y235" s="2988">
        <f t="shared" si="70"/>
        <v>0</v>
      </c>
      <c r="Z235" s="996"/>
    </row>
    <row r="236" spans="1:26">
      <c r="A236" s="35"/>
      <c r="B236" s="20"/>
      <c r="C236" s="13">
        <f t="shared" si="59"/>
        <v>1</v>
      </c>
      <c r="D236" s="599"/>
      <c r="E236" s="13">
        <f t="shared" si="60"/>
        <v>1</v>
      </c>
      <c r="F236" s="599"/>
      <c r="G236" s="13">
        <f t="shared" si="61"/>
        <v>1</v>
      </c>
      <c r="H236" s="599"/>
      <c r="I236" s="13">
        <f t="shared" si="62"/>
        <v>1</v>
      </c>
      <c r="J236" s="599"/>
      <c r="K236" s="13">
        <f t="shared" si="63"/>
        <v>1</v>
      </c>
      <c r="L236" s="599"/>
      <c r="M236" s="13">
        <f t="shared" si="64"/>
        <v>1</v>
      </c>
      <c r="N236" s="599"/>
      <c r="O236" s="13">
        <f t="shared" si="65"/>
        <v>1</v>
      </c>
      <c r="P236" s="599"/>
      <c r="Q236" s="13">
        <f t="shared" si="66"/>
        <v>0</v>
      </c>
      <c r="R236" s="596">
        <f t="shared" si="71"/>
        <v>0</v>
      </c>
      <c r="S236" s="250">
        <f t="shared" si="72"/>
        <v>0</v>
      </c>
      <c r="T236" s="899">
        <f t="shared" si="73"/>
        <v>0</v>
      </c>
      <c r="U236" s="2988">
        <f t="shared" si="67"/>
        <v>0</v>
      </c>
      <c r="V236" s="2988">
        <f t="shared" si="68"/>
        <v>0</v>
      </c>
      <c r="W236" s="996"/>
      <c r="X236" s="2988">
        <f t="shared" si="69"/>
        <v>0</v>
      </c>
      <c r="Y236" s="2988">
        <f t="shared" si="70"/>
        <v>0</v>
      </c>
      <c r="Z236" s="996"/>
    </row>
    <row r="237" spans="1:26">
      <c r="A237" s="35"/>
      <c r="B237" s="20"/>
      <c r="C237" s="13">
        <f t="shared" si="59"/>
        <v>1</v>
      </c>
      <c r="D237" s="599"/>
      <c r="E237" s="13">
        <f t="shared" si="60"/>
        <v>1</v>
      </c>
      <c r="F237" s="599"/>
      <c r="G237" s="13">
        <f t="shared" si="61"/>
        <v>1</v>
      </c>
      <c r="H237" s="599"/>
      <c r="I237" s="13">
        <f t="shared" si="62"/>
        <v>1</v>
      </c>
      <c r="J237" s="599"/>
      <c r="K237" s="13">
        <f t="shared" si="63"/>
        <v>1</v>
      </c>
      <c r="L237" s="599"/>
      <c r="M237" s="13">
        <f t="shared" si="64"/>
        <v>1</v>
      </c>
      <c r="N237" s="599"/>
      <c r="O237" s="13">
        <f t="shared" si="65"/>
        <v>1</v>
      </c>
      <c r="P237" s="599"/>
      <c r="Q237" s="13">
        <f t="shared" si="66"/>
        <v>0</v>
      </c>
      <c r="R237" s="596">
        <f t="shared" si="71"/>
        <v>0</v>
      </c>
      <c r="S237" s="250">
        <f t="shared" si="72"/>
        <v>0</v>
      </c>
      <c r="T237" s="899">
        <f t="shared" si="73"/>
        <v>0</v>
      </c>
      <c r="U237" s="2988">
        <f t="shared" si="67"/>
        <v>0</v>
      </c>
      <c r="V237" s="2988">
        <f t="shared" si="68"/>
        <v>0</v>
      </c>
      <c r="W237" s="996"/>
      <c r="X237" s="2988">
        <f t="shared" si="69"/>
        <v>0</v>
      </c>
      <c r="Y237" s="2988">
        <f t="shared" si="70"/>
        <v>0</v>
      </c>
      <c r="Z237" s="996"/>
    </row>
    <row r="238" spans="1:26">
      <c r="A238" s="35"/>
      <c r="B238" s="20"/>
      <c r="C238" s="13">
        <f t="shared" si="59"/>
        <v>1</v>
      </c>
      <c r="D238" s="599"/>
      <c r="E238" s="13">
        <f t="shared" si="60"/>
        <v>1</v>
      </c>
      <c r="F238" s="599"/>
      <c r="G238" s="13">
        <f t="shared" si="61"/>
        <v>1</v>
      </c>
      <c r="H238" s="599"/>
      <c r="I238" s="13">
        <f t="shared" si="62"/>
        <v>1</v>
      </c>
      <c r="J238" s="599"/>
      <c r="K238" s="13">
        <f t="shared" si="63"/>
        <v>1</v>
      </c>
      <c r="L238" s="599"/>
      <c r="M238" s="13">
        <f t="shared" si="64"/>
        <v>1</v>
      </c>
      <c r="N238" s="599"/>
      <c r="O238" s="13">
        <f t="shared" si="65"/>
        <v>1</v>
      </c>
      <c r="P238" s="599"/>
      <c r="Q238" s="13">
        <f t="shared" si="66"/>
        <v>0</v>
      </c>
      <c r="R238" s="596">
        <f t="shared" si="71"/>
        <v>0</v>
      </c>
      <c r="S238" s="250">
        <f t="shared" si="72"/>
        <v>0</v>
      </c>
      <c r="T238" s="899">
        <f t="shared" si="73"/>
        <v>0</v>
      </c>
      <c r="U238" s="2988">
        <f t="shared" si="67"/>
        <v>0</v>
      </c>
      <c r="V238" s="2988">
        <f t="shared" si="68"/>
        <v>0</v>
      </c>
      <c r="W238" s="996"/>
      <c r="X238" s="2988">
        <f t="shared" si="69"/>
        <v>0</v>
      </c>
      <c r="Y238" s="2988">
        <f t="shared" si="70"/>
        <v>0</v>
      </c>
      <c r="Z238" s="996"/>
    </row>
    <row r="239" spans="1:26">
      <c r="A239" s="35"/>
      <c r="B239" s="20"/>
      <c r="C239" s="13">
        <f t="shared" si="59"/>
        <v>1</v>
      </c>
      <c r="D239" s="599"/>
      <c r="E239" s="13">
        <f t="shared" si="60"/>
        <v>1</v>
      </c>
      <c r="F239" s="599"/>
      <c r="G239" s="13">
        <f t="shared" si="61"/>
        <v>1</v>
      </c>
      <c r="H239" s="599"/>
      <c r="I239" s="13">
        <f t="shared" si="62"/>
        <v>1</v>
      </c>
      <c r="J239" s="599"/>
      <c r="K239" s="13">
        <f t="shared" si="63"/>
        <v>1</v>
      </c>
      <c r="L239" s="599"/>
      <c r="M239" s="13">
        <f t="shared" si="64"/>
        <v>1</v>
      </c>
      <c r="N239" s="599"/>
      <c r="O239" s="13">
        <f t="shared" si="65"/>
        <v>1</v>
      </c>
      <c r="P239" s="599"/>
      <c r="Q239" s="13">
        <f t="shared" si="66"/>
        <v>0</v>
      </c>
      <c r="R239" s="596">
        <f t="shared" si="71"/>
        <v>0</v>
      </c>
      <c r="S239" s="250">
        <f t="shared" si="72"/>
        <v>0</v>
      </c>
      <c r="T239" s="899">
        <f t="shared" si="73"/>
        <v>0</v>
      </c>
      <c r="U239" s="2988">
        <f t="shared" si="67"/>
        <v>0</v>
      </c>
      <c r="V239" s="2988">
        <f t="shared" si="68"/>
        <v>0</v>
      </c>
      <c r="W239" s="996"/>
      <c r="X239" s="2988">
        <f t="shared" si="69"/>
        <v>0</v>
      </c>
      <c r="Y239" s="2988">
        <f t="shared" si="70"/>
        <v>0</v>
      </c>
      <c r="Z239" s="996"/>
    </row>
    <row r="240" spans="1:26">
      <c r="A240" s="35"/>
      <c r="B240" s="20"/>
      <c r="C240" s="13">
        <f t="shared" si="59"/>
        <v>1</v>
      </c>
      <c r="D240" s="599"/>
      <c r="E240" s="13">
        <f t="shared" si="60"/>
        <v>1</v>
      </c>
      <c r="F240" s="599"/>
      <c r="G240" s="13">
        <f t="shared" si="61"/>
        <v>1</v>
      </c>
      <c r="H240" s="599"/>
      <c r="I240" s="13">
        <f t="shared" si="62"/>
        <v>1</v>
      </c>
      <c r="J240" s="599"/>
      <c r="K240" s="13">
        <f t="shared" si="63"/>
        <v>1</v>
      </c>
      <c r="L240" s="599"/>
      <c r="M240" s="13">
        <f t="shared" si="64"/>
        <v>1</v>
      </c>
      <c r="N240" s="599"/>
      <c r="O240" s="13">
        <f t="shared" si="65"/>
        <v>1</v>
      </c>
      <c r="P240" s="599"/>
      <c r="Q240" s="13">
        <f t="shared" si="66"/>
        <v>0</v>
      </c>
      <c r="R240" s="596">
        <f t="shared" si="71"/>
        <v>0</v>
      </c>
      <c r="S240" s="250">
        <f t="shared" si="72"/>
        <v>0</v>
      </c>
      <c r="T240" s="899">
        <f t="shared" si="73"/>
        <v>0</v>
      </c>
      <c r="U240" s="2988">
        <f t="shared" si="67"/>
        <v>0</v>
      </c>
      <c r="V240" s="2988">
        <f t="shared" si="68"/>
        <v>0</v>
      </c>
      <c r="W240" s="996"/>
      <c r="X240" s="2988">
        <f t="shared" si="69"/>
        <v>0</v>
      </c>
      <c r="Y240" s="2988">
        <f t="shared" si="70"/>
        <v>0</v>
      </c>
      <c r="Z240" s="996"/>
    </row>
    <row r="241" spans="1:26">
      <c r="A241" s="35"/>
      <c r="B241" s="20"/>
      <c r="C241" s="13">
        <f t="shared" si="59"/>
        <v>1</v>
      </c>
      <c r="D241" s="599"/>
      <c r="E241" s="13">
        <f t="shared" si="60"/>
        <v>1</v>
      </c>
      <c r="F241" s="599"/>
      <c r="G241" s="13">
        <f t="shared" si="61"/>
        <v>1</v>
      </c>
      <c r="H241" s="599"/>
      <c r="I241" s="13">
        <f t="shared" si="62"/>
        <v>1</v>
      </c>
      <c r="J241" s="599"/>
      <c r="K241" s="13">
        <f t="shared" si="63"/>
        <v>1</v>
      </c>
      <c r="L241" s="599"/>
      <c r="M241" s="13">
        <f t="shared" si="64"/>
        <v>1</v>
      </c>
      <c r="N241" s="599"/>
      <c r="O241" s="13">
        <f t="shared" si="65"/>
        <v>1</v>
      </c>
      <c r="P241" s="599"/>
      <c r="Q241" s="13">
        <f t="shared" si="66"/>
        <v>0</v>
      </c>
      <c r="R241" s="596">
        <f t="shared" si="71"/>
        <v>0</v>
      </c>
      <c r="S241" s="250">
        <f t="shared" si="72"/>
        <v>0</v>
      </c>
      <c r="T241" s="899">
        <f t="shared" si="73"/>
        <v>0</v>
      </c>
      <c r="U241" s="2988">
        <f t="shared" si="67"/>
        <v>0</v>
      </c>
      <c r="V241" s="2988">
        <f t="shared" si="68"/>
        <v>0</v>
      </c>
      <c r="W241" s="996"/>
      <c r="X241" s="2988">
        <f t="shared" si="69"/>
        <v>0</v>
      </c>
      <c r="Y241" s="2988">
        <f t="shared" si="70"/>
        <v>0</v>
      </c>
      <c r="Z241" s="996"/>
    </row>
    <row r="242" spans="1:26">
      <c r="A242" s="35"/>
      <c r="B242" s="20"/>
      <c r="C242" s="13">
        <f t="shared" si="59"/>
        <v>1</v>
      </c>
      <c r="D242" s="599"/>
      <c r="E242" s="13">
        <f t="shared" si="60"/>
        <v>1</v>
      </c>
      <c r="F242" s="599"/>
      <c r="G242" s="13">
        <f t="shared" si="61"/>
        <v>1</v>
      </c>
      <c r="H242" s="599"/>
      <c r="I242" s="13">
        <f t="shared" si="62"/>
        <v>1</v>
      </c>
      <c r="J242" s="599"/>
      <c r="K242" s="13">
        <f t="shared" si="63"/>
        <v>1</v>
      </c>
      <c r="L242" s="599"/>
      <c r="M242" s="13">
        <f t="shared" si="64"/>
        <v>1</v>
      </c>
      <c r="N242" s="599"/>
      <c r="O242" s="13">
        <f t="shared" si="65"/>
        <v>1</v>
      </c>
      <c r="P242" s="599"/>
      <c r="Q242" s="13">
        <f t="shared" si="66"/>
        <v>0</v>
      </c>
      <c r="R242" s="596">
        <f t="shared" si="71"/>
        <v>0</v>
      </c>
      <c r="S242" s="250">
        <f t="shared" si="72"/>
        <v>0</v>
      </c>
      <c r="T242" s="899">
        <f t="shared" si="73"/>
        <v>0</v>
      </c>
      <c r="U242" s="2988">
        <f t="shared" si="67"/>
        <v>0</v>
      </c>
      <c r="V242" s="2988">
        <f t="shared" si="68"/>
        <v>0</v>
      </c>
      <c r="W242" s="996"/>
      <c r="X242" s="2988">
        <f t="shared" si="69"/>
        <v>0</v>
      </c>
      <c r="Y242" s="2988">
        <f t="shared" si="70"/>
        <v>0</v>
      </c>
      <c r="Z242" s="996"/>
    </row>
    <row r="243" spans="1:26">
      <c r="A243" s="35"/>
      <c r="B243" s="20"/>
      <c r="C243" s="13">
        <f t="shared" si="59"/>
        <v>1</v>
      </c>
      <c r="D243" s="599"/>
      <c r="E243" s="13">
        <f t="shared" si="60"/>
        <v>1</v>
      </c>
      <c r="F243" s="599"/>
      <c r="G243" s="13">
        <f t="shared" si="61"/>
        <v>1</v>
      </c>
      <c r="H243" s="599"/>
      <c r="I243" s="13">
        <f t="shared" si="62"/>
        <v>1</v>
      </c>
      <c r="J243" s="599"/>
      <c r="K243" s="13">
        <f t="shared" si="63"/>
        <v>1</v>
      </c>
      <c r="L243" s="599"/>
      <c r="M243" s="13">
        <f t="shared" si="64"/>
        <v>1</v>
      </c>
      <c r="N243" s="599"/>
      <c r="O243" s="13">
        <f t="shared" si="65"/>
        <v>1</v>
      </c>
      <c r="P243" s="599"/>
      <c r="Q243" s="13">
        <f t="shared" si="66"/>
        <v>0</v>
      </c>
      <c r="R243" s="596">
        <f t="shared" si="71"/>
        <v>0</v>
      </c>
      <c r="S243" s="250">
        <f t="shared" si="72"/>
        <v>0</v>
      </c>
      <c r="T243" s="899">
        <f t="shared" si="73"/>
        <v>0</v>
      </c>
      <c r="U243" s="2988">
        <f t="shared" si="67"/>
        <v>0</v>
      </c>
      <c r="V243" s="2988">
        <f t="shared" si="68"/>
        <v>0</v>
      </c>
      <c r="W243" s="996"/>
      <c r="X243" s="2988">
        <f t="shared" si="69"/>
        <v>0</v>
      </c>
      <c r="Y243" s="2988">
        <f t="shared" si="70"/>
        <v>0</v>
      </c>
      <c r="Z243" s="996"/>
    </row>
    <row r="244" spans="1:26">
      <c r="A244" s="35"/>
      <c r="B244" s="20"/>
      <c r="C244" s="13">
        <f t="shared" si="59"/>
        <v>1</v>
      </c>
      <c r="D244" s="599"/>
      <c r="E244" s="13">
        <f t="shared" si="60"/>
        <v>1</v>
      </c>
      <c r="F244" s="599"/>
      <c r="G244" s="13">
        <f t="shared" si="61"/>
        <v>1</v>
      </c>
      <c r="H244" s="599"/>
      <c r="I244" s="13">
        <f t="shared" si="62"/>
        <v>1</v>
      </c>
      <c r="J244" s="599"/>
      <c r="K244" s="13">
        <f t="shared" si="63"/>
        <v>1</v>
      </c>
      <c r="L244" s="599"/>
      <c r="M244" s="13">
        <f t="shared" si="64"/>
        <v>1</v>
      </c>
      <c r="N244" s="599"/>
      <c r="O244" s="13">
        <f t="shared" si="65"/>
        <v>1</v>
      </c>
      <c r="P244" s="599"/>
      <c r="Q244" s="13">
        <f t="shared" si="66"/>
        <v>0</v>
      </c>
      <c r="R244" s="596">
        <f t="shared" si="71"/>
        <v>0</v>
      </c>
      <c r="S244" s="250">
        <f t="shared" si="72"/>
        <v>0</v>
      </c>
      <c r="T244" s="899">
        <f t="shared" si="73"/>
        <v>0</v>
      </c>
      <c r="U244" s="2988">
        <f t="shared" si="67"/>
        <v>0</v>
      </c>
      <c r="V244" s="2988">
        <f t="shared" si="68"/>
        <v>0</v>
      </c>
      <c r="W244" s="996"/>
      <c r="X244" s="2988">
        <f t="shared" si="69"/>
        <v>0</v>
      </c>
      <c r="Y244" s="2988">
        <f t="shared" si="70"/>
        <v>0</v>
      </c>
      <c r="Z244" s="996"/>
    </row>
    <row r="245" spans="1:26">
      <c r="A245" s="35"/>
      <c r="B245" s="20"/>
      <c r="C245" s="13">
        <f t="shared" si="59"/>
        <v>1</v>
      </c>
      <c r="D245" s="599"/>
      <c r="E245" s="13">
        <f t="shared" si="60"/>
        <v>1</v>
      </c>
      <c r="F245" s="599"/>
      <c r="G245" s="13">
        <f t="shared" si="61"/>
        <v>1</v>
      </c>
      <c r="H245" s="599"/>
      <c r="I245" s="13">
        <f t="shared" si="62"/>
        <v>1</v>
      </c>
      <c r="J245" s="599"/>
      <c r="K245" s="13">
        <f t="shared" si="63"/>
        <v>1</v>
      </c>
      <c r="L245" s="599"/>
      <c r="M245" s="13">
        <f t="shared" si="64"/>
        <v>1</v>
      </c>
      <c r="N245" s="599"/>
      <c r="O245" s="13">
        <f t="shared" si="65"/>
        <v>1</v>
      </c>
      <c r="P245" s="599"/>
      <c r="Q245" s="13">
        <f t="shared" si="66"/>
        <v>0</v>
      </c>
      <c r="R245" s="596">
        <f t="shared" si="71"/>
        <v>0</v>
      </c>
      <c r="S245" s="250">
        <f t="shared" si="72"/>
        <v>0</v>
      </c>
      <c r="T245" s="899">
        <f t="shared" si="73"/>
        <v>0</v>
      </c>
      <c r="U245" s="2988">
        <f t="shared" si="67"/>
        <v>0</v>
      </c>
      <c r="V245" s="2988">
        <f t="shared" si="68"/>
        <v>0</v>
      </c>
      <c r="W245" s="996"/>
      <c r="X245" s="2988">
        <f t="shared" si="69"/>
        <v>0</v>
      </c>
      <c r="Y245" s="2988">
        <f t="shared" si="70"/>
        <v>0</v>
      </c>
      <c r="Z245" s="996"/>
    </row>
    <row r="246" spans="1:26">
      <c r="A246" s="35"/>
      <c r="B246" s="20"/>
      <c r="C246" s="13">
        <f t="shared" si="59"/>
        <v>1</v>
      </c>
      <c r="D246" s="599"/>
      <c r="E246" s="13">
        <f t="shared" si="60"/>
        <v>1</v>
      </c>
      <c r="F246" s="599"/>
      <c r="G246" s="13">
        <f t="shared" si="61"/>
        <v>1</v>
      </c>
      <c r="H246" s="599"/>
      <c r="I246" s="13">
        <f t="shared" si="62"/>
        <v>1</v>
      </c>
      <c r="J246" s="599"/>
      <c r="K246" s="13">
        <f t="shared" si="63"/>
        <v>1</v>
      </c>
      <c r="L246" s="599"/>
      <c r="M246" s="13">
        <f t="shared" si="64"/>
        <v>1</v>
      </c>
      <c r="N246" s="599"/>
      <c r="O246" s="13">
        <f t="shared" si="65"/>
        <v>1</v>
      </c>
      <c r="P246" s="599"/>
      <c r="Q246" s="13">
        <f t="shared" si="66"/>
        <v>0</v>
      </c>
      <c r="R246" s="596">
        <f t="shared" si="71"/>
        <v>0</v>
      </c>
      <c r="S246" s="250">
        <f t="shared" si="72"/>
        <v>0</v>
      </c>
      <c r="T246" s="899">
        <f t="shared" si="73"/>
        <v>0</v>
      </c>
      <c r="U246" s="2988">
        <f t="shared" si="67"/>
        <v>0</v>
      </c>
      <c r="V246" s="2988">
        <f t="shared" si="68"/>
        <v>0</v>
      </c>
      <c r="W246" s="996"/>
      <c r="X246" s="2988">
        <f t="shared" si="69"/>
        <v>0</v>
      </c>
      <c r="Y246" s="2988">
        <f t="shared" si="70"/>
        <v>0</v>
      </c>
      <c r="Z246" s="996"/>
    </row>
    <row r="247" spans="1:26">
      <c r="A247" s="35"/>
      <c r="B247" s="20"/>
      <c r="C247" s="13">
        <f t="shared" si="59"/>
        <v>1</v>
      </c>
      <c r="D247" s="599"/>
      <c r="E247" s="13">
        <f t="shared" si="60"/>
        <v>1</v>
      </c>
      <c r="F247" s="599"/>
      <c r="G247" s="13">
        <f t="shared" si="61"/>
        <v>1</v>
      </c>
      <c r="H247" s="599"/>
      <c r="I247" s="13">
        <f t="shared" si="62"/>
        <v>1</v>
      </c>
      <c r="J247" s="599"/>
      <c r="K247" s="13">
        <f t="shared" si="63"/>
        <v>1</v>
      </c>
      <c r="L247" s="599"/>
      <c r="M247" s="13">
        <f t="shared" si="64"/>
        <v>1</v>
      </c>
      <c r="N247" s="599"/>
      <c r="O247" s="13">
        <f t="shared" si="65"/>
        <v>1</v>
      </c>
      <c r="P247" s="599"/>
      <c r="Q247" s="13">
        <f t="shared" si="66"/>
        <v>0</v>
      </c>
      <c r="R247" s="596">
        <f t="shared" si="71"/>
        <v>0</v>
      </c>
      <c r="S247" s="250">
        <f t="shared" si="72"/>
        <v>0</v>
      </c>
      <c r="T247" s="899">
        <f t="shared" si="73"/>
        <v>0</v>
      </c>
      <c r="U247" s="2988">
        <f t="shared" si="67"/>
        <v>0</v>
      </c>
      <c r="V247" s="2988">
        <f t="shared" si="68"/>
        <v>0</v>
      </c>
      <c r="W247" s="996"/>
      <c r="X247" s="2988">
        <f t="shared" si="69"/>
        <v>0</v>
      </c>
      <c r="Y247" s="2988">
        <f t="shared" si="70"/>
        <v>0</v>
      </c>
      <c r="Z247" s="996"/>
    </row>
    <row r="248" spans="1:26">
      <c r="A248" s="35"/>
      <c r="B248" s="20"/>
      <c r="C248" s="13">
        <f t="shared" si="59"/>
        <v>1</v>
      </c>
      <c r="D248" s="599"/>
      <c r="E248" s="13">
        <f t="shared" si="60"/>
        <v>1</v>
      </c>
      <c r="F248" s="599"/>
      <c r="G248" s="13">
        <f t="shared" si="61"/>
        <v>1</v>
      </c>
      <c r="H248" s="599"/>
      <c r="I248" s="13">
        <f t="shared" si="62"/>
        <v>1</v>
      </c>
      <c r="J248" s="599"/>
      <c r="K248" s="13">
        <f t="shared" si="63"/>
        <v>1</v>
      </c>
      <c r="L248" s="599"/>
      <c r="M248" s="13">
        <f t="shared" si="64"/>
        <v>1</v>
      </c>
      <c r="N248" s="599"/>
      <c r="O248" s="13">
        <f t="shared" si="65"/>
        <v>1</v>
      </c>
      <c r="P248" s="599"/>
      <c r="Q248" s="13">
        <f t="shared" si="66"/>
        <v>0</v>
      </c>
      <c r="R248" s="596">
        <f t="shared" si="71"/>
        <v>0</v>
      </c>
      <c r="S248" s="250">
        <f t="shared" si="72"/>
        <v>0</v>
      </c>
      <c r="T248" s="899">
        <f t="shared" si="73"/>
        <v>0</v>
      </c>
      <c r="U248" s="2988">
        <f t="shared" si="67"/>
        <v>0</v>
      </c>
      <c r="V248" s="2988">
        <f t="shared" si="68"/>
        <v>0</v>
      </c>
      <c r="W248" s="996"/>
      <c r="X248" s="2988">
        <f t="shared" si="69"/>
        <v>0</v>
      </c>
      <c r="Y248" s="2988">
        <f t="shared" si="70"/>
        <v>0</v>
      </c>
      <c r="Z248" s="996"/>
    </row>
    <row r="249" spans="1:26">
      <c r="A249" s="35"/>
      <c r="B249" s="20"/>
      <c r="C249" s="13">
        <f t="shared" si="59"/>
        <v>1</v>
      </c>
      <c r="D249" s="599"/>
      <c r="E249" s="13">
        <f t="shared" si="60"/>
        <v>1</v>
      </c>
      <c r="F249" s="599"/>
      <c r="G249" s="13">
        <f t="shared" si="61"/>
        <v>1</v>
      </c>
      <c r="H249" s="599"/>
      <c r="I249" s="13">
        <f t="shared" si="62"/>
        <v>1</v>
      </c>
      <c r="J249" s="599"/>
      <c r="K249" s="13">
        <f t="shared" si="63"/>
        <v>1</v>
      </c>
      <c r="L249" s="599"/>
      <c r="M249" s="13">
        <f t="shared" si="64"/>
        <v>1</v>
      </c>
      <c r="N249" s="599"/>
      <c r="O249" s="13">
        <f t="shared" si="65"/>
        <v>1</v>
      </c>
      <c r="P249" s="599"/>
      <c r="Q249" s="13">
        <f t="shared" si="66"/>
        <v>0</v>
      </c>
      <c r="R249" s="596">
        <f t="shared" si="71"/>
        <v>0</v>
      </c>
      <c r="S249" s="250">
        <f t="shared" si="72"/>
        <v>0</v>
      </c>
      <c r="T249" s="899">
        <f t="shared" si="73"/>
        <v>0</v>
      </c>
      <c r="U249" s="2988">
        <f t="shared" si="67"/>
        <v>0</v>
      </c>
      <c r="V249" s="2988">
        <f t="shared" si="68"/>
        <v>0</v>
      </c>
      <c r="W249" s="996"/>
      <c r="X249" s="2988">
        <f t="shared" si="69"/>
        <v>0</v>
      </c>
      <c r="Y249" s="2988">
        <f t="shared" si="70"/>
        <v>0</v>
      </c>
      <c r="Z249" s="996"/>
    </row>
    <row r="250" spans="1:26">
      <c r="A250" s="35"/>
      <c r="B250" s="20"/>
      <c r="C250" s="13">
        <f t="shared" si="59"/>
        <v>1</v>
      </c>
      <c r="D250" s="599"/>
      <c r="E250" s="13">
        <f t="shared" si="60"/>
        <v>1</v>
      </c>
      <c r="F250" s="599"/>
      <c r="G250" s="13">
        <f t="shared" si="61"/>
        <v>1</v>
      </c>
      <c r="H250" s="599"/>
      <c r="I250" s="13">
        <f t="shared" si="62"/>
        <v>1</v>
      </c>
      <c r="J250" s="599"/>
      <c r="K250" s="13">
        <f t="shared" si="63"/>
        <v>1</v>
      </c>
      <c r="L250" s="599"/>
      <c r="M250" s="13">
        <f t="shared" si="64"/>
        <v>1</v>
      </c>
      <c r="N250" s="599"/>
      <c r="O250" s="13">
        <f t="shared" si="65"/>
        <v>1</v>
      </c>
      <c r="P250" s="599"/>
      <c r="Q250" s="13">
        <f t="shared" si="66"/>
        <v>0</v>
      </c>
      <c r="R250" s="596">
        <f t="shared" si="71"/>
        <v>0</v>
      </c>
      <c r="S250" s="250">
        <f t="shared" si="72"/>
        <v>0</v>
      </c>
      <c r="T250" s="899">
        <f t="shared" si="73"/>
        <v>0</v>
      </c>
      <c r="U250" s="2988">
        <f t="shared" si="67"/>
        <v>0</v>
      </c>
      <c r="V250" s="2988">
        <f t="shared" si="68"/>
        <v>0</v>
      </c>
      <c r="W250" s="996"/>
      <c r="X250" s="2988">
        <f t="shared" si="69"/>
        <v>0</v>
      </c>
      <c r="Y250" s="2988">
        <f t="shared" si="70"/>
        <v>0</v>
      </c>
      <c r="Z250" s="996"/>
    </row>
    <row r="251" spans="1:26">
      <c r="A251" s="35"/>
      <c r="B251" s="20"/>
      <c r="C251" s="13">
        <f t="shared" si="59"/>
        <v>1</v>
      </c>
      <c r="D251" s="599"/>
      <c r="E251" s="13">
        <f t="shared" si="60"/>
        <v>1</v>
      </c>
      <c r="F251" s="599"/>
      <c r="G251" s="13">
        <f t="shared" si="61"/>
        <v>1</v>
      </c>
      <c r="H251" s="599"/>
      <c r="I251" s="13">
        <f t="shared" si="62"/>
        <v>1</v>
      </c>
      <c r="J251" s="599"/>
      <c r="K251" s="13">
        <f t="shared" si="63"/>
        <v>1</v>
      </c>
      <c r="L251" s="599"/>
      <c r="M251" s="13">
        <f t="shared" si="64"/>
        <v>1</v>
      </c>
      <c r="N251" s="599"/>
      <c r="O251" s="13">
        <f t="shared" si="65"/>
        <v>1</v>
      </c>
      <c r="P251" s="599"/>
      <c r="Q251" s="13">
        <f t="shared" si="66"/>
        <v>0</v>
      </c>
      <c r="R251" s="596">
        <f t="shared" si="71"/>
        <v>0</v>
      </c>
      <c r="S251" s="250">
        <f t="shared" si="72"/>
        <v>0</v>
      </c>
      <c r="T251" s="899">
        <f t="shared" si="73"/>
        <v>0</v>
      </c>
      <c r="U251" s="2988">
        <f t="shared" si="67"/>
        <v>0</v>
      </c>
      <c r="V251" s="2988">
        <f t="shared" si="68"/>
        <v>0</v>
      </c>
      <c r="W251" s="996"/>
      <c r="X251" s="2988">
        <f t="shared" si="69"/>
        <v>0</v>
      </c>
      <c r="Y251" s="2988">
        <f t="shared" si="70"/>
        <v>0</v>
      </c>
      <c r="Z251" s="996"/>
    </row>
    <row r="252" spans="1:26">
      <c r="A252" s="35"/>
      <c r="B252" s="20"/>
      <c r="C252" s="13">
        <f t="shared" si="59"/>
        <v>1</v>
      </c>
      <c r="D252" s="599"/>
      <c r="E252" s="13">
        <f t="shared" si="60"/>
        <v>1</v>
      </c>
      <c r="F252" s="599"/>
      <c r="G252" s="13">
        <f t="shared" si="61"/>
        <v>1</v>
      </c>
      <c r="H252" s="599"/>
      <c r="I252" s="13">
        <f t="shared" si="62"/>
        <v>1</v>
      </c>
      <c r="J252" s="599"/>
      <c r="K252" s="13">
        <f t="shared" si="63"/>
        <v>1</v>
      </c>
      <c r="L252" s="599"/>
      <c r="M252" s="13">
        <f t="shared" si="64"/>
        <v>1</v>
      </c>
      <c r="N252" s="599"/>
      <c r="O252" s="13">
        <f t="shared" si="65"/>
        <v>1</v>
      </c>
      <c r="P252" s="599"/>
      <c r="Q252" s="13">
        <f t="shared" si="66"/>
        <v>0</v>
      </c>
      <c r="R252" s="596">
        <f t="shared" si="71"/>
        <v>0</v>
      </c>
      <c r="S252" s="250">
        <f t="shared" si="72"/>
        <v>0</v>
      </c>
      <c r="T252" s="899">
        <f t="shared" si="73"/>
        <v>0</v>
      </c>
      <c r="U252" s="2988">
        <f t="shared" si="67"/>
        <v>0</v>
      </c>
      <c r="V252" s="2988">
        <f t="shared" si="68"/>
        <v>0</v>
      </c>
      <c r="W252" s="996"/>
      <c r="X252" s="2988">
        <f t="shared" si="69"/>
        <v>0</v>
      </c>
      <c r="Y252" s="2988">
        <f t="shared" si="70"/>
        <v>0</v>
      </c>
      <c r="Z252" s="996"/>
    </row>
    <row r="253" spans="1:26">
      <c r="A253" s="35"/>
      <c r="B253" s="20"/>
      <c r="C253" s="13">
        <f t="shared" si="59"/>
        <v>1</v>
      </c>
      <c r="D253" s="599"/>
      <c r="E253" s="13">
        <f t="shared" si="60"/>
        <v>1</v>
      </c>
      <c r="F253" s="599"/>
      <c r="G253" s="13">
        <f t="shared" si="61"/>
        <v>1</v>
      </c>
      <c r="H253" s="599"/>
      <c r="I253" s="13">
        <f t="shared" si="62"/>
        <v>1</v>
      </c>
      <c r="J253" s="599"/>
      <c r="K253" s="13">
        <f t="shared" si="63"/>
        <v>1</v>
      </c>
      <c r="L253" s="599"/>
      <c r="M253" s="13">
        <f t="shared" si="64"/>
        <v>1</v>
      </c>
      <c r="N253" s="599"/>
      <c r="O253" s="13">
        <f t="shared" si="65"/>
        <v>1</v>
      </c>
      <c r="P253" s="599"/>
      <c r="Q253" s="13">
        <f t="shared" si="66"/>
        <v>0</v>
      </c>
      <c r="R253" s="596">
        <f t="shared" si="71"/>
        <v>0</v>
      </c>
      <c r="S253" s="250">
        <f t="shared" si="72"/>
        <v>0</v>
      </c>
      <c r="T253" s="899">
        <f t="shared" si="73"/>
        <v>0</v>
      </c>
      <c r="U253" s="2988">
        <f t="shared" si="67"/>
        <v>0</v>
      </c>
      <c r="V253" s="2988">
        <f t="shared" si="68"/>
        <v>0</v>
      </c>
      <c r="W253" s="996"/>
      <c r="X253" s="2988">
        <f t="shared" si="69"/>
        <v>0</v>
      </c>
      <c r="Y253" s="2988">
        <f t="shared" si="70"/>
        <v>0</v>
      </c>
      <c r="Z253" s="996"/>
    </row>
    <row r="254" spans="1:26">
      <c r="A254" s="35"/>
      <c r="B254" s="20"/>
      <c r="C254" s="13">
        <f t="shared" si="59"/>
        <v>1</v>
      </c>
      <c r="D254" s="599"/>
      <c r="E254" s="13">
        <f t="shared" si="60"/>
        <v>1</v>
      </c>
      <c r="F254" s="599"/>
      <c r="G254" s="13">
        <f t="shared" si="61"/>
        <v>1</v>
      </c>
      <c r="H254" s="599"/>
      <c r="I254" s="13">
        <f t="shared" si="62"/>
        <v>1</v>
      </c>
      <c r="J254" s="599"/>
      <c r="K254" s="13">
        <f t="shared" si="63"/>
        <v>1</v>
      </c>
      <c r="L254" s="599"/>
      <c r="M254" s="13">
        <f t="shared" si="64"/>
        <v>1</v>
      </c>
      <c r="N254" s="599"/>
      <c r="O254" s="13">
        <f t="shared" si="65"/>
        <v>1</v>
      </c>
      <c r="P254" s="599"/>
      <c r="Q254" s="13">
        <f t="shared" si="66"/>
        <v>0</v>
      </c>
      <c r="R254" s="596">
        <f t="shared" si="71"/>
        <v>0</v>
      </c>
      <c r="S254" s="250">
        <f t="shared" si="72"/>
        <v>0</v>
      </c>
      <c r="T254" s="899">
        <f t="shared" si="73"/>
        <v>0</v>
      </c>
      <c r="U254" s="2988">
        <f t="shared" si="67"/>
        <v>0</v>
      </c>
      <c r="V254" s="2988">
        <f t="shared" si="68"/>
        <v>0</v>
      </c>
      <c r="W254" s="996"/>
      <c r="X254" s="2988">
        <f t="shared" si="69"/>
        <v>0</v>
      </c>
      <c r="Y254" s="2988">
        <f t="shared" si="70"/>
        <v>0</v>
      </c>
      <c r="Z254" s="996"/>
    </row>
    <row r="255" spans="1:26">
      <c r="A255" s="35"/>
      <c r="B255" s="20"/>
      <c r="C255" s="13">
        <f t="shared" si="59"/>
        <v>1</v>
      </c>
      <c r="D255" s="599"/>
      <c r="E255" s="13">
        <f t="shared" si="60"/>
        <v>1</v>
      </c>
      <c r="F255" s="599"/>
      <c r="G255" s="13">
        <f t="shared" si="61"/>
        <v>1</v>
      </c>
      <c r="H255" s="599"/>
      <c r="I255" s="13">
        <f t="shared" si="62"/>
        <v>1</v>
      </c>
      <c r="J255" s="599"/>
      <c r="K255" s="13">
        <f t="shared" si="63"/>
        <v>1</v>
      </c>
      <c r="L255" s="599"/>
      <c r="M255" s="13">
        <f t="shared" si="64"/>
        <v>1</v>
      </c>
      <c r="N255" s="599"/>
      <c r="O255" s="13">
        <f t="shared" si="65"/>
        <v>1</v>
      </c>
      <c r="P255" s="599"/>
      <c r="Q255" s="13">
        <f t="shared" si="66"/>
        <v>0</v>
      </c>
      <c r="R255" s="596">
        <f t="shared" si="71"/>
        <v>0</v>
      </c>
      <c r="S255" s="250">
        <f t="shared" si="72"/>
        <v>0</v>
      </c>
      <c r="T255" s="899">
        <f t="shared" si="73"/>
        <v>0</v>
      </c>
      <c r="U255" s="2988">
        <f t="shared" si="67"/>
        <v>0</v>
      </c>
      <c r="V255" s="2988">
        <f t="shared" si="68"/>
        <v>0</v>
      </c>
      <c r="W255" s="996"/>
      <c r="X255" s="2988">
        <f t="shared" si="69"/>
        <v>0</v>
      </c>
      <c r="Y255" s="2988">
        <f t="shared" si="70"/>
        <v>0</v>
      </c>
      <c r="Z255" s="996"/>
    </row>
    <row r="256" spans="1:26">
      <c r="A256" s="35"/>
      <c r="B256" s="20"/>
      <c r="C256" s="13">
        <f t="shared" si="59"/>
        <v>1</v>
      </c>
      <c r="D256" s="599"/>
      <c r="E256" s="13">
        <f t="shared" si="60"/>
        <v>1</v>
      </c>
      <c r="F256" s="599"/>
      <c r="G256" s="13">
        <f t="shared" si="61"/>
        <v>1</v>
      </c>
      <c r="H256" s="599"/>
      <c r="I256" s="13">
        <f t="shared" si="62"/>
        <v>1</v>
      </c>
      <c r="J256" s="599"/>
      <c r="K256" s="13">
        <f t="shared" si="63"/>
        <v>1</v>
      </c>
      <c r="L256" s="599"/>
      <c r="M256" s="13">
        <f t="shared" si="64"/>
        <v>1</v>
      </c>
      <c r="N256" s="599"/>
      <c r="O256" s="13">
        <f t="shared" si="65"/>
        <v>1</v>
      </c>
      <c r="P256" s="599"/>
      <c r="Q256" s="13">
        <f t="shared" si="66"/>
        <v>0</v>
      </c>
      <c r="R256" s="596">
        <f t="shared" si="71"/>
        <v>0</v>
      </c>
      <c r="S256" s="250">
        <f t="shared" si="72"/>
        <v>0</v>
      </c>
      <c r="T256" s="899">
        <f t="shared" si="73"/>
        <v>0</v>
      </c>
      <c r="U256" s="2988">
        <f t="shared" si="67"/>
        <v>0</v>
      </c>
      <c r="V256" s="2988">
        <f t="shared" si="68"/>
        <v>0</v>
      </c>
      <c r="W256" s="996"/>
      <c r="X256" s="2988">
        <f t="shared" si="69"/>
        <v>0</v>
      </c>
      <c r="Y256" s="2988">
        <f t="shared" si="70"/>
        <v>0</v>
      </c>
      <c r="Z256" s="996"/>
    </row>
    <row r="257" spans="1:26">
      <c r="A257" s="35"/>
      <c r="B257" s="20"/>
      <c r="C257" s="13">
        <f t="shared" si="59"/>
        <v>1</v>
      </c>
      <c r="D257" s="599"/>
      <c r="E257" s="13">
        <f t="shared" si="60"/>
        <v>1</v>
      </c>
      <c r="F257" s="599"/>
      <c r="G257" s="13">
        <f t="shared" si="61"/>
        <v>1</v>
      </c>
      <c r="H257" s="599"/>
      <c r="I257" s="13">
        <f t="shared" si="62"/>
        <v>1</v>
      </c>
      <c r="J257" s="599"/>
      <c r="K257" s="13">
        <f t="shared" si="63"/>
        <v>1</v>
      </c>
      <c r="L257" s="599"/>
      <c r="M257" s="13">
        <f t="shared" si="64"/>
        <v>1</v>
      </c>
      <c r="N257" s="599"/>
      <c r="O257" s="13">
        <f t="shared" si="65"/>
        <v>1</v>
      </c>
      <c r="P257" s="599"/>
      <c r="Q257" s="13">
        <f t="shared" si="66"/>
        <v>0</v>
      </c>
      <c r="R257" s="596">
        <f t="shared" si="71"/>
        <v>0</v>
      </c>
      <c r="S257" s="250">
        <f t="shared" si="72"/>
        <v>0</v>
      </c>
      <c r="T257" s="899">
        <f t="shared" si="73"/>
        <v>0</v>
      </c>
      <c r="U257" s="2988">
        <f t="shared" si="67"/>
        <v>0</v>
      </c>
      <c r="V257" s="2988">
        <f t="shared" si="68"/>
        <v>0</v>
      </c>
      <c r="W257" s="996"/>
      <c r="X257" s="2988">
        <f t="shared" si="69"/>
        <v>0</v>
      </c>
      <c r="Y257" s="2988">
        <f t="shared" si="70"/>
        <v>0</v>
      </c>
      <c r="Z257" s="996"/>
    </row>
    <row r="258" spans="1:26">
      <c r="A258" s="35"/>
      <c r="B258" s="20"/>
      <c r="C258" s="13">
        <f t="shared" si="59"/>
        <v>1</v>
      </c>
      <c r="D258" s="599"/>
      <c r="E258" s="13">
        <f t="shared" si="60"/>
        <v>1</v>
      </c>
      <c r="F258" s="599"/>
      <c r="G258" s="13">
        <f t="shared" si="61"/>
        <v>1</v>
      </c>
      <c r="H258" s="599"/>
      <c r="I258" s="13">
        <f t="shared" si="62"/>
        <v>1</v>
      </c>
      <c r="J258" s="599"/>
      <c r="K258" s="13">
        <f t="shared" si="63"/>
        <v>1</v>
      </c>
      <c r="L258" s="599"/>
      <c r="M258" s="13">
        <f t="shared" si="64"/>
        <v>1</v>
      </c>
      <c r="N258" s="599"/>
      <c r="O258" s="13">
        <f t="shared" si="65"/>
        <v>1</v>
      </c>
      <c r="P258" s="599"/>
      <c r="Q258" s="13">
        <f t="shared" si="66"/>
        <v>0</v>
      </c>
      <c r="R258" s="596">
        <f t="shared" si="71"/>
        <v>0</v>
      </c>
      <c r="S258" s="250">
        <f t="shared" si="72"/>
        <v>0</v>
      </c>
      <c r="T258" s="899">
        <f t="shared" si="73"/>
        <v>0</v>
      </c>
      <c r="U258" s="2988">
        <f t="shared" si="67"/>
        <v>0</v>
      </c>
      <c r="V258" s="2988">
        <f t="shared" si="68"/>
        <v>0</v>
      </c>
      <c r="W258" s="996"/>
      <c r="X258" s="2988">
        <f t="shared" si="69"/>
        <v>0</v>
      </c>
      <c r="Y258" s="2988">
        <f t="shared" si="70"/>
        <v>0</v>
      </c>
      <c r="Z258" s="996"/>
    </row>
    <row r="259" spans="1:26">
      <c r="A259" s="35"/>
      <c r="B259" s="20"/>
      <c r="C259" s="13">
        <f t="shared" si="59"/>
        <v>1</v>
      </c>
      <c r="D259" s="599"/>
      <c r="E259" s="13">
        <f t="shared" si="60"/>
        <v>1</v>
      </c>
      <c r="F259" s="599"/>
      <c r="G259" s="13">
        <f t="shared" si="61"/>
        <v>1</v>
      </c>
      <c r="H259" s="599"/>
      <c r="I259" s="13">
        <f t="shared" si="62"/>
        <v>1</v>
      </c>
      <c r="J259" s="599"/>
      <c r="K259" s="13">
        <f t="shared" si="63"/>
        <v>1</v>
      </c>
      <c r="L259" s="599"/>
      <c r="M259" s="13">
        <f t="shared" si="64"/>
        <v>1</v>
      </c>
      <c r="N259" s="599"/>
      <c r="O259" s="13">
        <f t="shared" si="65"/>
        <v>1</v>
      </c>
      <c r="P259" s="599"/>
      <c r="Q259" s="13">
        <f t="shared" si="66"/>
        <v>0</v>
      </c>
      <c r="R259" s="596">
        <f t="shared" si="71"/>
        <v>0</v>
      </c>
      <c r="S259" s="250">
        <f t="shared" si="72"/>
        <v>0</v>
      </c>
      <c r="T259" s="899">
        <f t="shared" si="73"/>
        <v>0</v>
      </c>
      <c r="U259" s="2988">
        <f t="shared" si="67"/>
        <v>0</v>
      </c>
      <c r="V259" s="2988">
        <f t="shared" si="68"/>
        <v>0</v>
      </c>
      <c r="W259" s="996"/>
      <c r="X259" s="2988">
        <f t="shared" si="69"/>
        <v>0</v>
      </c>
      <c r="Y259" s="2988">
        <f t="shared" si="70"/>
        <v>0</v>
      </c>
      <c r="Z259" s="996"/>
    </row>
    <row r="260" spans="1:26">
      <c r="A260" s="35"/>
      <c r="B260" s="20"/>
      <c r="C260" s="13">
        <f t="shared" si="59"/>
        <v>1</v>
      </c>
      <c r="D260" s="599"/>
      <c r="E260" s="13">
        <f t="shared" si="60"/>
        <v>1</v>
      </c>
      <c r="F260" s="599"/>
      <c r="G260" s="13">
        <f t="shared" si="61"/>
        <v>1</v>
      </c>
      <c r="H260" s="599"/>
      <c r="I260" s="13">
        <f t="shared" si="62"/>
        <v>1</v>
      </c>
      <c r="J260" s="599"/>
      <c r="K260" s="13">
        <f t="shared" si="63"/>
        <v>1</v>
      </c>
      <c r="L260" s="599"/>
      <c r="M260" s="13">
        <f t="shared" si="64"/>
        <v>1</v>
      </c>
      <c r="N260" s="599"/>
      <c r="O260" s="13">
        <f t="shared" si="65"/>
        <v>1</v>
      </c>
      <c r="P260" s="599"/>
      <c r="Q260" s="13">
        <f t="shared" si="66"/>
        <v>0</v>
      </c>
      <c r="R260" s="596">
        <f t="shared" si="71"/>
        <v>0</v>
      </c>
      <c r="S260" s="250">
        <f t="shared" si="72"/>
        <v>0</v>
      </c>
      <c r="T260" s="899">
        <f t="shared" si="73"/>
        <v>0</v>
      </c>
      <c r="U260" s="2988">
        <f t="shared" si="67"/>
        <v>0</v>
      </c>
      <c r="V260" s="2988">
        <f t="shared" si="68"/>
        <v>0</v>
      </c>
      <c r="W260" s="996"/>
      <c r="X260" s="2988">
        <f t="shared" si="69"/>
        <v>0</v>
      </c>
      <c r="Y260" s="2988">
        <f t="shared" si="70"/>
        <v>0</v>
      </c>
      <c r="Z260" s="996"/>
    </row>
    <row r="261" spans="1:26">
      <c r="A261" s="35"/>
      <c r="B261" s="20"/>
      <c r="C261" s="13">
        <f t="shared" si="59"/>
        <v>1</v>
      </c>
      <c r="D261" s="599"/>
      <c r="E261" s="13">
        <f t="shared" si="60"/>
        <v>1</v>
      </c>
      <c r="F261" s="599"/>
      <c r="G261" s="13">
        <f t="shared" si="61"/>
        <v>1</v>
      </c>
      <c r="H261" s="599"/>
      <c r="I261" s="13">
        <f t="shared" si="62"/>
        <v>1</v>
      </c>
      <c r="J261" s="599"/>
      <c r="K261" s="13">
        <f t="shared" si="63"/>
        <v>1</v>
      </c>
      <c r="L261" s="599"/>
      <c r="M261" s="13">
        <f t="shared" si="64"/>
        <v>1</v>
      </c>
      <c r="N261" s="599"/>
      <c r="O261" s="13">
        <f t="shared" si="65"/>
        <v>1</v>
      </c>
      <c r="P261" s="599"/>
      <c r="Q261" s="13">
        <f t="shared" si="66"/>
        <v>0</v>
      </c>
      <c r="R261" s="596">
        <f t="shared" si="71"/>
        <v>0</v>
      </c>
      <c r="S261" s="250">
        <f t="shared" si="72"/>
        <v>0</v>
      </c>
      <c r="T261" s="899">
        <f t="shared" si="73"/>
        <v>0</v>
      </c>
      <c r="U261" s="2988">
        <f t="shared" si="67"/>
        <v>0</v>
      </c>
      <c r="V261" s="2988">
        <f t="shared" si="68"/>
        <v>0</v>
      </c>
      <c r="W261" s="996"/>
      <c r="X261" s="2988">
        <f t="shared" si="69"/>
        <v>0</v>
      </c>
      <c r="Y261" s="2988">
        <f t="shared" si="70"/>
        <v>0</v>
      </c>
      <c r="Z261" s="996"/>
    </row>
    <row r="262" spans="1:26">
      <c r="A262" s="35"/>
      <c r="B262" s="20"/>
      <c r="C262" s="13">
        <f t="shared" si="59"/>
        <v>1</v>
      </c>
      <c r="D262" s="599"/>
      <c r="E262" s="13">
        <f t="shared" si="60"/>
        <v>1</v>
      </c>
      <c r="F262" s="599"/>
      <c r="G262" s="13">
        <f t="shared" si="61"/>
        <v>1</v>
      </c>
      <c r="H262" s="599"/>
      <c r="I262" s="13">
        <f t="shared" si="62"/>
        <v>1</v>
      </c>
      <c r="J262" s="599"/>
      <c r="K262" s="13">
        <f t="shared" si="63"/>
        <v>1</v>
      </c>
      <c r="L262" s="599"/>
      <c r="M262" s="13">
        <f t="shared" si="64"/>
        <v>1</v>
      </c>
      <c r="N262" s="599"/>
      <c r="O262" s="13">
        <f t="shared" si="65"/>
        <v>1</v>
      </c>
      <c r="P262" s="599"/>
      <c r="Q262" s="13">
        <f t="shared" si="66"/>
        <v>0</v>
      </c>
      <c r="R262" s="596">
        <f t="shared" si="71"/>
        <v>0</v>
      </c>
      <c r="S262" s="250">
        <f t="shared" si="72"/>
        <v>0</v>
      </c>
      <c r="T262" s="899">
        <f t="shared" si="73"/>
        <v>0</v>
      </c>
      <c r="U262" s="2988">
        <f t="shared" si="67"/>
        <v>0</v>
      </c>
      <c r="V262" s="2988">
        <f t="shared" si="68"/>
        <v>0</v>
      </c>
      <c r="W262" s="996"/>
      <c r="X262" s="2988">
        <f t="shared" si="69"/>
        <v>0</v>
      </c>
      <c r="Y262" s="2988">
        <f t="shared" si="70"/>
        <v>0</v>
      </c>
      <c r="Z262" s="996"/>
    </row>
    <row r="263" spans="1:26">
      <c r="A263" s="35"/>
      <c r="B263" s="20"/>
      <c r="C263" s="13">
        <f t="shared" si="59"/>
        <v>1</v>
      </c>
      <c r="D263" s="599"/>
      <c r="E263" s="13">
        <f t="shared" si="60"/>
        <v>1</v>
      </c>
      <c r="F263" s="599"/>
      <c r="G263" s="13">
        <f t="shared" si="61"/>
        <v>1</v>
      </c>
      <c r="H263" s="599"/>
      <c r="I263" s="13">
        <f t="shared" si="62"/>
        <v>1</v>
      </c>
      <c r="J263" s="599"/>
      <c r="K263" s="13">
        <f t="shared" si="63"/>
        <v>1</v>
      </c>
      <c r="L263" s="599"/>
      <c r="M263" s="13">
        <f t="shared" si="64"/>
        <v>1</v>
      </c>
      <c r="N263" s="599"/>
      <c r="O263" s="13">
        <f t="shared" si="65"/>
        <v>1</v>
      </c>
      <c r="P263" s="599"/>
      <c r="Q263" s="13">
        <f t="shared" si="66"/>
        <v>0</v>
      </c>
      <c r="R263" s="596">
        <f t="shared" si="71"/>
        <v>0</v>
      </c>
      <c r="S263" s="250">
        <f t="shared" si="72"/>
        <v>0</v>
      </c>
      <c r="T263" s="899">
        <f t="shared" si="73"/>
        <v>0</v>
      </c>
      <c r="U263" s="2988">
        <f t="shared" si="67"/>
        <v>0</v>
      </c>
      <c r="V263" s="2988">
        <f t="shared" si="68"/>
        <v>0</v>
      </c>
      <c r="W263" s="996"/>
      <c r="X263" s="2988">
        <f t="shared" si="69"/>
        <v>0</v>
      </c>
      <c r="Y263" s="2988">
        <f t="shared" si="70"/>
        <v>0</v>
      </c>
      <c r="Z263" s="996"/>
    </row>
    <row r="264" spans="1:26">
      <c r="A264" s="35"/>
      <c r="B264" s="20"/>
      <c r="C264" s="13">
        <f t="shared" si="59"/>
        <v>1</v>
      </c>
      <c r="D264" s="599"/>
      <c r="E264" s="13">
        <f t="shared" si="60"/>
        <v>1</v>
      </c>
      <c r="F264" s="599"/>
      <c r="G264" s="13">
        <f t="shared" si="61"/>
        <v>1</v>
      </c>
      <c r="H264" s="599"/>
      <c r="I264" s="13">
        <f t="shared" si="62"/>
        <v>1</v>
      </c>
      <c r="J264" s="599"/>
      <c r="K264" s="13">
        <f t="shared" si="63"/>
        <v>1</v>
      </c>
      <c r="L264" s="599"/>
      <c r="M264" s="13">
        <f t="shared" si="64"/>
        <v>1</v>
      </c>
      <c r="N264" s="599"/>
      <c r="O264" s="13">
        <f t="shared" si="65"/>
        <v>1</v>
      </c>
      <c r="P264" s="599"/>
      <c r="Q264" s="13">
        <f t="shared" si="66"/>
        <v>0</v>
      </c>
      <c r="R264" s="596">
        <f t="shared" si="71"/>
        <v>0</v>
      </c>
      <c r="S264" s="250">
        <f t="shared" si="72"/>
        <v>0</v>
      </c>
      <c r="T264" s="899">
        <f t="shared" si="73"/>
        <v>0</v>
      </c>
      <c r="U264" s="2988">
        <f t="shared" si="67"/>
        <v>0</v>
      </c>
      <c r="V264" s="2988">
        <f t="shared" si="68"/>
        <v>0</v>
      </c>
      <c r="W264" s="996"/>
      <c r="X264" s="2988">
        <f t="shared" si="69"/>
        <v>0</v>
      </c>
      <c r="Y264" s="2988">
        <f t="shared" si="70"/>
        <v>0</v>
      </c>
      <c r="Z264" s="996"/>
    </row>
    <row r="265" spans="1:26">
      <c r="A265" s="35"/>
      <c r="B265" s="20"/>
      <c r="C265" s="13">
        <f t="shared" si="59"/>
        <v>1</v>
      </c>
      <c r="D265" s="599"/>
      <c r="E265" s="13">
        <f t="shared" si="60"/>
        <v>1</v>
      </c>
      <c r="F265" s="599"/>
      <c r="G265" s="13">
        <f t="shared" si="61"/>
        <v>1</v>
      </c>
      <c r="H265" s="599"/>
      <c r="I265" s="13">
        <f t="shared" si="62"/>
        <v>1</v>
      </c>
      <c r="J265" s="599"/>
      <c r="K265" s="13">
        <f t="shared" si="63"/>
        <v>1</v>
      </c>
      <c r="L265" s="599"/>
      <c r="M265" s="13">
        <f t="shared" si="64"/>
        <v>1</v>
      </c>
      <c r="N265" s="599"/>
      <c r="O265" s="13">
        <f t="shared" si="65"/>
        <v>1</v>
      </c>
      <c r="P265" s="599"/>
      <c r="Q265" s="13">
        <f t="shared" si="66"/>
        <v>0</v>
      </c>
      <c r="R265" s="596">
        <f t="shared" si="71"/>
        <v>0</v>
      </c>
      <c r="S265" s="250">
        <f t="shared" si="72"/>
        <v>0</v>
      </c>
      <c r="T265" s="899">
        <f t="shared" si="73"/>
        <v>0</v>
      </c>
      <c r="U265" s="2988">
        <f t="shared" si="67"/>
        <v>0</v>
      </c>
      <c r="V265" s="2988">
        <f t="shared" si="68"/>
        <v>0</v>
      </c>
      <c r="W265" s="996"/>
      <c r="X265" s="2988">
        <f t="shared" si="69"/>
        <v>0</v>
      </c>
      <c r="Y265" s="2988">
        <f t="shared" si="70"/>
        <v>0</v>
      </c>
      <c r="Z265" s="996"/>
    </row>
    <row r="266" spans="1:26">
      <c r="A266" s="35"/>
      <c r="B266" s="20"/>
      <c r="C266" s="13">
        <f t="shared" si="59"/>
        <v>1</v>
      </c>
      <c r="D266" s="599"/>
      <c r="E266" s="13">
        <f t="shared" si="60"/>
        <v>1</v>
      </c>
      <c r="F266" s="599"/>
      <c r="G266" s="13">
        <f t="shared" si="61"/>
        <v>1</v>
      </c>
      <c r="H266" s="599"/>
      <c r="I266" s="13">
        <f t="shared" si="62"/>
        <v>1</v>
      </c>
      <c r="J266" s="599"/>
      <c r="K266" s="13">
        <f t="shared" si="63"/>
        <v>1</v>
      </c>
      <c r="L266" s="599"/>
      <c r="M266" s="13">
        <f t="shared" si="64"/>
        <v>1</v>
      </c>
      <c r="N266" s="599"/>
      <c r="O266" s="13">
        <f t="shared" si="65"/>
        <v>1</v>
      </c>
      <c r="P266" s="599"/>
      <c r="Q266" s="13">
        <f t="shared" si="66"/>
        <v>0</v>
      </c>
      <c r="R266" s="596">
        <f t="shared" si="71"/>
        <v>0</v>
      </c>
      <c r="S266" s="250">
        <f t="shared" si="72"/>
        <v>0</v>
      </c>
      <c r="T266" s="899">
        <f t="shared" si="73"/>
        <v>0</v>
      </c>
      <c r="U266" s="2988">
        <f t="shared" si="67"/>
        <v>0</v>
      </c>
      <c r="V266" s="2988">
        <f t="shared" si="68"/>
        <v>0</v>
      </c>
      <c r="W266" s="996"/>
      <c r="X266" s="2988">
        <f t="shared" si="69"/>
        <v>0</v>
      </c>
      <c r="Y266" s="2988">
        <f t="shared" si="70"/>
        <v>0</v>
      </c>
      <c r="Z266" s="996"/>
    </row>
    <row r="267" spans="1:26">
      <c r="A267" s="35"/>
      <c r="B267" s="20"/>
      <c r="C267" s="13">
        <f t="shared" si="59"/>
        <v>1</v>
      </c>
      <c r="D267" s="599"/>
      <c r="E267" s="13">
        <f t="shared" si="60"/>
        <v>1</v>
      </c>
      <c r="F267" s="599"/>
      <c r="G267" s="13">
        <f t="shared" si="61"/>
        <v>1</v>
      </c>
      <c r="H267" s="599"/>
      <c r="I267" s="13">
        <f t="shared" si="62"/>
        <v>1</v>
      </c>
      <c r="J267" s="599"/>
      <c r="K267" s="13">
        <f t="shared" si="63"/>
        <v>1</v>
      </c>
      <c r="L267" s="599"/>
      <c r="M267" s="13">
        <f t="shared" si="64"/>
        <v>1</v>
      </c>
      <c r="N267" s="599"/>
      <c r="O267" s="13">
        <f t="shared" si="65"/>
        <v>1</v>
      </c>
      <c r="P267" s="599"/>
      <c r="Q267" s="13">
        <f t="shared" si="66"/>
        <v>0</v>
      </c>
      <c r="R267" s="596">
        <f t="shared" si="71"/>
        <v>0</v>
      </c>
      <c r="S267" s="250">
        <f t="shared" si="72"/>
        <v>0</v>
      </c>
      <c r="T267" s="899">
        <f t="shared" si="73"/>
        <v>0</v>
      </c>
      <c r="U267" s="2988">
        <f t="shared" si="67"/>
        <v>0</v>
      </c>
      <c r="V267" s="2988">
        <f t="shared" si="68"/>
        <v>0</v>
      </c>
      <c r="W267" s="996"/>
      <c r="X267" s="2988">
        <f t="shared" si="69"/>
        <v>0</v>
      </c>
      <c r="Y267" s="2988">
        <f t="shared" si="70"/>
        <v>0</v>
      </c>
      <c r="Z267" s="996"/>
    </row>
    <row r="268" spans="1:26">
      <c r="A268" s="35"/>
      <c r="B268" s="20"/>
      <c r="C268" s="13">
        <f t="shared" si="59"/>
        <v>1</v>
      </c>
      <c r="D268" s="599"/>
      <c r="E268" s="13">
        <f t="shared" si="60"/>
        <v>1</v>
      </c>
      <c r="F268" s="599"/>
      <c r="G268" s="13">
        <f t="shared" si="61"/>
        <v>1</v>
      </c>
      <c r="H268" s="599"/>
      <c r="I268" s="13">
        <f t="shared" si="62"/>
        <v>1</v>
      </c>
      <c r="J268" s="599"/>
      <c r="K268" s="13">
        <f t="shared" si="63"/>
        <v>1</v>
      </c>
      <c r="L268" s="599"/>
      <c r="M268" s="13">
        <f t="shared" si="64"/>
        <v>1</v>
      </c>
      <c r="N268" s="599"/>
      <c r="O268" s="13">
        <f t="shared" si="65"/>
        <v>1</v>
      </c>
      <c r="P268" s="599"/>
      <c r="Q268" s="13">
        <f t="shared" si="66"/>
        <v>0</v>
      </c>
      <c r="R268" s="596">
        <f t="shared" si="71"/>
        <v>0</v>
      </c>
      <c r="S268" s="250">
        <f t="shared" si="72"/>
        <v>0</v>
      </c>
      <c r="T268" s="899">
        <f t="shared" si="73"/>
        <v>0</v>
      </c>
      <c r="U268" s="2988">
        <f t="shared" si="67"/>
        <v>0</v>
      </c>
      <c r="V268" s="2988">
        <f t="shared" si="68"/>
        <v>0</v>
      </c>
      <c r="W268" s="996"/>
      <c r="X268" s="2988">
        <f t="shared" si="69"/>
        <v>0</v>
      </c>
      <c r="Y268" s="2988">
        <f t="shared" si="70"/>
        <v>0</v>
      </c>
      <c r="Z268" s="996"/>
    </row>
    <row r="269" spans="1:26">
      <c r="A269" s="35"/>
      <c r="B269" s="20"/>
      <c r="C269" s="13">
        <f t="shared" si="59"/>
        <v>1</v>
      </c>
      <c r="D269" s="599"/>
      <c r="E269" s="13">
        <f t="shared" si="60"/>
        <v>1</v>
      </c>
      <c r="F269" s="599"/>
      <c r="G269" s="13">
        <f t="shared" si="61"/>
        <v>1</v>
      </c>
      <c r="H269" s="599"/>
      <c r="I269" s="13">
        <f t="shared" si="62"/>
        <v>1</v>
      </c>
      <c r="J269" s="599"/>
      <c r="K269" s="13">
        <f t="shared" si="63"/>
        <v>1</v>
      </c>
      <c r="L269" s="599"/>
      <c r="M269" s="13">
        <f t="shared" si="64"/>
        <v>1</v>
      </c>
      <c r="N269" s="599"/>
      <c r="O269" s="13">
        <f t="shared" si="65"/>
        <v>1</v>
      </c>
      <c r="P269" s="599"/>
      <c r="Q269" s="13">
        <f t="shared" si="66"/>
        <v>0</v>
      </c>
      <c r="R269" s="596">
        <f t="shared" si="71"/>
        <v>0</v>
      </c>
      <c r="S269" s="250">
        <f t="shared" si="72"/>
        <v>0</v>
      </c>
      <c r="T269" s="899">
        <f t="shared" si="73"/>
        <v>0</v>
      </c>
      <c r="U269" s="2988">
        <f t="shared" si="67"/>
        <v>0</v>
      </c>
      <c r="V269" s="2988">
        <f t="shared" si="68"/>
        <v>0</v>
      </c>
      <c r="W269" s="996"/>
      <c r="X269" s="2988">
        <f t="shared" si="69"/>
        <v>0</v>
      </c>
      <c r="Y269" s="2988">
        <f t="shared" si="70"/>
        <v>0</v>
      </c>
      <c r="Z269" s="996"/>
    </row>
    <row r="270" spans="1:26">
      <c r="A270" s="35"/>
      <c r="B270" s="20"/>
      <c r="C270" s="13">
        <f t="shared" si="59"/>
        <v>1</v>
      </c>
      <c r="D270" s="599"/>
      <c r="E270" s="13">
        <f t="shared" si="60"/>
        <v>1</v>
      </c>
      <c r="F270" s="599"/>
      <c r="G270" s="13">
        <f t="shared" si="61"/>
        <v>1</v>
      </c>
      <c r="H270" s="599"/>
      <c r="I270" s="13">
        <f t="shared" si="62"/>
        <v>1</v>
      </c>
      <c r="J270" s="599"/>
      <c r="K270" s="13">
        <f t="shared" si="63"/>
        <v>1</v>
      </c>
      <c r="L270" s="599"/>
      <c r="M270" s="13">
        <f t="shared" si="64"/>
        <v>1</v>
      </c>
      <c r="N270" s="599"/>
      <c r="O270" s="13">
        <f t="shared" si="65"/>
        <v>1</v>
      </c>
      <c r="P270" s="599"/>
      <c r="Q270" s="13">
        <f t="shared" si="66"/>
        <v>0</v>
      </c>
      <c r="R270" s="596">
        <f t="shared" si="71"/>
        <v>0</v>
      </c>
      <c r="S270" s="250">
        <f t="shared" si="72"/>
        <v>0</v>
      </c>
      <c r="T270" s="899">
        <f t="shared" si="73"/>
        <v>0</v>
      </c>
      <c r="U270" s="2988">
        <f t="shared" si="67"/>
        <v>0</v>
      </c>
      <c r="V270" s="2988">
        <f t="shared" si="68"/>
        <v>0</v>
      </c>
      <c r="W270" s="996"/>
      <c r="X270" s="2988">
        <f t="shared" si="69"/>
        <v>0</v>
      </c>
      <c r="Y270" s="2988">
        <f t="shared" si="70"/>
        <v>0</v>
      </c>
      <c r="Z270" s="996"/>
    </row>
    <row r="271" spans="1:26">
      <c r="A271" s="35"/>
      <c r="B271" s="20"/>
      <c r="C271" s="13">
        <f t="shared" si="59"/>
        <v>1</v>
      </c>
      <c r="D271" s="599"/>
      <c r="E271" s="13">
        <f t="shared" si="60"/>
        <v>1</v>
      </c>
      <c r="F271" s="599"/>
      <c r="G271" s="13">
        <f t="shared" si="61"/>
        <v>1</v>
      </c>
      <c r="H271" s="599"/>
      <c r="I271" s="13">
        <f t="shared" si="62"/>
        <v>1</v>
      </c>
      <c r="J271" s="599"/>
      <c r="K271" s="13">
        <f t="shared" si="63"/>
        <v>1</v>
      </c>
      <c r="L271" s="599"/>
      <c r="M271" s="13">
        <f t="shared" si="64"/>
        <v>1</v>
      </c>
      <c r="N271" s="599"/>
      <c r="O271" s="13">
        <f t="shared" si="65"/>
        <v>1</v>
      </c>
      <c r="P271" s="599"/>
      <c r="Q271" s="13">
        <f t="shared" si="66"/>
        <v>0</v>
      </c>
      <c r="R271" s="596">
        <f t="shared" si="71"/>
        <v>0</v>
      </c>
      <c r="S271" s="250">
        <f t="shared" si="72"/>
        <v>0</v>
      </c>
      <c r="T271" s="899">
        <f t="shared" si="73"/>
        <v>0</v>
      </c>
      <c r="U271" s="2988">
        <f t="shared" si="67"/>
        <v>0</v>
      </c>
      <c r="V271" s="2988">
        <f t="shared" si="68"/>
        <v>0</v>
      </c>
      <c r="W271" s="996"/>
      <c r="X271" s="2988">
        <f t="shared" si="69"/>
        <v>0</v>
      </c>
      <c r="Y271" s="2988">
        <f t="shared" si="70"/>
        <v>0</v>
      </c>
      <c r="Z271" s="996"/>
    </row>
    <row r="272" spans="1:26">
      <c r="A272" s="35"/>
      <c r="B272" s="20"/>
      <c r="C272" s="13">
        <f t="shared" si="59"/>
        <v>1</v>
      </c>
      <c r="D272" s="599"/>
      <c r="E272" s="13">
        <f t="shared" si="60"/>
        <v>1</v>
      </c>
      <c r="F272" s="599"/>
      <c r="G272" s="13">
        <f t="shared" si="61"/>
        <v>1</v>
      </c>
      <c r="H272" s="599"/>
      <c r="I272" s="13">
        <f t="shared" si="62"/>
        <v>1</v>
      </c>
      <c r="J272" s="599"/>
      <c r="K272" s="13">
        <f t="shared" si="63"/>
        <v>1</v>
      </c>
      <c r="L272" s="599"/>
      <c r="M272" s="13">
        <f t="shared" si="64"/>
        <v>1</v>
      </c>
      <c r="N272" s="599"/>
      <c r="O272" s="13">
        <f t="shared" si="65"/>
        <v>1</v>
      </c>
      <c r="P272" s="599"/>
      <c r="Q272" s="13">
        <f t="shared" si="66"/>
        <v>0</v>
      </c>
      <c r="R272" s="596">
        <f t="shared" si="71"/>
        <v>0</v>
      </c>
      <c r="S272" s="250">
        <f t="shared" si="72"/>
        <v>0</v>
      </c>
      <c r="T272" s="899">
        <f t="shared" si="73"/>
        <v>0</v>
      </c>
      <c r="U272" s="2988">
        <f t="shared" si="67"/>
        <v>0</v>
      </c>
      <c r="V272" s="2988">
        <f t="shared" si="68"/>
        <v>0</v>
      </c>
      <c r="W272" s="996"/>
      <c r="X272" s="2988">
        <f t="shared" si="69"/>
        <v>0</v>
      </c>
      <c r="Y272" s="2988">
        <f t="shared" si="70"/>
        <v>0</v>
      </c>
      <c r="Z272" s="996"/>
    </row>
    <row r="273" spans="1:26">
      <c r="A273" s="35"/>
      <c r="B273" s="20"/>
      <c r="C273" s="13">
        <f t="shared" si="59"/>
        <v>1</v>
      </c>
      <c r="D273" s="599"/>
      <c r="E273" s="13">
        <f t="shared" si="60"/>
        <v>1</v>
      </c>
      <c r="F273" s="599"/>
      <c r="G273" s="13">
        <f t="shared" si="61"/>
        <v>1</v>
      </c>
      <c r="H273" s="599"/>
      <c r="I273" s="13">
        <f t="shared" si="62"/>
        <v>1</v>
      </c>
      <c r="J273" s="599"/>
      <c r="K273" s="13">
        <f t="shared" si="63"/>
        <v>1</v>
      </c>
      <c r="L273" s="599"/>
      <c r="M273" s="13">
        <f t="shared" si="64"/>
        <v>1</v>
      </c>
      <c r="N273" s="599"/>
      <c r="O273" s="13">
        <f t="shared" si="65"/>
        <v>1</v>
      </c>
      <c r="P273" s="599"/>
      <c r="Q273" s="13">
        <f t="shared" si="66"/>
        <v>0</v>
      </c>
      <c r="R273" s="596">
        <f t="shared" si="71"/>
        <v>0</v>
      </c>
      <c r="S273" s="250">
        <f t="shared" si="72"/>
        <v>0</v>
      </c>
      <c r="T273" s="899">
        <f t="shared" si="73"/>
        <v>0</v>
      </c>
      <c r="U273" s="2988">
        <f t="shared" si="67"/>
        <v>0</v>
      </c>
      <c r="V273" s="2988">
        <f t="shared" si="68"/>
        <v>0</v>
      </c>
      <c r="W273" s="996"/>
      <c r="X273" s="2988">
        <f t="shared" si="69"/>
        <v>0</v>
      </c>
      <c r="Y273" s="2988">
        <f t="shared" si="70"/>
        <v>0</v>
      </c>
      <c r="Z273" s="996"/>
    </row>
    <row r="274" spans="1:26">
      <c r="A274" s="35"/>
      <c r="B274" s="20"/>
      <c r="C274" s="13">
        <f t="shared" si="59"/>
        <v>1</v>
      </c>
      <c r="D274" s="599"/>
      <c r="E274" s="13">
        <f t="shared" si="60"/>
        <v>1</v>
      </c>
      <c r="F274" s="599"/>
      <c r="G274" s="13">
        <f t="shared" si="61"/>
        <v>1</v>
      </c>
      <c r="H274" s="599"/>
      <c r="I274" s="13">
        <f t="shared" si="62"/>
        <v>1</v>
      </c>
      <c r="J274" s="599"/>
      <c r="K274" s="13">
        <f t="shared" si="63"/>
        <v>1</v>
      </c>
      <c r="L274" s="599"/>
      <c r="M274" s="13">
        <f t="shared" si="64"/>
        <v>1</v>
      </c>
      <c r="N274" s="599"/>
      <c r="O274" s="13">
        <f t="shared" si="65"/>
        <v>1</v>
      </c>
      <c r="P274" s="599"/>
      <c r="Q274" s="13">
        <f t="shared" si="66"/>
        <v>0</v>
      </c>
      <c r="R274" s="596">
        <f t="shared" si="71"/>
        <v>0</v>
      </c>
      <c r="S274" s="250">
        <f t="shared" si="72"/>
        <v>0</v>
      </c>
      <c r="T274" s="899">
        <f t="shared" si="73"/>
        <v>0</v>
      </c>
      <c r="U274" s="2988">
        <f t="shared" si="67"/>
        <v>0</v>
      </c>
      <c r="V274" s="2988">
        <f t="shared" si="68"/>
        <v>0</v>
      </c>
      <c r="W274" s="996"/>
      <c r="X274" s="2988">
        <f t="shared" si="69"/>
        <v>0</v>
      </c>
      <c r="Y274" s="2988">
        <f t="shared" si="70"/>
        <v>0</v>
      </c>
      <c r="Z274" s="996"/>
    </row>
    <row r="275" spans="1:26">
      <c r="A275" s="35"/>
      <c r="B275" s="20"/>
      <c r="C275" s="13">
        <f t="shared" si="59"/>
        <v>1</v>
      </c>
      <c r="D275" s="599"/>
      <c r="E275" s="13">
        <f t="shared" si="60"/>
        <v>1</v>
      </c>
      <c r="F275" s="599"/>
      <c r="G275" s="13">
        <f t="shared" si="61"/>
        <v>1</v>
      </c>
      <c r="H275" s="599"/>
      <c r="I275" s="13">
        <f t="shared" si="62"/>
        <v>1</v>
      </c>
      <c r="J275" s="599"/>
      <c r="K275" s="13">
        <f t="shared" si="63"/>
        <v>1</v>
      </c>
      <c r="L275" s="599"/>
      <c r="M275" s="13">
        <f t="shared" si="64"/>
        <v>1</v>
      </c>
      <c r="N275" s="599"/>
      <c r="O275" s="13">
        <f t="shared" si="65"/>
        <v>1</v>
      </c>
      <c r="P275" s="599"/>
      <c r="Q275" s="13">
        <f t="shared" si="66"/>
        <v>0</v>
      </c>
      <c r="R275" s="596">
        <f t="shared" si="71"/>
        <v>0</v>
      </c>
      <c r="S275" s="250">
        <f t="shared" si="72"/>
        <v>0</v>
      </c>
      <c r="T275" s="899">
        <f t="shared" si="73"/>
        <v>0</v>
      </c>
      <c r="U275" s="2988">
        <f t="shared" si="67"/>
        <v>0</v>
      </c>
      <c r="V275" s="2988">
        <f t="shared" si="68"/>
        <v>0</v>
      </c>
      <c r="W275" s="996"/>
      <c r="X275" s="2988">
        <f t="shared" si="69"/>
        <v>0</v>
      </c>
      <c r="Y275" s="2988">
        <f t="shared" si="70"/>
        <v>0</v>
      </c>
      <c r="Z275" s="996"/>
    </row>
    <row r="276" spans="1:26">
      <c r="A276" s="35"/>
      <c r="B276" s="20"/>
      <c r="C276" s="13">
        <f t="shared" si="59"/>
        <v>1</v>
      </c>
      <c r="D276" s="599"/>
      <c r="E276" s="13">
        <f t="shared" si="60"/>
        <v>1</v>
      </c>
      <c r="F276" s="599"/>
      <c r="G276" s="13">
        <f t="shared" si="61"/>
        <v>1</v>
      </c>
      <c r="H276" s="599"/>
      <c r="I276" s="13">
        <f t="shared" si="62"/>
        <v>1</v>
      </c>
      <c r="J276" s="599"/>
      <c r="K276" s="13">
        <f t="shared" si="63"/>
        <v>1</v>
      </c>
      <c r="L276" s="599"/>
      <c r="M276" s="13">
        <f t="shared" si="64"/>
        <v>1</v>
      </c>
      <c r="N276" s="599"/>
      <c r="O276" s="13">
        <f t="shared" si="65"/>
        <v>1</v>
      </c>
      <c r="P276" s="599"/>
      <c r="Q276" s="13">
        <f t="shared" si="66"/>
        <v>0</v>
      </c>
      <c r="R276" s="596">
        <f t="shared" si="71"/>
        <v>0</v>
      </c>
      <c r="S276" s="250">
        <f t="shared" si="72"/>
        <v>0</v>
      </c>
      <c r="T276" s="899">
        <f t="shared" si="73"/>
        <v>0</v>
      </c>
      <c r="U276" s="2988">
        <f t="shared" si="67"/>
        <v>0</v>
      </c>
      <c r="V276" s="2988">
        <f t="shared" si="68"/>
        <v>0</v>
      </c>
      <c r="W276" s="996"/>
      <c r="X276" s="2988">
        <f t="shared" si="69"/>
        <v>0</v>
      </c>
      <c r="Y276" s="2988">
        <f t="shared" si="70"/>
        <v>0</v>
      </c>
      <c r="Z276" s="996"/>
    </row>
    <row r="277" spans="1:26">
      <c r="A277" s="35"/>
      <c r="B277" s="20"/>
      <c r="C277" s="13">
        <f t="shared" si="59"/>
        <v>1</v>
      </c>
      <c r="D277" s="599"/>
      <c r="E277" s="13">
        <f t="shared" si="60"/>
        <v>1</v>
      </c>
      <c r="F277" s="599"/>
      <c r="G277" s="13">
        <f t="shared" si="61"/>
        <v>1</v>
      </c>
      <c r="H277" s="599"/>
      <c r="I277" s="13">
        <f t="shared" si="62"/>
        <v>1</v>
      </c>
      <c r="J277" s="599"/>
      <c r="K277" s="13">
        <f t="shared" si="63"/>
        <v>1</v>
      </c>
      <c r="L277" s="599"/>
      <c r="M277" s="13">
        <f t="shared" si="64"/>
        <v>1</v>
      </c>
      <c r="N277" s="599"/>
      <c r="O277" s="13">
        <f t="shared" si="65"/>
        <v>1</v>
      </c>
      <c r="P277" s="599"/>
      <c r="Q277" s="13">
        <f t="shared" si="66"/>
        <v>0</v>
      </c>
      <c r="R277" s="596">
        <f t="shared" si="71"/>
        <v>0</v>
      </c>
      <c r="S277" s="250">
        <f t="shared" si="72"/>
        <v>0</v>
      </c>
      <c r="T277" s="899">
        <f t="shared" si="73"/>
        <v>0</v>
      </c>
      <c r="U277" s="2988">
        <f t="shared" si="67"/>
        <v>0</v>
      </c>
      <c r="V277" s="2988">
        <f t="shared" si="68"/>
        <v>0</v>
      </c>
      <c r="W277" s="996"/>
      <c r="X277" s="2988">
        <f t="shared" si="69"/>
        <v>0</v>
      </c>
      <c r="Y277" s="2988">
        <f t="shared" si="70"/>
        <v>0</v>
      </c>
      <c r="Z277" s="996"/>
    </row>
    <row r="278" spans="1:26">
      <c r="A278" s="35"/>
      <c r="B278" s="20"/>
      <c r="C278" s="13">
        <f t="shared" si="59"/>
        <v>1</v>
      </c>
      <c r="D278" s="599"/>
      <c r="E278" s="13">
        <f t="shared" si="60"/>
        <v>1</v>
      </c>
      <c r="F278" s="599"/>
      <c r="G278" s="13">
        <f t="shared" si="61"/>
        <v>1</v>
      </c>
      <c r="H278" s="599"/>
      <c r="I278" s="13">
        <f t="shared" si="62"/>
        <v>1</v>
      </c>
      <c r="J278" s="599"/>
      <c r="K278" s="13">
        <f t="shared" si="63"/>
        <v>1</v>
      </c>
      <c r="L278" s="599"/>
      <c r="M278" s="13">
        <f t="shared" si="64"/>
        <v>1</v>
      </c>
      <c r="N278" s="599"/>
      <c r="O278" s="13">
        <f t="shared" si="65"/>
        <v>1</v>
      </c>
      <c r="P278" s="599"/>
      <c r="Q278" s="13">
        <f t="shared" si="66"/>
        <v>0</v>
      </c>
      <c r="R278" s="596">
        <f t="shared" si="71"/>
        <v>0</v>
      </c>
      <c r="S278" s="250">
        <f t="shared" si="72"/>
        <v>0</v>
      </c>
      <c r="T278" s="899">
        <f t="shared" si="73"/>
        <v>0</v>
      </c>
      <c r="U278" s="2988">
        <f t="shared" si="67"/>
        <v>0</v>
      </c>
      <c r="V278" s="2988">
        <f t="shared" si="68"/>
        <v>0</v>
      </c>
      <c r="W278" s="996"/>
      <c r="X278" s="2988">
        <f t="shared" si="69"/>
        <v>0</v>
      </c>
      <c r="Y278" s="2988">
        <f t="shared" si="70"/>
        <v>0</v>
      </c>
      <c r="Z278" s="996"/>
    </row>
    <row r="279" spans="1:26">
      <c r="A279" s="35"/>
      <c r="B279" s="20"/>
      <c r="C279" s="13">
        <f t="shared" si="59"/>
        <v>1</v>
      </c>
      <c r="D279" s="599"/>
      <c r="E279" s="13">
        <f t="shared" si="60"/>
        <v>1</v>
      </c>
      <c r="F279" s="599"/>
      <c r="G279" s="13">
        <f t="shared" si="61"/>
        <v>1</v>
      </c>
      <c r="H279" s="599"/>
      <c r="I279" s="13">
        <f t="shared" si="62"/>
        <v>1</v>
      </c>
      <c r="J279" s="599"/>
      <c r="K279" s="13">
        <f t="shared" si="63"/>
        <v>1</v>
      </c>
      <c r="L279" s="599"/>
      <c r="M279" s="13">
        <f t="shared" si="64"/>
        <v>1</v>
      </c>
      <c r="N279" s="599"/>
      <c r="O279" s="13">
        <f t="shared" si="65"/>
        <v>1</v>
      </c>
      <c r="P279" s="599"/>
      <c r="Q279" s="13">
        <f t="shared" si="66"/>
        <v>0</v>
      </c>
      <c r="R279" s="596">
        <f t="shared" si="71"/>
        <v>0</v>
      </c>
      <c r="S279" s="250">
        <f t="shared" si="72"/>
        <v>0</v>
      </c>
      <c r="T279" s="899">
        <f t="shared" si="73"/>
        <v>0</v>
      </c>
      <c r="U279" s="2988">
        <f t="shared" si="67"/>
        <v>0</v>
      </c>
      <c r="V279" s="2988">
        <f t="shared" si="68"/>
        <v>0</v>
      </c>
      <c r="W279" s="996"/>
      <c r="X279" s="2988">
        <f t="shared" si="69"/>
        <v>0</v>
      </c>
      <c r="Y279" s="2988">
        <f t="shared" si="70"/>
        <v>0</v>
      </c>
      <c r="Z279" s="996"/>
    </row>
    <row r="280" spans="1:26">
      <c r="A280" s="35"/>
      <c r="B280" s="20"/>
      <c r="C280" s="13">
        <f t="shared" si="59"/>
        <v>1</v>
      </c>
      <c r="D280" s="599"/>
      <c r="E280" s="13">
        <f t="shared" si="60"/>
        <v>1</v>
      </c>
      <c r="F280" s="599"/>
      <c r="G280" s="13">
        <f t="shared" si="61"/>
        <v>1</v>
      </c>
      <c r="H280" s="599"/>
      <c r="I280" s="13">
        <f t="shared" si="62"/>
        <v>1</v>
      </c>
      <c r="J280" s="599"/>
      <c r="K280" s="13">
        <f t="shared" si="63"/>
        <v>1</v>
      </c>
      <c r="L280" s="599"/>
      <c r="M280" s="13">
        <f t="shared" si="64"/>
        <v>1</v>
      </c>
      <c r="N280" s="599"/>
      <c r="O280" s="13">
        <f t="shared" si="65"/>
        <v>1</v>
      </c>
      <c r="P280" s="599"/>
      <c r="Q280" s="13">
        <f t="shared" si="66"/>
        <v>0</v>
      </c>
      <c r="R280" s="596">
        <f t="shared" si="71"/>
        <v>0</v>
      </c>
      <c r="S280" s="250">
        <f t="shared" si="72"/>
        <v>0</v>
      </c>
      <c r="T280" s="899">
        <f t="shared" si="73"/>
        <v>0</v>
      </c>
      <c r="U280" s="2988">
        <f t="shared" si="67"/>
        <v>0</v>
      </c>
      <c r="V280" s="2988">
        <f t="shared" si="68"/>
        <v>0</v>
      </c>
      <c r="W280" s="996"/>
      <c r="X280" s="2988">
        <f t="shared" si="69"/>
        <v>0</v>
      </c>
      <c r="Y280" s="2988">
        <f t="shared" si="70"/>
        <v>0</v>
      </c>
      <c r="Z280" s="996"/>
    </row>
    <row r="281" spans="1:26">
      <c r="A281" s="35"/>
      <c r="B281" s="20"/>
      <c r="C281" s="13">
        <f t="shared" si="59"/>
        <v>1</v>
      </c>
      <c r="D281" s="599"/>
      <c r="E281" s="13">
        <f t="shared" si="60"/>
        <v>1</v>
      </c>
      <c r="F281" s="599"/>
      <c r="G281" s="13">
        <f t="shared" si="61"/>
        <v>1</v>
      </c>
      <c r="H281" s="599"/>
      <c r="I281" s="13">
        <f t="shared" si="62"/>
        <v>1</v>
      </c>
      <c r="J281" s="599"/>
      <c r="K281" s="13">
        <f t="shared" si="63"/>
        <v>1</v>
      </c>
      <c r="L281" s="599"/>
      <c r="M281" s="13">
        <f t="shared" si="64"/>
        <v>1</v>
      </c>
      <c r="N281" s="599"/>
      <c r="O281" s="13">
        <f t="shared" si="65"/>
        <v>1</v>
      </c>
      <c r="P281" s="599"/>
      <c r="Q281" s="13">
        <f t="shared" si="66"/>
        <v>0</v>
      </c>
      <c r="R281" s="596">
        <f t="shared" si="71"/>
        <v>0</v>
      </c>
      <c r="S281" s="250">
        <f t="shared" si="72"/>
        <v>0</v>
      </c>
      <c r="T281" s="899">
        <f t="shared" si="73"/>
        <v>0</v>
      </c>
      <c r="U281" s="2988">
        <f t="shared" si="67"/>
        <v>0</v>
      </c>
      <c r="V281" s="2988">
        <f t="shared" si="68"/>
        <v>0</v>
      </c>
      <c r="W281" s="996"/>
      <c r="X281" s="2988">
        <f t="shared" si="69"/>
        <v>0</v>
      </c>
      <c r="Y281" s="2988">
        <f t="shared" si="70"/>
        <v>0</v>
      </c>
      <c r="Z281" s="996"/>
    </row>
    <row r="282" spans="1:26">
      <c r="A282" s="35"/>
      <c r="B282" s="20"/>
      <c r="C282" s="13">
        <f t="shared" si="59"/>
        <v>1</v>
      </c>
      <c r="D282" s="599"/>
      <c r="E282" s="13">
        <f t="shared" si="60"/>
        <v>1</v>
      </c>
      <c r="F282" s="599"/>
      <c r="G282" s="13">
        <f t="shared" si="61"/>
        <v>1</v>
      </c>
      <c r="H282" s="599"/>
      <c r="I282" s="13">
        <f t="shared" si="62"/>
        <v>1</v>
      </c>
      <c r="J282" s="599"/>
      <c r="K282" s="13">
        <f t="shared" si="63"/>
        <v>1</v>
      </c>
      <c r="L282" s="599"/>
      <c r="M282" s="13">
        <f t="shared" si="64"/>
        <v>1</v>
      </c>
      <c r="N282" s="599"/>
      <c r="O282" s="13">
        <f t="shared" si="65"/>
        <v>1</v>
      </c>
      <c r="P282" s="599"/>
      <c r="Q282" s="13">
        <f t="shared" si="66"/>
        <v>0</v>
      </c>
      <c r="R282" s="596">
        <f t="shared" si="71"/>
        <v>0</v>
      </c>
      <c r="S282" s="250">
        <f t="shared" si="72"/>
        <v>0</v>
      </c>
      <c r="T282" s="899">
        <f t="shared" si="73"/>
        <v>0</v>
      </c>
      <c r="U282" s="2988">
        <f t="shared" si="67"/>
        <v>0</v>
      </c>
      <c r="V282" s="2988">
        <f t="shared" si="68"/>
        <v>0</v>
      </c>
      <c r="W282" s="996"/>
      <c r="X282" s="2988">
        <f t="shared" si="69"/>
        <v>0</v>
      </c>
      <c r="Y282" s="2988">
        <f t="shared" si="70"/>
        <v>0</v>
      </c>
      <c r="Z282" s="996"/>
    </row>
    <row r="283" spans="1:26">
      <c r="A283" s="35"/>
      <c r="B283" s="20"/>
      <c r="C283" s="13">
        <f t="shared" si="59"/>
        <v>1</v>
      </c>
      <c r="D283" s="599"/>
      <c r="E283" s="13">
        <f t="shared" si="60"/>
        <v>1</v>
      </c>
      <c r="F283" s="599"/>
      <c r="G283" s="13">
        <f t="shared" si="61"/>
        <v>1</v>
      </c>
      <c r="H283" s="599"/>
      <c r="I283" s="13">
        <f t="shared" si="62"/>
        <v>1</v>
      </c>
      <c r="J283" s="599"/>
      <c r="K283" s="13">
        <f t="shared" si="63"/>
        <v>1</v>
      </c>
      <c r="L283" s="599"/>
      <c r="M283" s="13">
        <f t="shared" si="64"/>
        <v>1</v>
      </c>
      <c r="N283" s="599"/>
      <c r="O283" s="13">
        <f t="shared" si="65"/>
        <v>1</v>
      </c>
      <c r="P283" s="599"/>
      <c r="Q283" s="13">
        <f t="shared" si="66"/>
        <v>0</v>
      </c>
      <c r="R283" s="596">
        <f t="shared" si="71"/>
        <v>0</v>
      </c>
      <c r="S283" s="250">
        <f t="shared" si="72"/>
        <v>0</v>
      </c>
      <c r="T283" s="899">
        <f t="shared" si="73"/>
        <v>0</v>
      </c>
      <c r="U283" s="2988">
        <f t="shared" si="67"/>
        <v>0</v>
      </c>
      <c r="V283" s="2988">
        <f t="shared" si="68"/>
        <v>0</v>
      </c>
      <c r="W283" s="996"/>
      <c r="X283" s="2988">
        <f t="shared" si="69"/>
        <v>0</v>
      </c>
      <c r="Y283" s="2988">
        <f t="shared" si="70"/>
        <v>0</v>
      </c>
      <c r="Z283" s="996"/>
    </row>
    <row r="284" spans="1:26">
      <c r="A284" s="35"/>
      <c r="B284" s="20"/>
      <c r="C284" s="13">
        <f t="shared" ref="C284:C347" si="74">IF(B284="",1,(LOOKUP(B284,$6:$6,$7:$7)-LOOKUP($B$27,$6:$6,$7:$7)+100)/100)</f>
        <v>1</v>
      </c>
      <c r="D284" s="599"/>
      <c r="E284" s="13">
        <f t="shared" ref="E284:E347" si="75">(SUMIF($8:$8,D284,$9:$9)-SUMIF($8:$8,$D$27,$9:$9)+100)/100</f>
        <v>1</v>
      </c>
      <c r="F284" s="599"/>
      <c r="G284" s="13">
        <f t="shared" ref="G284:G347" si="76">(SUMIF($10:$10,F284,$11:$11)-SUMIF($10:$10,$F$27,$11:$11)+100)/100</f>
        <v>1</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v>
      </c>
      <c r="R284" s="596">
        <f t="shared" si="71"/>
        <v>0</v>
      </c>
      <c r="S284" s="250">
        <f t="shared" si="72"/>
        <v>0</v>
      </c>
      <c r="T284" s="899">
        <f t="shared" si="73"/>
        <v>0</v>
      </c>
      <c r="U284" s="2988">
        <f t="shared" ref="U284:U347" si="82">ROUND(W284*B284,0)</f>
        <v>0</v>
      </c>
      <c r="V284" s="2988">
        <f t="shared" ref="V284:V347" si="83">ROUND(W284*B284/10000,0)</f>
        <v>0</v>
      </c>
      <c r="W284" s="996"/>
      <c r="X284" s="2988">
        <f t="shared" ref="X284:X347" si="84">ROUND(Z284*B284,0)</f>
        <v>0</v>
      </c>
      <c r="Y284" s="2988">
        <f t="shared" ref="Y284:Y347" si="85">ROUND(Z284*B284/10000,0)</f>
        <v>0</v>
      </c>
      <c r="Z284" s="996"/>
    </row>
    <row r="285" spans="1:26">
      <c r="A285" s="35"/>
      <c r="B285" s="20"/>
      <c r="C285" s="13">
        <f t="shared" si="74"/>
        <v>1</v>
      </c>
      <c r="D285" s="599"/>
      <c r="E285" s="13">
        <f t="shared" si="75"/>
        <v>1</v>
      </c>
      <c r="F285" s="599"/>
      <c r="G285" s="13">
        <f t="shared" si="76"/>
        <v>1</v>
      </c>
      <c r="H285" s="599"/>
      <c r="I285" s="13">
        <f t="shared" si="77"/>
        <v>1</v>
      </c>
      <c r="J285" s="599"/>
      <c r="K285" s="13">
        <f t="shared" si="78"/>
        <v>1</v>
      </c>
      <c r="L285" s="599"/>
      <c r="M285" s="13">
        <f t="shared" si="79"/>
        <v>1</v>
      </c>
      <c r="N285" s="599"/>
      <c r="O285" s="13">
        <f t="shared" si="80"/>
        <v>1</v>
      </c>
      <c r="P285" s="599"/>
      <c r="Q285" s="13">
        <f t="shared" si="81"/>
        <v>0</v>
      </c>
      <c r="R285" s="596">
        <f t="shared" ref="R285:R348" si="86">IF(B285="",0,ROUND($R$27*C285*E285*G285*I285*K285*M285*O285*Q285,0))</f>
        <v>0</v>
      </c>
      <c r="S285" s="250">
        <f t="shared" ref="S285:S348" si="87">ROUND(R285*B285,0)</f>
        <v>0</v>
      </c>
      <c r="T285" s="899">
        <f t="shared" ref="T285:T348" si="88">ROUND(R285*B285/10000,0)</f>
        <v>0</v>
      </c>
      <c r="U285" s="2988">
        <f t="shared" si="82"/>
        <v>0</v>
      </c>
      <c r="V285" s="2988">
        <f t="shared" si="83"/>
        <v>0</v>
      </c>
      <c r="W285" s="996"/>
      <c r="X285" s="2988">
        <f t="shared" si="84"/>
        <v>0</v>
      </c>
      <c r="Y285" s="2988">
        <f t="shared" si="85"/>
        <v>0</v>
      </c>
      <c r="Z285" s="996"/>
    </row>
    <row r="286" spans="1:26">
      <c r="A286" s="35"/>
      <c r="B286" s="20"/>
      <c r="C286" s="13">
        <f t="shared" si="74"/>
        <v>1</v>
      </c>
      <c r="D286" s="599"/>
      <c r="E286" s="13">
        <f t="shared" si="75"/>
        <v>1</v>
      </c>
      <c r="F286" s="599"/>
      <c r="G286" s="13">
        <f t="shared" si="76"/>
        <v>1</v>
      </c>
      <c r="H286" s="599"/>
      <c r="I286" s="13">
        <f t="shared" si="77"/>
        <v>1</v>
      </c>
      <c r="J286" s="599"/>
      <c r="K286" s="13">
        <f t="shared" si="78"/>
        <v>1</v>
      </c>
      <c r="L286" s="599"/>
      <c r="M286" s="13">
        <f t="shared" si="79"/>
        <v>1</v>
      </c>
      <c r="N286" s="599"/>
      <c r="O286" s="13">
        <f t="shared" si="80"/>
        <v>1</v>
      </c>
      <c r="P286" s="599"/>
      <c r="Q286" s="13">
        <f t="shared" si="81"/>
        <v>0</v>
      </c>
      <c r="R286" s="596">
        <f t="shared" si="86"/>
        <v>0</v>
      </c>
      <c r="S286" s="250">
        <f t="shared" si="87"/>
        <v>0</v>
      </c>
      <c r="T286" s="899">
        <f t="shared" si="88"/>
        <v>0</v>
      </c>
      <c r="U286" s="2988">
        <f t="shared" si="82"/>
        <v>0</v>
      </c>
      <c r="V286" s="2988">
        <f t="shared" si="83"/>
        <v>0</v>
      </c>
      <c r="W286" s="996"/>
      <c r="X286" s="2988">
        <f t="shared" si="84"/>
        <v>0</v>
      </c>
      <c r="Y286" s="2988">
        <f t="shared" si="85"/>
        <v>0</v>
      </c>
      <c r="Z286" s="996"/>
    </row>
    <row r="287" spans="1:26">
      <c r="A287" s="35"/>
      <c r="B287" s="20"/>
      <c r="C287" s="13">
        <f t="shared" si="74"/>
        <v>1</v>
      </c>
      <c r="D287" s="599"/>
      <c r="E287" s="13">
        <f t="shared" si="75"/>
        <v>1</v>
      </c>
      <c r="F287" s="599"/>
      <c r="G287" s="13">
        <f t="shared" si="76"/>
        <v>1</v>
      </c>
      <c r="H287" s="599"/>
      <c r="I287" s="13">
        <f t="shared" si="77"/>
        <v>1</v>
      </c>
      <c r="J287" s="599"/>
      <c r="K287" s="13">
        <f t="shared" si="78"/>
        <v>1</v>
      </c>
      <c r="L287" s="599"/>
      <c r="M287" s="13">
        <f t="shared" si="79"/>
        <v>1</v>
      </c>
      <c r="N287" s="599"/>
      <c r="O287" s="13">
        <f t="shared" si="80"/>
        <v>1</v>
      </c>
      <c r="P287" s="599"/>
      <c r="Q287" s="13">
        <f t="shared" si="81"/>
        <v>0</v>
      </c>
      <c r="R287" s="596">
        <f t="shared" si="86"/>
        <v>0</v>
      </c>
      <c r="S287" s="250">
        <f t="shared" si="87"/>
        <v>0</v>
      </c>
      <c r="T287" s="899">
        <f t="shared" si="88"/>
        <v>0</v>
      </c>
      <c r="U287" s="2988">
        <f t="shared" si="82"/>
        <v>0</v>
      </c>
      <c r="V287" s="2988">
        <f t="shared" si="83"/>
        <v>0</v>
      </c>
      <c r="W287" s="996"/>
      <c r="X287" s="2988">
        <f t="shared" si="84"/>
        <v>0</v>
      </c>
      <c r="Y287" s="2988">
        <f t="shared" si="85"/>
        <v>0</v>
      </c>
      <c r="Z287" s="996"/>
    </row>
    <row r="288" spans="1:26">
      <c r="A288" s="35"/>
      <c r="B288" s="20"/>
      <c r="C288" s="13">
        <f t="shared" si="74"/>
        <v>1</v>
      </c>
      <c r="D288" s="599"/>
      <c r="E288" s="13">
        <f t="shared" si="75"/>
        <v>1</v>
      </c>
      <c r="F288" s="599"/>
      <c r="G288" s="13">
        <f t="shared" si="76"/>
        <v>1</v>
      </c>
      <c r="H288" s="599"/>
      <c r="I288" s="13">
        <f t="shared" si="77"/>
        <v>1</v>
      </c>
      <c r="J288" s="599"/>
      <c r="K288" s="13">
        <f t="shared" si="78"/>
        <v>1</v>
      </c>
      <c r="L288" s="599"/>
      <c r="M288" s="13">
        <f t="shared" si="79"/>
        <v>1</v>
      </c>
      <c r="N288" s="599"/>
      <c r="O288" s="13">
        <f t="shared" si="80"/>
        <v>1</v>
      </c>
      <c r="P288" s="599"/>
      <c r="Q288" s="13">
        <f t="shared" si="81"/>
        <v>0</v>
      </c>
      <c r="R288" s="596">
        <f t="shared" si="86"/>
        <v>0</v>
      </c>
      <c r="S288" s="250">
        <f t="shared" si="87"/>
        <v>0</v>
      </c>
      <c r="T288" s="899">
        <f t="shared" si="88"/>
        <v>0</v>
      </c>
      <c r="U288" s="2988">
        <f t="shared" si="82"/>
        <v>0</v>
      </c>
      <c r="V288" s="2988">
        <f t="shared" si="83"/>
        <v>0</v>
      </c>
      <c r="W288" s="996"/>
      <c r="X288" s="2988">
        <f t="shared" si="84"/>
        <v>0</v>
      </c>
      <c r="Y288" s="2988">
        <f t="shared" si="85"/>
        <v>0</v>
      </c>
      <c r="Z288" s="996"/>
    </row>
    <row r="289" spans="1:26">
      <c r="A289" s="35"/>
      <c r="B289" s="20"/>
      <c r="C289" s="13">
        <f t="shared" si="74"/>
        <v>1</v>
      </c>
      <c r="D289" s="599"/>
      <c r="E289" s="13">
        <f t="shared" si="75"/>
        <v>1</v>
      </c>
      <c r="F289" s="599"/>
      <c r="G289" s="13">
        <f t="shared" si="76"/>
        <v>1</v>
      </c>
      <c r="H289" s="599"/>
      <c r="I289" s="13">
        <f t="shared" si="77"/>
        <v>1</v>
      </c>
      <c r="J289" s="599"/>
      <c r="K289" s="13">
        <f t="shared" si="78"/>
        <v>1</v>
      </c>
      <c r="L289" s="599"/>
      <c r="M289" s="13">
        <f t="shared" si="79"/>
        <v>1</v>
      </c>
      <c r="N289" s="599"/>
      <c r="O289" s="13">
        <f t="shared" si="80"/>
        <v>1</v>
      </c>
      <c r="P289" s="599"/>
      <c r="Q289" s="13">
        <f t="shared" si="81"/>
        <v>0</v>
      </c>
      <c r="R289" s="596">
        <f t="shared" si="86"/>
        <v>0</v>
      </c>
      <c r="S289" s="250">
        <f t="shared" si="87"/>
        <v>0</v>
      </c>
      <c r="T289" s="899">
        <f t="shared" si="88"/>
        <v>0</v>
      </c>
      <c r="U289" s="2988">
        <f t="shared" si="82"/>
        <v>0</v>
      </c>
      <c r="V289" s="2988">
        <f t="shared" si="83"/>
        <v>0</v>
      </c>
      <c r="W289" s="996"/>
      <c r="X289" s="2988">
        <f t="shared" si="84"/>
        <v>0</v>
      </c>
      <c r="Y289" s="2988">
        <f t="shared" si="85"/>
        <v>0</v>
      </c>
      <c r="Z289" s="996"/>
    </row>
    <row r="290" spans="1:26">
      <c r="A290" s="35"/>
      <c r="B290" s="20"/>
      <c r="C290" s="13">
        <f t="shared" si="74"/>
        <v>1</v>
      </c>
      <c r="D290" s="599"/>
      <c r="E290" s="13">
        <f t="shared" si="75"/>
        <v>1</v>
      </c>
      <c r="F290" s="599"/>
      <c r="G290" s="13">
        <f t="shared" si="76"/>
        <v>1</v>
      </c>
      <c r="H290" s="599"/>
      <c r="I290" s="13">
        <f t="shared" si="77"/>
        <v>1</v>
      </c>
      <c r="J290" s="599"/>
      <c r="K290" s="13">
        <f t="shared" si="78"/>
        <v>1</v>
      </c>
      <c r="L290" s="599"/>
      <c r="M290" s="13">
        <f t="shared" si="79"/>
        <v>1</v>
      </c>
      <c r="N290" s="599"/>
      <c r="O290" s="13">
        <f t="shared" si="80"/>
        <v>1</v>
      </c>
      <c r="P290" s="599"/>
      <c r="Q290" s="13">
        <f t="shared" si="81"/>
        <v>0</v>
      </c>
      <c r="R290" s="596">
        <f t="shared" si="86"/>
        <v>0</v>
      </c>
      <c r="S290" s="250">
        <f t="shared" si="87"/>
        <v>0</v>
      </c>
      <c r="T290" s="899">
        <f t="shared" si="88"/>
        <v>0</v>
      </c>
      <c r="U290" s="2988">
        <f t="shared" si="82"/>
        <v>0</v>
      </c>
      <c r="V290" s="2988">
        <f t="shared" si="83"/>
        <v>0</v>
      </c>
      <c r="W290" s="996"/>
      <c r="X290" s="2988">
        <f t="shared" si="84"/>
        <v>0</v>
      </c>
      <c r="Y290" s="2988">
        <f t="shared" si="85"/>
        <v>0</v>
      </c>
      <c r="Z290" s="996"/>
    </row>
    <row r="291" spans="1:26">
      <c r="A291" s="35"/>
      <c r="B291" s="20"/>
      <c r="C291" s="13">
        <f t="shared" si="74"/>
        <v>1</v>
      </c>
      <c r="D291" s="599"/>
      <c r="E291" s="13">
        <f t="shared" si="75"/>
        <v>1</v>
      </c>
      <c r="F291" s="599"/>
      <c r="G291" s="13">
        <f t="shared" si="76"/>
        <v>1</v>
      </c>
      <c r="H291" s="599"/>
      <c r="I291" s="13">
        <f t="shared" si="77"/>
        <v>1</v>
      </c>
      <c r="J291" s="599"/>
      <c r="K291" s="13">
        <f t="shared" si="78"/>
        <v>1</v>
      </c>
      <c r="L291" s="599"/>
      <c r="M291" s="13">
        <f t="shared" si="79"/>
        <v>1</v>
      </c>
      <c r="N291" s="599"/>
      <c r="O291" s="13">
        <f t="shared" si="80"/>
        <v>1</v>
      </c>
      <c r="P291" s="599"/>
      <c r="Q291" s="13">
        <f t="shared" si="81"/>
        <v>0</v>
      </c>
      <c r="R291" s="596">
        <f t="shared" si="86"/>
        <v>0</v>
      </c>
      <c r="S291" s="250">
        <f t="shared" si="87"/>
        <v>0</v>
      </c>
      <c r="T291" s="899">
        <f t="shared" si="88"/>
        <v>0</v>
      </c>
      <c r="U291" s="2988">
        <f t="shared" si="82"/>
        <v>0</v>
      </c>
      <c r="V291" s="2988">
        <f t="shared" si="83"/>
        <v>0</v>
      </c>
      <c r="W291" s="996"/>
      <c r="X291" s="2988">
        <f t="shared" si="84"/>
        <v>0</v>
      </c>
      <c r="Y291" s="2988">
        <f t="shared" si="85"/>
        <v>0</v>
      </c>
      <c r="Z291" s="996"/>
    </row>
    <row r="292" spans="1:26">
      <c r="A292" s="35"/>
      <c r="B292" s="20"/>
      <c r="C292" s="13">
        <f t="shared" si="74"/>
        <v>1</v>
      </c>
      <c r="D292" s="599"/>
      <c r="E292" s="13">
        <f t="shared" si="75"/>
        <v>1</v>
      </c>
      <c r="F292" s="599"/>
      <c r="G292" s="13">
        <f t="shared" si="76"/>
        <v>1</v>
      </c>
      <c r="H292" s="599"/>
      <c r="I292" s="13">
        <f t="shared" si="77"/>
        <v>1</v>
      </c>
      <c r="J292" s="599"/>
      <c r="K292" s="13">
        <f t="shared" si="78"/>
        <v>1</v>
      </c>
      <c r="L292" s="599"/>
      <c r="M292" s="13">
        <f t="shared" si="79"/>
        <v>1</v>
      </c>
      <c r="N292" s="599"/>
      <c r="O292" s="13">
        <f t="shared" si="80"/>
        <v>1</v>
      </c>
      <c r="P292" s="599"/>
      <c r="Q292" s="13">
        <f t="shared" si="81"/>
        <v>0</v>
      </c>
      <c r="R292" s="596">
        <f t="shared" si="86"/>
        <v>0</v>
      </c>
      <c r="S292" s="250">
        <f t="shared" si="87"/>
        <v>0</v>
      </c>
      <c r="T292" s="899">
        <f t="shared" si="88"/>
        <v>0</v>
      </c>
      <c r="U292" s="2988">
        <f t="shared" si="82"/>
        <v>0</v>
      </c>
      <c r="V292" s="2988">
        <f t="shared" si="83"/>
        <v>0</v>
      </c>
      <c r="W292" s="996"/>
      <c r="X292" s="2988">
        <f t="shared" si="84"/>
        <v>0</v>
      </c>
      <c r="Y292" s="2988">
        <f t="shared" si="85"/>
        <v>0</v>
      </c>
      <c r="Z292" s="996"/>
    </row>
    <row r="293" spans="1:26">
      <c r="A293" s="35"/>
      <c r="B293" s="20"/>
      <c r="C293" s="13">
        <f t="shared" si="74"/>
        <v>1</v>
      </c>
      <c r="D293" s="599"/>
      <c r="E293" s="13">
        <f t="shared" si="75"/>
        <v>1</v>
      </c>
      <c r="F293" s="599"/>
      <c r="G293" s="13">
        <f t="shared" si="76"/>
        <v>1</v>
      </c>
      <c r="H293" s="599"/>
      <c r="I293" s="13">
        <f t="shared" si="77"/>
        <v>1</v>
      </c>
      <c r="J293" s="599"/>
      <c r="K293" s="13">
        <f t="shared" si="78"/>
        <v>1</v>
      </c>
      <c r="L293" s="599"/>
      <c r="M293" s="13">
        <f t="shared" si="79"/>
        <v>1</v>
      </c>
      <c r="N293" s="599"/>
      <c r="O293" s="13">
        <f t="shared" si="80"/>
        <v>1</v>
      </c>
      <c r="P293" s="599"/>
      <c r="Q293" s="13">
        <f t="shared" si="81"/>
        <v>0</v>
      </c>
      <c r="R293" s="596">
        <f t="shared" si="86"/>
        <v>0</v>
      </c>
      <c r="S293" s="250">
        <f t="shared" si="87"/>
        <v>0</v>
      </c>
      <c r="T293" s="899">
        <f t="shared" si="88"/>
        <v>0</v>
      </c>
      <c r="U293" s="2988">
        <f t="shared" si="82"/>
        <v>0</v>
      </c>
      <c r="V293" s="2988">
        <f t="shared" si="83"/>
        <v>0</v>
      </c>
      <c r="W293" s="996"/>
      <c r="X293" s="2988">
        <f t="shared" si="84"/>
        <v>0</v>
      </c>
      <c r="Y293" s="2988">
        <f t="shared" si="85"/>
        <v>0</v>
      </c>
      <c r="Z293" s="996"/>
    </row>
    <row r="294" spans="1:26">
      <c r="A294" s="35"/>
      <c r="B294" s="20"/>
      <c r="C294" s="13">
        <f t="shared" si="74"/>
        <v>1</v>
      </c>
      <c r="D294" s="599"/>
      <c r="E294" s="13">
        <f t="shared" si="75"/>
        <v>1</v>
      </c>
      <c r="F294" s="599"/>
      <c r="G294" s="13">
        <f t="shared" si="76"/>
        <v>1</v>
      </c>
      <c r="H294" s="599"/>
      <c r="I294" s="13">
        <f t="shared" si="77"/>
        <v>1</v>
      </c>
      <c r="J294" s="599"/>
      <c r="K294" s="13">
        <f t="shared" si="78"/>
        <v>1</v>
      </c>
      <c r="L294" s="599"/>
      <c r="M294" s="13">
        <f t="shared" si="79"/>
        <v>1</v>
      </c>
      <c r="N294" s="599"/>
      <c r="O294" s="13">
        <f t="shared" si="80"/>
        <v>1</v>
      </c>
      <c r="P294" s="599"/>
      <c r="Q294" s="13">
        <f t="shared" si="81"/>
        <v>0</v>
      </c>
      <c r="R294" s="596">
        <f t="shared" si="86"/>
        <v>0</v>
      </c>
      <c r="S294" s="250">
        <f t="shared" si="87"/>
        <v>0</v>
      </c>
      <c r="T294" s="899">
        <f t="shared" si="88"/>
        <v>0</v>
      </c>
      <c r="U294" s="2988">
        <f t="shared" si="82"/>
        <v>0</v>
      </c>
      <c r="V294" s="2988">
        <f t="shared" si="83"/>
        <v>0</v>
      </c>
      <c r="W294" s="996"/>
      <c r="X294" s="2988">
        <f t="shared" si="84"/>
        <v>0</v>
      </c>
      <c r="Y294" s="2988">
        <f t="shared" si="85"/>
        <v>0</v>
      </c>
      <c r="Z294" s="996"/>
    </row>
    <row r="295" spans="1:26">
      <c r="A295" s="35"/>
      <c r="B295" s="20"/>
      <c r="C295" s="13">
        <f t="shared" si="74"/>
        <v>1</v>
      </c>
      <c r="D295" s="599"/>
      <c r="E295" s="13">
        <f t="shared" si="75"/>
        <v>1</v>
      </c>
      <c r="F295" s="599"/>
      <c r="G295" s="13">
        <f t="shared" si="76"/>
        <v>1</v>
      </c>
      <c r="H295" s="599"/>
      <c r="I295" s="13">
        <f t="shared" si="77"/>
        <v>1</v>
      </c>
      <c r="J295" s="599"/>
      <c r="K295" s="13">
        <f t="shared" si="78"/>
        <v>1</v>
      </c>
      <c r="L295" s="599"/>
      <c r="M295" s="13">
        <f t="shared" si="79"/>
        <v>1</v>
      </c>
      <c r="N295" s="599"/>
      <c r="O295" s="13">
        <f t="shared" si="80"/>
        <v>1</v>
      </c>
      <c r="P295" s="599"/>
      <c r="Q295" s="13">
        <f t="shared" si="81"/>
        <v>0</v>
      </c>
      <c r="R295" s="596">
        <f t="shared" si="86"/>
        <v>0</v>
      </c>
      <c r="S295" s="250">
        <f t="shared" si="87"/>
        <v>0</v>
      </c>
      <c r="T295" s="899">
        <f t="shared" si="88"/>
        <v>0</v>
      </c>
      <c r="U295" s="2988">
        <f t="shared" si="82"/>
        <v>0</v>
      </c>
      <c r="V295" s="2988">
        <f t="shared" si="83"/>
        <v>0</v>
      </c>
      <c r="W295" s="996"/>
      <c r="X295" s="2988">
        <f t="shared" si="84"/>
        <v>0</v>
      </c>
      <c r="Y295" s="2988">
        <f t="shared" si="85"/>
        <v>0</v>
      </c>
      <c r="Z295" s="996"/>
    </row>
    <row r="296" spans="1:26">
      <c r="A296" s="35"/>
      <c r="B296" s="20"/>
      <c r="C296" s="13">
        <f t="shared" si="74"/>
        <v>1</v>
      </c>
      <c r="D296" s="599"/>
      <c r="E296" s="13">
        <f t="shared" si="75"/>
        <v>1</v>
      </c>
      <c r="F296" s="599"/>
      <c r="G296" s="13">
        <f t="shared" si="76"/>
        <v>1</v>
      </c>
      <c r="H296" s="599"/>
      <c r="I296" s="13">
        <f t="shared" si="77"/>
        <v>1</v>
      </c>
      <c r="J296" s="599"/>
      <c r="K296" s="13">
        <f t="shared" si="78"/>
        <v>1</v>
      </c>
      <c r="L296" s="599"/>
      <c r="M296" s="13">
        <f t="shared" si="79"/>
        <v>1</v>
      </c>
      <c r="N296" s="599"/>
      <c r="O296" s="13">
        <f t="shared" si="80"/>
        <v>1</v>
      </c>
      <c r="P296" s="599"/>
      <c r="Q296" s="13">
        <f t="shared" si="81"/>
        <v>0</v>
      </c>
      <c r="R296" s="596">
        <f t="shared" si="86"/>
        <v>0</v>
      </c>
      <c r="S296" s="250">
        <f t="shared" si="87"/>
        <v>0</v>
      </c>
      <c r="T296" s="899">
        <f t="shared" si="88"/>
        <v>0</v>
      </c>
      <c r="U296" s="2988">
        <f t="shared" si="82"/>
        <v>0</v>
      </c>
      <c r="V296" s="2988">
        <f t="shared" si="83"/>
        <v>0</v>
      </c>
      <c r="W296" s="996"/>
      <c r="X296" s="2988">
        <f t="shared" si="84"/>
        <v>0</v>
      </c>
      <c r="Y296" s="2988">
        <f t="shared" si="85"/>
        <v>0</v>
      </c>
      <c r="Z296" s="996"/>
    </row>
    <row r="297" spans="1:26">
      <c r="A297" s="35"/>
      <c r="B297" s="20"/>
      <c r="C297" s="13">
        <f t="shared" si="74"/>
        <v>1</v>
      </c>
      <c r="D297" s="599"/>
      <c r="E297" s="13">
        <f t="shared" si="75"/>
        <v>1</v>
      </c>
      <c r="F297" s="599"/>
      <c r="G297" s="13">
        <f t="shared" si="76"/>
        <v>1</v>
      </c>
      <c r="H297" s="599"/>
      <c r="I297" s="13">
        <f t="shared" si="77"/>
        <v>1</v>
      </c>
      <c r="J297" s="599"/>
      <c r="K297" s="13">
        <f t="shared" si="78"/>
        <v>1</v>
      </c>
      <c r="L297" s="599"/>
      <c r="M297" s="13">
        <f t="shared" si="79"/>
        <v>1</v>
      </c>
      <c r="N297" s="599"/>
      <c r="O297" s="13">
        <f t="shared" si="80"/>
        <v>1</v>
      </c>
      <c r="P297" s="599"/>
      <c r="Q297" s="13">
        <f t="shared" si="81"/>
        <v>0</v>
      </c>
      <c r="R297" s="596">
        <f t="shared" si="86"/>
        <v>0</v>
      </c>
      <c r="S297" s="250">
        <f t="shared" si="87"/>
        <v>0</v>
      </c>
      <c r="T297" s="899">
        <f t="shared" si="88"/>
        <v>0</v>
      </c>
      <c r="U297" s="2988">
        <f t="shared" si="82"/>
        <v>0</v>
      </c>
      <c r="V297" s="2988">
        <f t="shared" si="83"/>
        <v>0</v>
      </c>
      <c r="W297" s="996"/>
      <c r="X297" s="2988">
        <f t="shared" si="84"/>
        <v>0</v>
      </c>
      <c r="Y297" s="2988">
        <f t="shared" si="85"/>
        <v>0</v>
      </c>
      <c r="Z297" s="996"/>
    </row>
    <row r="298" spans="1:26">
      <c r="A298" s="35"/>
      <c r="B298" s="20"/>
      <c r="C298" s="13">
        <f t="shared" si="74"/>
        <v>1</v>
      </c>
      <c r="D298" s="599"/>
      <c r="E298" s="13">
        <f t="shared" si="75"/>
        <v>1</v>
      </c>
      <c r="F298" s="599"/>
      <c r="G298" s="13">
        <f t="shared" si="76"/>
        <v>1</v>
      </c>
      <c r="H298" s="599"/>
      <c r="I298" s="13">
        <f t="shared" si="77"/>
        <v>1</v>
      </c>
      <c r="J298" s="599"/>
      <c r="K298" s="13">
        <f t="shared" si="78"/>
        <v>1</v>
      </c>
      <c r="L298" s="599"/>
      <c r="M298" s="13">
        <f t="shared" si="79"/>
        <v>1</v>
      </c>
      <c r="N298" s="599"/>
      <c r="O298" s="13">
        <f t="shared" si="80"/>
        <v>1</v>
      </c>
      <c r="P298" s="599"/>
      <c r="Q298" s="13">
        <f t="shared" si="81"/>
        <v>0</v>
      </c>
      <c r="R298" s="596">
        <f t="shared" si="86"/>
        <v>0</v>
      </c>
      <c r="S298" s="250">
        <f t="shared" si="87"/>
        <v>0</v>
      </c>
      <c r="T298" s="899">
        <f t="shared" si="88"/>
        <v>0</v>
      </c>
      <c r="U298" s="2988">
        <f t="shared" si="82"/>
        <v>0</v>
      </c>
      <c r="V298" s="2988">
        <f t="shared" si="83"/>
        <v>0</v>
      </c>
      <c r="W298" s="996"/>
      <c r="X298" s="2988">
        <f t="shared" si="84"/>
        <v>0</v>
      </c>
      <c r="Y298" s="2988">
        <f t="shared" si="85"/>
        <v>0</v>
      </c>
      <c r="Z298" s="996"/>
    </row>
    <row r="299" spans="1:26">
      <c r="A299" s="35"/>
      <c r="B299" s="20"/>
      <c r="C299" s="13">
        <f t="shared" si="74"/>
        <v>1</v>
      </c>
      <c r="D299" s="599"/>
      <c r="E299" s="13">
        <f t="shared" si="75"/>
        <v>1</v>
      </c>
      <c r="F299" s="599"/>
      <c r="G299" s="13">
        <f t="shared" si="76"/>
        <v>1</v>
      </c>
      <c r="H299" s="599"/>
      <c r="I299" s="13">
        <f t="shared" si="77"/>
        <v>1</v>
      </c>
      <c r="J299" s="599"/>
      <c r="K299" s="13">
        <f t="shared" si="78"/>
        <v>1</v>
      </c>
      <c r="L299" s="599"/>
      <c r="M299" s="13">
        <f t="shared" si="79"/>
        <v>1</v>
      </c>
      <c r="N299" s="599"/>
      <c r="O299" s="13">
        <f t="shared" si="80"/>
        <v>1</v>
      </c>
      <c r="P299" s="599"/>
      <c r="Q299" s="13">
        <f t="shared" si="81"/>
        <v>0</v>
      </c>
      <c r="R299" s="596">
        <f t="shared" si="86"/>
        <v>0</v>
      </c>
      <c r="S299" s="250">
        <f t="shared" si="87"/>
        <v>0</v>
      </c>
      <c r="T299" s="899">
        <f t="shared" si="88"/>
        <v>0</v>
      </c>
      <c r="U299" s="2988">
        <f t="shared" si="82"/>
        <v>0</v>
      </c>
      <c r="V299" s="2988">
        <f t="shared" si="83"/>
        <v>0</v>
      </c>
      <c r="W299" s="996"/>
      <c r="X299" s="2988">
        <f t="shared" si="84"/>
        <v>0</v>
      </c>
      <c r="Y299" s="2988">
        <f t="shared" si="85"/>
        <v>0</v>
      </c>
      <c r="Z299" s="996"/>
    </row>
    <row r="300" spans="1:26">
      <c r="A300" s="35"/>
      <c r="B300" s="20"/>
      <c r="C300" s="13">
        <f t="shared" si="74"/>
        <v>1</v>
      </c>
      <c r="D300" s="599"/>
      <c r="E300" s="13">
        <f t="shared" si="75"/>
        <v>1</v>
      </c>
      <c r="F300" s="599"/>
      <c r="G300" s="13">
        <f t="shared" si="76"/>
        <v>1</v>
      </c>
      <c r="H300" s="599"/>
      <c r="I300" s="13">
        <f t="shared" si="77"/>
        <v>1</v>
      </c>
      <c r="J300" s="599"/>
      <c r="K300" s="13">
        <f t="shared" si="78"/>
        <v>1</v>
      </c>
      <c r="L300" s="599"/>
      <c r="M300" s="13">
        <f t="shared" si="79"/>
        <v>1</v>
      </c>
      <c r="N300" s="599"/>
      <c r="O300" s="13">
        <f t="shared" si="80"/>
        <v>1</v>
      </c>
      <c r="P300" s="599"/>
      <c r="Q300" s="13">
        <f t="shared" si="81"/>
        <v>0</v>
      </c>
      <c r="R300" s="596">
        <f t="shared" si="86"/>
        <v>0</v>
      </c>
      <c r="S300" s="250">
        <f t="shared" si="87"/>
        <v>0</v>
      </c>
      <c r="T300" s="899">
        <f t="shared" si="88"/>
        <v>0</v>
      </c>
      <c r="U300" s="2988">
        <f t="shared" si="82"/>
        <v>0</v>
      </c>
      <c r="V300" s="2988">
        <f t="shared" si="83"/>
        <v>0</v>
      </c>
      <c r="W300" s="996"/>
      <c r="X300" s="2988">
        <f t="shared" si="84"/>
        <v>0</v>
      </c>
      <c r="Y300" s="2988">
        <f t="shared" si="85"/>
        <v>0</v>
      </c>
      <c r="Z300" s="996"/>
    </row>
    <row r="301" spans="1:26">
      <c r="A301" s="35"/>
      <c r="B301" s="20"/>
      <c r="C301" s="13">
        <f t="shared" si="74"/>
        <v>1</v>
      </c>
      <c r="D301" s="599"/>
      <c r="E301" s="13">
        <f t="shared" si="75"/>
        <v>1</v>
      </c>
      <c r="F301" s="599"/>
      <c r="G301" s="13">
        <f t="shared" si="76"/>
        <v>1</v>
      </c>
      <c r="H301" s="599"/>
      <c r="I301" s="13">
        <f t="shared" si="77"/>
        <v>1</v>
      </c>
      <c r="J301" s="599"/>
      <c r="K301" s="13">
        <f t="shared" si="78"/>
        <v>1</v>
      </c>
      <c r="L301" s="599"/>
      <c r="M301" s="13">
        <f t="shared" si="79"/>
        <v>1</v>
      </c>
      <c r="N301" s="599"/>
      <c r="O301" s="13">
        <f t="shared" si="80"/>
        <v>1</v>
      </c>
      <c r="P301" s="599"/>
      <c r="Q301" s="13">
        <f t="shared" si="81"/>
        <v>0</v>
      </c>
      <c r="R301" s="596">
        <f t="shared" si="86"/>
        <v>0</v>
      </c>
      <c r="S301" s="250">
        <f t="shared" si="87"/>
        <v>0</v>
      </c>
      <c r="T301" s="899">
        <f t="shared" si="88"/>
        <v>0</v>
      </c>
      <c r="U301" s="2988">
        <f t="shared" si="82"/>
        <v>0</v>
      </c>
      <c r="V301" s="2988">
        <f t="shared" si="83"/>
        <v>0</v>
      </c>
      <c r="W301" s="996"/>
      <c r="X301" s="2988">
        <f t="shared" si="84"/>
        <v>0</v>
      </c>
      <c r="Y301" s="2988">
        <f t="shared" si="85"/>
        <v>0</v>
      </c>
      <c r="Z301" s="996"/>
    </row>
    <row r="302" spans="1:26">
      <c r="A302" s="35"/>
      <c r="B302" s="20"/>
      <c r="C302" s="13">
        <f t="shared" si="74"/>
        <v>1</v>
      </c>
      <c r="D302" s="599"/>
      <c r="E302" s="13">
        <f t="shared" si="75"/>
        <v>1</v>
      </c>
      <c r="F302" s="599"/>
      <c r="G302" s="13">
        <f t="shared" si="76"/>
        <v>1</v>
      </c>
      <c r="H302" s="599"/>
      <c r="I302" s="13">
        <f t="shared" si="77"/>
        <v>1</v>
      </c>
      <c r="J302" s="599"/>
      <c r="K302" s="13">
        <f t="shared" si="78"/>
        <v>1</v>
      </c>
      <c r="L302" s="599"/>
      <c r="M302" s="13">
        <f t="shared" si="79"/>
        <v>1</v>
      </c>
      <c r="N302" s="599"/>
      <c r="O302" s="13">
        <f t="shared" si="80"/>
        <v>1</v>
      </c>
      <c r="P302" s="599"/>
      <c r="Q302" s="13">
        <f t="shared" si="81"/>
        <v>0</v>
      </c>
      <c r="R302" s="596">
        <f t="shared" si="86"/>
        <v>0</v>
      </c>
      <c r="S302" s="250">
        <f t="shared" si="87"/>
        <v>0</v>
      </c>
      <c r="T302" s="899">
        <f t="shared" si="88"/>
        <v>0</v>
      </c>
      <c r="U302" s="2988">
        <f t="shared" si="82"/>
        <v>0</v>
      </c>
      <c r="V302" s="2988">
        <f t="shared" si="83"/>
        <v>0</v>
      </c>
      <c r="W302" s="996"/>
      <c r="X302" s="2988">
        <f t="shared" si="84"/>
        <v>0</v>
      </c>
      <c r="Y302" s="2988">
        <f t="shared" si="85"/>
        <v>0</v>
      </c>
      <c r="Z302" s="996"/>
    </row>
    <row r="303" spans="1:26">
      <c r="A303" s="35"/>
      <c r="B303" s="20"/>
      <c r="C303" s="13">
        <f t="shared" si="74"/>
        <v>1</v>
      </c>
      <c r="D303" s="599"/>
      <c r="E303" s="13">
        <f t="shared" si="75"/>
        <v>1</v>
      </c>
      <c r="F303" s="599"/>
      <c r="G303" s="13">
        <f t="shared" si="76"/>
        <v>1</v>
      </c>
      <c r="H303" s="599"/>
      <c r="I303" s="13">
        <f t="shared" si="77"/>
        <v>1</v>
      </c>
      <c r="J303" s="599"/>
      <c r="K303" s="13">
        <f t="shared" si="78"/>
        <v>1</v>
      </c>
      <c r="L303" s="599"/>
      <c r="M303" s="13">
        <f t="shared" si="79"/>
        <v>1</v>
      </c>
      <c r="N303" s="599"/>
      <c r="O303" s="13">
        <f t="shared" si="80"/>
        <v>1</v>
      </c>
      <c r="P303" s="599"/>
      <c r="Q303" s="13">
        <f t="shared" si="81"/>
        <v>0</v>
      </c>
      <c r="R303" s="596">
        <f t="shared" si="86"/>
        <v>0</v>
      </c>
      <c r="S303" s="250">
        <f t="shared" si="87"/>
        <v>0</v>
      </c>
      <c r="T303" s="899">
        <f t="shared" si="88"/>
        <v>0</v>
      </c>
      <c r="U303" s="2988">
        <f t="shared" si="82"/>
        <v>0</v>
      </c>
      <c r="V303" s="2988">
        <f t="shared" si="83"/>
        <v>0</v>
      </c>
      <c r="W303" s="996"/>
      <c r="X303" s="2988">
        <f t="shared" si="84"/>
        <v>0</v>
      </c>
      <c r="Y303" s="2988">
        <f t="shared" si="85"/>
        <v>0</v>
      </c>
      <c r="Z303" s="996"/>
    </row>
    <row r="304" spans="1:26">
      <c r="A304" s="35"/>
      <c r="B304" s="20"/>
      <c r="C304" s="13">
        <f t="shared" si="74"/>
        <v>1</v>
      </c>
      <c r="D304" s="599"/>
      <c r="E304" s="13">
        <f t="shared" si="75"/>
        <v>1</v>
      </c>
      <c r="F304" s="599"/>
      <c r="G304" s="13">
        <f t="shared" si="76"/>
        <v>1</v>
      </c>
      <c r="H304" s="599"/>
      <c r="I304" s="13">
        <f t="shared" si="77"/>
        <v>1</v>
      </c>
      <c r="J304" s="599"/>
      <c r="K304" s="13">
        <f t="shared" si="78"/>
        <v>1</v>
      </c>
      <c r="L304" s="599"/>
      <c r="M304" s="13">
        <f t="shared" si="79"/>
        <v>1</v>
      </c>
      <c r="N304" s="599"/>
      <c r="O304" s="13">
        <f t="shared" si="80"/>
        <v>1</v>
      </c>
      <c r="P304" s="599"/>
      <c r="Q304" s="13">
        <f t="shared" si="81"/>
        <v>0</v>
      </c>
      <c r="R304" s="596">
        <f t="shared" si="86"/>
        <v>0</v>
      </c>
      <c r="S304" s="250">
        <f t="shared" si="87"/>
        <v>0</v>
      </c>
      <c r="T304" s="899">
        <f t="shared" si="88"/>
        <v>0</v>
      </c>
      <c r="U304" s="2988">
        <f t="shared" si="82"/>
        <v>0</v>
      </c>
      <c r="V304" s="2988">
        <f t="shared" si="83"/>
        <v>0</v>
      </c>
      <c r="W304" s="996"/>
      <c r="X304" s="2988">
        <f t="shared" si="84"/>
        <v>0</v>
      </c>
      <c r="Y304" s="2988">
        <f t="shared" si="85"/>
        <v>0</v>
      </c>
      <c r="Z304" s="996"/>
    </row>
    <row r="305" spans="1:26">
      <c r="A305" s="35"/>
      <c r="B305" s="20"/>
      <c r="C305" s="13">
        <f t="shared" si="74"/>
        <v>1</v>
      </c>
      <c r="D305" s="599"/>
      <c r="E305" s="13">
        <f t="shared" si="75"/>
        <v>1</v>
      </c>
      <c r="F305" s="599"/>
      <c r="G305" s="13">
        <f t="shared" si="76"/>
        <v>1</v>
      </c>
      <c r="H305" s="599"/>
      <c r="I305" s="13">
        <f t="shared" si="77"/>
        <v>1</v>
      </c>
      <c r="J305" s="599"/>
      <c r="K305" s="13">
        <f t="shared" si="78"/>
        <v>1</v>
      </c>
      <c r="L305" s="599"/>
      <c r="M305" s="13">
        <f t="shared" si="79"/>
        <v>1</v>
      </c>
      <c r="N305" s="599"/>
      <c r="O305" s="13">
        <f t="shared" si="80"/>
        <v>1</v>
      </c>
      <c r="P305" s="599"/>
      <c r="Q305" s="13">
        <f t="shared" si="81"/>
        <v>0</v>
      </c>
      <c r="R305" s="596">
        <f t="shared" si="86"/>
        <v>0</v>
      </c>
      <c r="S305" s="250">
        <f t="shared" si="87"/>
        <v>0</v>
      </c>
      <c r="T305" s="899">
        <f t="shared" si="88"/>
        <v>0</v>
      </c>
      <c r="U305" s="2988">
        <f t="shared" si="82"/>
        <v>0</v>
      </c>
      <c r="V305" s="2988">
        <f t="shared" si="83"/>
        <v>0</v>
      </c>
      <c r="W305" s="996"/>
      <c r="X305" s="2988">
        <f t="shared" si="84"/>
        <v>0</v>
      </c>
      <c r="Y305" s="2988">
        <f t="shared" si="85"/>
        <v>0</v>
      </c>
      <c r="Z305" s="996"/>
    </row>
    <row r="306" spans="1:26">
      <c r="A306" s="35"/>
      <c r="B306" s="20"/>
      <c r="C306" s="13">
        <f t="shared" si="74"/>
        <v>1</v>
      </c>
      <c r="D306" s="599"/>
      <c r="E306" s="13">
        <f t="shared" si="75"/>
        <v>1</v>
      </c>
      <c r="F306" s="599"/>
      <c r="G306" s="13">
        <f t="shared" si="76"/>
        <v>1</v>
      </c>
      <c r="H306" s="599"/>
      <c r="I306" s="13">
        <f t="shared" si="77"/>
        <v>1</v>
      </c>
      <c r="J306" s="599"/>
      <c r="K306" s="13">
        <f t="shared" si="78"/>
        <v>1</v>
      </c>
      <c r="L306" s="599"/>
      <c r="M306" s="13">
        <f t="shared" si="79"/>
        <v>1</v>
      </c>
      <c r="N306" s="599"/>
      <c r="O306" s="13">
        <f t="shared" si="80"/>
        <v>1</v>
      </c>
      <c r="P306" s="599"/>
      <c r="Q306" s="13">
        <f t="shared" si="81"/>
        <v>0</v>
      </c>
      <c r="R306" s="596">
        <f t="shared" si="86"/>
        <v>0</v>
      </c>
      <c r="S306" s="250">
        <f t="shared" si="87"/>
        <v>0</v>
      </c>
      <c r="T306" s="899">
        <f t="shared" si="88"/>
        <v>0</v>
      </c>
      <c r="U306" s="2988">
        <f t="shared" si="82"/>
        <v>0</v>
      </c>
      <c r="V306" s="2988">
        <f t="shared" si="83"/>
        <v>0</v>
      </c>
      <c r="W306" s="996"/>
      <c r="X306" s="2988">
        <f t="shared" si="84"/>
        <v>0</v>
      </c>
      <c r="Y306" s="2988">
        <f t="shared" si="85"/>
        <v>0</v>
      </c>
      <c r="Z306" s="996"/>
    </row>
    <row r="307" spans="1:26">
      <c r="A307" s="35"/>
      <c r="B307" s="20"/>
      <c r="C307" s="13">
        <f t="shared" si="74"/>
        <v>1</v>
      </c>
      <c r="D307" s="599"/>
      <c r="E307" s="13">
        <f t="shared" si="75"/>
        <v>1</v>
      </c>
      <c r="F307" s="599"/>
      <c r="G307" s="13">
        <f t="shared" si="76"/>
        <v>1</v>
      </c>
      <c r="H307" s="599"/>
      <c r="I307" s="13">
        <f t="shared" si="77"/>
        <v>1</v>
      </c>
      <c r="J307" s="599"/>
      <c r="K307" s="13">
        <f t="shared" si="78"/>
        <v>1</v>
      </c>
      <c r="L307" s="599"/>
      <c r="M307" s="13">
        <f t="shared" si="79"/>
        <v>1</v>
      </c>
      <c r="N307" s="599"/>
      <c r="O307" s="13">
        <f t="shared" si="80"/>
        <v>1</v>
      </c>
      <c r="P307" s="599"/>
      <c r="Q307" s="13">
        <f t="shared" si="81"/>
        <v>0</v>
      </c>
      <c r="R307" s="596">
        <f t="shared" si="86"/>
        <v>0</v>
      </c>
      <c r="S307" s="250">
        <f t="shared" si="87"/>
        <v>0</v>
      </c>
      <c r="T307" s="899">
        <f t="shared" si="88"/>
        <v>0</v>
      </c>
      <c r="U307" s="2988">
        <f t="shared" si="82"/>
        <v>0</v>
      </c>
      <c r="V307" s="2988">
        <f t="shared" si="83"/>
        <v>0</v>
      </c>
      <c r="W307" s="996"/>
      <c r="X307" s="2988">
        <f t="shared" si="84"/>
        <v>0</v>
      </c>
      <c r="Y307" s="2988">
        <f t="shared" si="85"/>
        <v>0</v>
      </c>
      <c r="Z307" s="996"/>
    </row>
    <row r="308" spans="1:26">
      <c r="A308" s="35"/>
      <c r="B308" s="20"/>
      <c r="C308" s="13">
        <f t="shared" si="74"/>
        <v>1</v>
      </c>
      <c r="D308" s="599"/>
      <c r="E308" s="13">
        <f t="shared" si="75"/>
        <v>1</v>
      </c>
      <c r="F308" s="599"/>
      <c r="G308" s="13">
        <f t="shared" si="76"/>
        <v>1</v>
      </c>
      <c r="H308" s="599"/>
      <c r="I308" s="13">
        <f t="shared" si="77"/>
        <v>1</v>
      </c>
      <c r="J308" s="599"/>
      <c r="K308" s="13">
        <f t="shared" si="78"/>
        <v>1</v>
      </c>
      <c r="L308" s="599"/>
      <c r="M308" s="13">
        <f t="shared" si="79"/>
        <v>1</v>
      </c>
      <c r="N308" s="599"/>
      <c r="O308" s="13">
        <f t="shared" si="80"/>
        <v>1</v>
      </c>
      <c r="P308" s="599"/>
      <c r="Q308" s="13">
        <f t="shared" si="81"/>
        <v>0</v>
      </c>
      <c r="R308" s="596">
        <f t="shared" si="86"/>
        <v>0</v>
      </c>
      <c r="S308" s="250">
        <f t="shared" si="87"/>
        <v>0</v>
      </c>
      <c r="T308" s="899">
        <f t="shared" si="88"/>
        <v>0</v>
      </c>
      <c r="U308" s="2988">
        <f t="shared" si="82"/>
        <v>0</v>
      </c>
      <c r="V308" s="2988">
        <f t="shared" si="83"/>
        <v>0</v>
      </c>
      <c r="W308" s="996"/>
      <c r="X308" s="2988">
        <f t="shared" si="84"/>
        <v>0</v>
      </c>
      <c r="Y308" s="2988">
        <f t="shared" si="85"/>
        <v>0</v>
      </c>
      <c r="Z308" s="996"/>
    </row>
    <row r="309" spans="1:26">
      <c r="A309" s="35"/>
      <c r="B309" s="20"/>
      <c r="C309" s="13">
        <f t="shared" si="74"/>
        <v>1</v>
      </c>
      <c r="D309" s="599"/>
      <c r="E309" s="13">
        <f t="shared" si="75"/>
        <v>1</v>
      </c>
      <c r="F309" s="599"/>
      <c r="G309" s="13">
        <f t="shared" si="76"/>
        <v>1</v>
      </c>
      <c r="H309" s="599"/>
      <c r="I309" s="13">
        <f t="shared" si="77"/>
        <v>1</v>
      </c>
      <c r="J309" s="599"/>
      <c r="K309" s="13">
        <f t="shared" si="78"/>
        <v>1</v>
      </c>
      <c r="L309" s="599"/>
      <c r="M309" s="13">
        <f t="shared" si="79"/>
        <v>1</v>
      </c>
      <c r="N309" s="599"/>
      <c r="O309" s="13">
        <f t="shared" si="80"/>
        <v>1</v>
      </c>
      <c r="P309" s="599"/>
      <c r="Q309" s="13">
        <f t="shared" si="81"/>
        <v>0</v>
      </c>
      <c r="R309" s="596">
        <f t="shared" si="86"/>
        <v>0</v>
      </c>
      <c r="S309" s="250">
        <f t="shared" si="87"/>
        <v>0</v>
      </c>
      <c r="T309" s="899">
        <f t="shared" si="88"/>
        <v>0</v>
      </c>
      <c r="U309" s="2988">
        <f t="shared" si="82"/>
        <v>0</v>
      </c>
      <c r="V309" s="2988">
        <f t="shared" si="83"/>
        <v>0</v>
      </c>
      <c r="W309" s="996"/>
      <c r="X309" s="2988">
        <f t="shared" si="84"/>
        <v>0</v>
      </c>
      <c r="Y309" s="2988">
        <f t="shared" si="85"/>
        <v>0</v>
      </c>
      <c r="Z309" s="996"/>
    </row>
    <row r="310" spans="1:26">
      <c r="A310" s="35"/>
      <c r="B310" s="20"/>
      <c r="C310" s="13">
        <f t="shared" si="74"/>
        <v>1</v>
      </c>
      <c r="D310" s="599"/>
      <c r="E310" s="13">
        <f t="shared" si="75"/>
        <v>1</v>
      </c>
      <c r="F310" s="599"/>
      <c r="G310" s="13">
        <f t="shared" si="76"/>
        <v>1</v>
      </c>
      <c r="H310" s="599"/>
      <c r="I310" s="13">
        <f t="shared" si="77"/>
        <v>1</v>
      </c>
      <c r="J310" s="599"/>
      <c r="K310" s="13">
        <f t="shared" si="78"/>
        <v>1</v>
      </c>
      <c r="L310" s="599"/>
      <c r="M310" s="13">
        <f t="shared" si="79"/>
        <v>1</v>
      </c>
      <c r="N310" s="599"/>
      <c r="O310" s="13">
        <f t="shared" si="80"/>
        <v>1</v>
      </c>
      <c r="P310" s="599"/>
      <c r="Q310" s="13">
        <f t="shared" si="81"/>
        <v>0</v>
      </c>
      <c r="R310" s="596">
        <f t="shared" si="86"/>
        <v>0</v>
      </c>
      <c r="S310" s="250">
        <f t="shared" si="87"/>
        <v>0</v>
      </c>
      <c r="T310" s="899">
        <f t="shared" si="88"/>
        <v>0</v>
      </c>
      <c r="U310" s="2988">
        <f t="shared" si="82"/>
        <v>0</v>
      </c>
      <c r="V310" s="2988">
        <f t="shared" si="83"/>
        <v>0</v>
      </c>
      <c r="W310" s="996"/>
      <c r="X310" s="2988">
        <f t="shared" si="84"/>
        <v>0</v>
      </c>
      <c r="Y310" s="2988">
        <f t="shared" si="85"/>
        <v>0</v>
      </c>
      <c r="Z310" s="996"/>
    </row>
    <row r="311" spans="1:26">
      <c r="A311" s="35"/>
      <c r="B311" s="20"/>
      <c r="C311" s="13">
        <f t="shared" si="74"/>
        <v>1</v>
      </c>
      <c r="D311" s="599"/>
      <c r="E311" s="13">
        <f t="shared" si="75"/>
        <v>1</v>
      </c>
      <c r="F311" s="599"/>
      <c r="G311" s="13">
        <f t="shared" si="76"/>
        <v>1</v>
      </c>
      <c r="H311" s="599"/>
      <c r="I311" s="13">
        <f t="shared" si="77"/>
        <v>1</v>
      </c>
      <c r="J311" s="599"/>
      <c r="K311" s="13">
        <f t="shared" si="78"/>
        <v>1</v>
      </c>
      <c r="L311" s="599"/>
      <c r="M311" s="13">
        <f t="shared" si="79"/>
        <v>1</v>
      </c>
      <c r="N311" s="599"/>
      <c r="O311" s="13">
        <f t="shared" si="80"/>
        <v>1</v>
      </c>
      <c r="P311" s="599"/>
      <c r="Q311" s="13">
        <f t="shared" si="81"/>
        <v>0</v>
      </c>
      <c r="R311" s="596">
        <f t="shared" si="86"/>
        <v>0</v>
      </c>
      <c r="S311" s="250">
        <f t="shared" si="87"/>
        <v>0</v>
      </c>
      <c r="T311" s="899">
        <f t="shared" si="88"/>
        <v>0</v>
      </c>
      <c r="U311" s="2988">
        <f t="shared" si="82"/>
        <v>0</v>
      </c>
      <c r="V311" s="2988">
        <f t="shared" si="83"/>
        <v>0</v>
      </c>
      <c r="W311" s="996"/>
      <c r="X311" s="2988">
        <f t="shared" si="84"/>
        <v>0</v>
      </c>
      <c r="Y311" s="2988">
        <f t="shared" si="85"/>
        <v>0</v>
      </c>
      <c r="Z311" s="996"/>
    </row>
    <row r="312" spans="1:26">
      <c r="A312" s="35"/>
      <c r="B312" s="20"/>
      <c r="C312" s="13">
        <f t="shared" si="74"/>
        <v>1</v>
      </c>
      <c r="D312" s="599"/>
      <c r="E312" s="13">
        <f t="shared" si="75"/>
        <v>1</v>
      </c>
      <c r="F312" s="599"/>
      <c r="G312" s="13">
        <f t="shared" si="76"/>
        <v>1</v>
      </c>
      <c r="H312" s="599"/>
      <c r="I312" s="13">
        <f t="shared" si="77"/>
        <v>1</v>
      </c>
      <c r="J312" s="599"/>
      <c r="K312" s="13">
        <f t="shared" si="78"/>
        <v>1</v>
      </c>
      <c r="L312" s="599"/>
      <c r="M312" s="13">
        <f t="shared" si="79"/>
        <v>1</v>
      </c>
      <c r="N312" s="599"/>
      <c r="O312" s="13">
        <f t="shared" si="80"/>
        <v>1</v>
      </c>
      <c r="P312" s="599"/>
      <c r="Q312" s="13">
        <f t="shared" si="81"/>
        <v>0</v>
      </c>
      <c r="R312" s="596">
        <f t="shared" si="86"/>
        <v>0</v>
      </c>
      <c r="S312" s="250">
        <f t="shared" si="87"/>
        <v>0</v>
      </c>
      <c r="T312" s="899">
        <f t="shared" si="88"/>
        <v>0</v>
      </c>
      <c r="U312" s="2988">
        <f t="shared" si="82"/>
        <v>0</v>
      </c>
      <c r="V312" s="2988">
        <f t="shared" si="83"/>
        <v>0</v>
      </c>
      <c r="W312" s="996"/>
      <c r="X312" s="2988">
        <f t="shared" si="84"/>
        <v>0</v>
      </c>
      <c r="Y312" s="2988">
        <f t="shared" si="85"/>
        <v>0</v>
      </c>
      <c r="Z312" s="996"/>
    </row>
    <row r="313" spans="1:26">
      <c r="A313" s="35"/>
      <c r="B313" s="20"/>
      <c r="C313" s="13">
        <f t="shared" si="74"/>
        <v>1</v>
      </c>
      <c r="D313" s="599"/>
      <c r="E313" s="13">
        <f t="shared" si="75"/>
        <v>1</v>
      </c>
      <c r="F313" s="599"/>
      <c r="G313" s="13">
        <f t="shared" si="76"/>
        <v>1</v>
      </c>
      <c r="H313" s="599"/>
      <c r="I313" s="13">
        <f t="shared" si="77"/>
        <v>1</v>
      </c>
      <c r="J313" s="599"/>
      <c r="K313" s="13">
        <f t="shared" si="78"/>
        <v>1</v>
      </c>
      <c r="L313" s="599"/>
      <c r="M313" s="13">
        <f t="shared" si="79"/>
        <v>1</v>
      </c>
      <c r="N313" s="599"/>
      <c r="O313" s="13">
        <f t="shared" si="80"/>
        <v>1</v>
      </c>
      <c r="P313" s="599"/>
      <c r="Q313" s="13">
        <f t="shared" si="81"/>
        <v>0</v>
      </c>
      <c r="R313" s="596">
        <f t="shared" si="86"/>
        <v>0</v>
      </c>
      <c r="S313" s="250">
        <f t="shared" si="87"/>
        <v>0</v>
      </c>
      <c r="T313" s="899">
        <f t="shared" si="88"/>
        <v>0</v>
      </c>
      <c r="U313" s="2988">
        <f t="shared" si="82"/>
        <v>0</v>
      </c>
      <c r="V313" s="2988">
        <f t="shared" si="83"/>
        <v>0</v>
      </c>
      <c r="W313" s="996"/>
      <c r="X313" s="2988">
        <f t="shared" si="84"/>
        <v>0</v>
      </c>
      <c r="Y313" s="2988">
        <f t="shared" si="85"/>
        <v>0</v>
      </c>
      <c r="Z313" s="996"/>
    </row>
    <row r="314" spans="1:26">
      <c r="A314" s="35"/>
      <c r="B314" s="20"/>
      <c r="C314" s="13">
        <f t="shared" si="74"/>
        <v>1</v>
      </c>
      <c r="D314" s="599"/>
      <c r="E314" s="13">
        <f t="shared" si="75"/>
        <v>1</v>
      </c>
      <c r="F314" s="599"/>
      <c r="G314" s="13">
        <f t="shared" si="76"/>
        <v>1</v>
      </c>
      <c r="H314" s="599"/>
      <c r="I314" s="13">
        <f t="shared" si="77"/>
        <v>1</v>
      </c>
      <c r="J314" s="599"/>
      <c r="K314" s="13">
        <f t="shared" si="78"/>
        <v>1</v>
      </c>
      <c r="L314" s="599"/>
      <c r="M314" s="13">
        <f t="shared" si="79"/>
        <v>1</v>
      </c>
      <c r="N314" s="599"/>
      <c r="O314" s="13">
        <f t="shared" si="80"/>
        <v>1</v>
      </c>
      <c r="P314" s="599"/>
      <c r="Q314" s="13">
        <f t="shared" si="81"/>
        <v>0</v>
      </c>
      <c r="R314" s="596">
        <f t="shared" si="86"/>
        <v>0</v>
      </c>
      <c r="S314" s="250">
        <f t="shared" si="87"/>
        <v>0</v>
      </c>
      <c r="T314" s="899">
        <f t="shared" si="88"/>
        <v>0</v>
      </c>
      <c r="U314" s="2988">
        <f t="shared" si="82"/>
        <v>0</v>
      </c>
      <c r="V314" s="2988">
        <f t="shared" si="83"/>
        <v>0</v>
      </c>
      <c r="W314" s="996"/>
      <c r="X314" s="2988">
        <f t="shared" si="84"/>
        <v>0</v>
      </c>
      <c r="Y314" s="2988">
        <f t="shared" si="85"/>
        <v>0</v>
      </c>
      <c r="Z314" s="996"/>
    </row>
    <row r="315" spans="1:26">
      <c r="A315" s="35"/>
      <c r="B315" s="20"/>
      <c r="C315" s="13">
        <f t="shared" si="74"/>
        <v>1</v>
      </c>
      <c r="D315" s="599"/>
      <c r="E315" s="13">
        <f t="shared" si="75"/>
        <v>1</v>
      </c>
      <c r="F315" s="599"/>
      <c r="G315" s="13">
        <f t="shared" si="76"/>
        <v>1</v>
      </c>
      <c r="H315" s="599"/>
      <c r="I315" s="13">
        <f t="shared" si="77"/>
        <v>1</v>
      </c>
      <c r="J315" s="599"/>
      <c r="K315" s="13">
        <f t="shared" si="78"/>
        <v>1</v>
      </c>
      <c r="L315" s="599"/>
      <c r="M315" s="13">
        <f t="shared" si="79"/>
        <v>1</v>
      </c>
      <c r="N315" s="599"/>
      <c r="O315" s="13">
        <f t="shared" si="80"/>
        <v>1</v>
      </c>
      <c r="P315" s="599"/>
      <c r="Q315" s="13">
        <f t="shared" si="81"/>
        <v>0</v>
      </c>
      <c r="R315" s="596">
        <f t="shared" si="86"/>
        <v>0</v>
      </c>
      <c r="S315" s="250">
        <f t="shared" si="87"/>
        <v>0</v>
      </c>
      <c r="T315" s="899">
        <f t="shared" si="88"/>
        <v>0</v>
      </c>
      <c r="U315" s="2988">
        <f t="shared" si="82"/>
        <v>0</v>
      </c>
      <c r="V315" s="2988">
        <f t="shared" si="83"/>
        <v>0</v>
      </c>
      <c r="W315" s="996"/>
      <c r="X315" s="2988">
        <f t="shared" si="84"/>
        <v>0</v>
      </c>
      <c r="Y315" s="2988">
        <f t="shared" si="85"/>
        <v>0</v>
      </c>
      <c r="Z315" s="996"/>
    </row>
    <row r="316" spans="1:26">
      <c r="A316" s="35"/>
      <c r="B316" s="20"/>
      <c r="C316" s="13">
        <f t="shared" si="74"/>
        <v>1</v>
      </c>
      <c r="D316" s="599"/>
      <c r="E316" s="13">
        <f t="shared" si="75"/>
        <v>1</v>
      </c>
      <c r="F316" s="599"/>
      <c r="G316" s="13">
        <f t="shared" si="76"/>
        <v>1</v>
      </c>
      <c r="H316" s="599"/>
      <c r="I316" s="13">
        <f t="shared" si="77"/>
        <v>1</v>
      </c>
      <c r="J316" s="599"/>
      <c r="K316" s="13">
        <f t="shared" si="78"/>
        <v>1</v>
      </c>
      <c r="L316" s="599"/>
      <c r="M316" s="13">
        <f t="shared" si="79"/>
        <v>1</v>
      </c>
      <c r="N316" s="599"/>
      <c r="O316" s="13">
        <f t="shared" si="80"/>
        <v>1</v>
      </c>
      <c r="P316" s="599"/>
      <c r="Q316" s="13">
        <f t="shared" si="81"/>
        <v>0</v>
      </c>
      <c r="R316" s="596">
        <f t="shared" si="86"/>
        <v>0</v>
      </c>
      <c r="S316" s="250">
        <f t="shared" si="87"/>
        <v>0</v>
      </c>
      <c r="T316" s="899">
        <f t="shared" si="88"/>
        <v>0</v>
      </c>
      <c r="U316" s="2988">
        <f t="shared" si="82"/>
        <v>0</v>
      </c>
      <c r="V316" s="2988">
        <f t="shared" si="83"/>
        <v>0</v>
      </c>
      <c r="W316" s="996"/>
      <c r="X316" s="2988">
        <f t="shared" si="84"/>
        <v>0</v>
      </c>
      <c r="Y316" s="2988">
        <f t="shared" si="85"/>
        <v>0</v>
      </c>
      <c r="Z316" s="996"/>
    </row>
    <row r="317" spans="1:26">
      <c r="A317" s="35"/>
      <c r="B317" s="20"/>
      <c r="C317" s="13">
        <f t="shared" si="74"/>
        <v>1</v>
      </c>
      <c r="D317" s="599"/>
      <c r="E317" s="13">
        <f t="shared" si="75"/>
        <v>1</v>
      </c>
      <c r="F317" s="599"/>
      <c r="G317" s="13">
        <f t="shared" si="76"/>
        <v>1</v>
      </c>
      <c r="H317" s="599"/>
      <c r="I317" s="13">
        <f t="shared" si="77"/>
        <v>1</v>
      </c>
      <c r="J317" s="599"/>
      <c r="K317" s="13">
        <f t="shared" si="78"/>
        <v>1</v>
      </c>
      <c r="L317" s="599"/>
      <c r="M317" s="13">
        <f t="shared" si="79"/>
        <v>1</v>
      </c>
      <c r="N317" s="599"/>
      <c r="O317" s="13">
        <f t="shared" si="80"/>
        <v>1</v>
      </c>
      <c r="P317" s="599"/>
      <c r="Q317" s="13">
        <f t="shared" si="81"/>
        <v>0</v>
      </c>
      <c r="R317" s="596">
        <f t="shared" si="86"/>
        <v>0</v>
      </c>
      <c r="S317" s="250">
        <f t="shared" si="87"/>
        <v>0</v>
      </c>
      <c r="T317" s="899">
        <f t="shared" si="88"/>
        <v>0</v>
      </c>
      <c r="U317" s="2988">
        <f t="shared" si="82"/>
        <v>0</v>
      </c>
      <c r="V317" s="2988">
        <f t="shared" si="83"/>
        <v>0</v>
      </c>
      <c r="W317" s="996"/>
      <c r="X317" s="2988">
        <f t="shared" si="84"/>
        <v>0</v>
      </c>
      <c r="Y317" s="2988">
        <f t="shared" si="85"/>
        <v>0</v>
      </c>
      <c r="Z317" s="996"/>
    </row>
    <row r="318" spans="1:26">
      <c r="A318" s="35"/>
      <c r="B318" s="20"/>
      <c r="C318" s="13">
        <f t="shared" si="74"/>
        <v>1</v>
      </c>
      <c r="D318" s="599"/>
      <c r="E318" s="13">
        <f t="shared" si="75"/>
        <v>1</v>
      </c>
      <c r="F318" s="599"/>
      <c r="G318" s="13">
        <f t="shared" si="76"/>
        <v>1</v>
      </c>
      <c r="H318" s="599"/>
      <c r="I318" s="13">
        <f t="shared" si="77"/>
        <v>1</v>
      </c>
      <c r="J318" s="599"/>
      <c r="K318" s="13">
        <f t="shared" si="78"/>
        <v>1</v>
      </c>
      <c r="L318" s="599"/>
      <c r="M318" s="13">
        <f t="shared" si="79"/>
        <v>1</v>
      </c>
      <c r="N318" s="599"/>
      <c r="O318" s="13">
        <f t="shared" si="80"/>
        <v>1</v>
      </c>
      <c r="P318" s="599"/>
      <c r="Q318" s="13">
        <f t="shared" si="81"/>
        <v>0</v>
      </c>
      <c r="R318" s="596">
        <f t="shared" si="86"/>
        <v>0</v>
      </c>
      <c r="S318" s="250">
        <f t="shared" si="87"/>
        <v>0</v>
      </c>
      <c r="T318" s="899">
        <f t="shared" si="88"/>
        <v>0</v>
      </c>
      <c r="U318" s="2988">
        <f t="shared" si="82"/>
        <v>0</v>
      </c>
      <c r="V318" s="2988">
        <f t="shared" si="83"/>
        <v>0</v>
      </c>
      <c r="W318" s="996"/>
      <c r="X318" s="2988">
        <f t="shared" si="84"/>
        <v>0</v>
      </c>
      <c r="Y318" s="2988">
        <f t="shared" si="85"/>
        <v>0</v>
      </c>
      <c r="Z318" s="996"/>
    </row>
    <row r="319" spans="1:26">
      <c r="A319" s="35"/>
      <c r="B319" s="20"/>
      <c r="C319" s="13">
        <f t="shared" si="74"/>
        <v>1</v>
      </c>
      <c r="D319" s="599"/>
      <c r="E319" s="13">
        <f t="shared" si="75"/>
        <v>1</v>
      </c>
      <c r="F319" s="599"/>
      <c r="G319" s="13">
        <f t="shared" si="76"/>
        <v>1</v>
      </c>
      <c r="H319" s="599"/>
      <c r="I319" s="13">
        <f t="shared" si="77"/>
        <v>1</v>
      </c>
      <c r="J319" s="599"/>
      <c r="K319" s="13">
        <f t="shared" si="78"/>
        <v>1</v>
      </c>
      <c r="L319" s="599"/>
      <c r="M319" s="13">
        <f t="shared" si="79"/>
        <v>1</v>
      </c>
      <c r="N319" s="599"/>
      <c r="O319" s="13">
        <f t="shared" si="80"/>
        <v>1</v>
      </c>
      <c r="P319" s="599"/>
      <c r="Q319" s="13">
        <f t="shared" si="81"/>
        <v>0</v>
      </c>
      <c r="R319" s="596">
        <f t="shared" si="86"/>
        <v>0</v>
      </c>
      <c r="S319" s="250">
        <f t="shared" si="87"/>
        <v>0</v>
      </c>
      <c r="T319" s="899">
        <f t="shared" si="88"/>
        <v>0</v>
      </c>
      <c r="U319" s="2988">
        <f t="shared" si="82"/>
        <v>0</v>
      </c>
      <c r="V319" s="2988">
        <f t="shared" si="83"/>
        <v>0</v>
      </c>
      <c r="W319" s="996"/>
      <c r="X319" s="2988">
        <f t="shared" si="84"/>
        <v>0</v>
      </c>
      <c r="Y319" s="2988">
        <f t="shared" si="85"/>
        <v>0</v>
      </c>
      <c r="Z319" s="996"/>
    </row>
    <row r="320" spans="1:26">
      <c r="A320" s="35"/>
      <c r="B320" s="20"/>
      <c r="C320" s="13">
        <f t="shared" si="74"/>
        <v>1</v>
      </c>
      <c r="D320" s="599"/>
      <c r="E320" s="13">
        <f t="shared" si="75"/>
        <v>1</v>
      </c>
      <c r="F320" s="599"/>
      <c r="G320" s="13">
        <f t="shared" si="76"/>
        <v>1</v>
      </c>
      <c r="H320" s="599"/>
      <c r="I320" s="13">
        <f t="shared" si="77"/>
        <v>1</v>
      </c>
      <c r="J320" s="599"/>
      <c r="K320" s="13">
        <f t="shared" si="78"/>
        <v>1</v>
      </c>
      <c r="L320" s="599"/>
      <c r="M320" s="13">
        <f t="shared" si="79"/>
        <v>1</v>
      </c>
      <c r="N320" s="599"/>
      <c r="O320" s="13">
        <f t="shared" si="80"/>
        <v>1</v>
      </c>
      <c r="P320" s="599"/>
      <c r="Q320" s="13">
        <f t="shared" si="81"/>
        <v>0</v>
      </c>
      <c r="R320" s="596">
        <f t="shared" si="86"/>
        <v>0</v>
      </c>
      <c r="S320" s="250">
        <f t="shared" si="87"/>
        <v>0</v>
      </c>
      <c r="T320" s="899">
        <f t="shared" si="88"/>
        <v>0</v>
      </c>
      <c r="U320" s="2988">
        <f t="shared" si="82"/>
        <v>0</v>
      </c>
      <c r="V320" s="2988">
        <f t="shared" si="83"/>
        <v>0</v>
      </c>
      <c r="W320" s="996"/>
      <c r="X320" s="2988">
        <f t="shared" si="84"/>
        <v>0</v>
      </c>
      <c r="Y320" s="2988">
        <f t="shared" si="85"/>
        <v>0</v>
      </c>
      <c r="Z320" s="996"/>
    </row>
    <row r="321" spans="1:26">
      <c r="A321" s="35"/>
      <c r="B321" s="20"/>
      <c r="C321" s="13">
        <f t="shared" si="74"/>
        <v>1</v>
      </c>
      <c r="D321" s="599"/>
      <c r="E321" s="13">
        <f t="shared" si="75"/>
        <v>1</v>
      </c>
      <c r="F321" s="599"/>
      <c r="G321" s="13">
        <f t="shared" si="76"/>
        <v>1</v>
      </c>
      <c r="H321" s="599"/>
      <c r="I321" s="13">
        <f t="shared" si="77"/>
        <v>1</v>
      </c>
      <c r="J321" s="599"/>
      <c r="K321" s="13">
        <f t="shared" si="78"/>
        <v>1</v>
      </c>
      <c r="L321" s="599"/>
      <c r="M321" s="13">
        <f t="shared" si="79"/>
        <v>1</v>
      </c>
      <c r="N321" s="599"/>
      <c r="O321" s="13">
        <f t="shared" si="80"/>
        <v>1</v>
      </c>
      <c r="P321" s="599"/>
      <c r="Q321" s="13">
        <f t="shared" si="81"/>
        <v>0</v>
      </c>
      <c r="R321" s="596">
        <f t="shared" si="86"/>
        <v>0</v>
      </c>
      <c r="S321" s="250">
        <f t="shared" si="87"/>
        <v>0</v>
      </c>
      <c r="T321" s="899">
        <f t="shared" si="88"/>
        <v>0</v>
      </c>
      <c r="U321" s="2988">
        <f t="shared" si="82"/>
        <v>0</v>
      </c>
      <c r="V321" s="2988">
        <f t="shared" si="83"/>
        <v>0</v>
      </c>
      <c r="W321" s="996"/>
      <c r="X321" s="2988">
        <f t="shared" si="84"/>
        <v>0</v>
      </c>
      <c r="Y321" s="2988">
        <f t="shared" si="85"/>
        <v>0</v>
      </c>
      <c r="Z321" s="996"/>
    </row>
    <row r="322" spans="1:26">
      <c r="A322" s="35"/>
      <c r="B322" s="20"/>
      <c r="C322" s="13">
        <f t="shared" si="74"/>
        <v>1</v>
      </c>
      <c r="D322" s="599"/>
      <c r="E322" s="13">
        <f t="shared" si="75"/>
        <v>1</v>
      </c>
      <c r="F322" s="599"/>
      <c r="G322" s="13">
        <f t="shared" si="76"/>
        <v>1</v>
      </c>
      <c r="H322" s="599"/>
      <c r="I322" s="13">
        <f t="shared" si="77"/>
        <v>1</v>
      </c>
      <c r="J322" s="599"/>
      <c r="K322" s="13">
        <f t="shared" si="78"/>
        <v>1</v>
      </c>
      <c r="L322" s="599"/>
      <c r="M322" s="13">
        <f t="shared" si="79"/>
        <v>1</v>
      </c>
      <c r="N322" s="599"/>
      <c r="O322" s="13">
        <f t="shared" si="80"/>
        <v>1</v>
      </c>
      <c r="P322" s="599"/>
      <c r="Q322" s="13">
        <f t="shared" si="81"/>
        <v>0</v>
      </c>
      <c r="R322" s="596">
        <f t="shared" si="86"/>
        <v>0</v>
      </c>
      <c r="S322" s="250">
        <f t="shared" si="87"/>
        <v>0</v>
      </c>
      <c r="T322" s="899">
        <f t="shared" si="88"/>
        <v>0</v>
      </c>
      <c r="U322" s="2988">
        <f t="shared" si="82"/>
        <v>0</v>
      </c>
      <c r="V322" s="2988">
        <f t="shared" si="83"/>
        <v>0</v>
      </c>
      <c r="W322" s="996"/>
      <c r="X322" s="2988">
        <f t="shared" si="84"/>
        <v>0</v>
      </c>
      <c r="Y322" s="2988">
        <f t="shared" si="85"/>
        <v>0</v>
      </c>
      <c r="Z322" s="996"/>
    </row>
    <row r="323" spans="1:26">
      <c r="A323" s="35"/>
      <c r="B323" s="20"/>
      <c r="C323" s="13">
        <f t="shared" si="74"/>
        <v>1</v>
      </c>
      <c r="D323" s="599"/>
      <c r="E323" s="13">
        <f t="shared" si="75"/>
        <v>1</v>
      </c>
      <c r="F323" s="599"/>
      <c r="G323" s="13">
        <f t="shared" si="76"/>
        <v>1</v>
      </c>
      <c r="H323" s="599"/>
      <c r="I323" s="13">
        <f t="shared" si="77"/>
        <v>1</v>
      </c>
      <c r="J323" s="599"/>
      <c r="K323" s="13">
        <f t="shared" si="78"/>
        <v>1</v>
      </c>
      <c r="L323" s="599"/>
      <c r="M323" s="13">
        <f t="shared" si="79"/>
        <v>1</v>
      </c>
      <c r="N323" s="599"/>
      <c r="O323" s="13">
        <f t="shared" si="80"/>
        <v>1</v>
      </c>
      <c r="P323" s="599"/>
      <c r="Q323" s="13">
        <f t="shared" si="81"/>
        <v>0</v>
      </c>
      <c r="R323" s="596">
        <f t="shared" si="86"/>
        <v>0</v>
      </c>
      <c r="S323" s="250">
        <f t="shared" si="87"/>
        <v>0</v>
      </c>
      <c r="T323" s="899">
        <f t="shared" si="88"/>
        <v>0</v>
      </c>
      <c r="U323" s="2988">
        <f t="shared" si="82"/>
        <v>0</v>
      </c>
      <c r="V323" s="2988">
        <f t="shared" si="83"/>
        <v>0</v>
      </c>
      <c r="W323" s="996"/>
      <c r="X323" s="2988">
        <f t="shared" si="84"/>
        <v>0</v>
      </c>
      <c r="Y323" s="2988">
        <f t="shared" si="85"/>
        <v>0</v>
      </c>
      <c r="Z323" s="996"/>
    </row>
    <row r="324" spans="1:26">
      <c r="A324" s="35"/>
      <c r="B324" s="20"/>
      <c r="C324" s="13">
        <f t="shared" si="74"/>
        <v>1</v>
      </c>
      <c r="D324" s="599"/>
      <c r="E324" s="13">
        <f t="shared" si="75"/>
        <v>1</v>
      </c>
      <c r="F324" s="599"/>
      <c r="G324" s="13">
        <f t="shared" si="76"/>
        <v>1</v>
      </c>
      <c r="H324" s="599"/>
      <c r="I324" s="13">
        <f t="shared" si="77"/>
        <v>1</v>
      </c>
      <c r="J324" s="599"/>
      <c r="K324" s="13">
        <f t="shared" si="78"/>
        <v>1</v>
      </c>
      <c r="L324" s="599"/>
      <c r="M324" s="13">
        <f t="shared" si="79"/>
        <v>1</v>
      </c>
      <c r="N324" s="599"/>
      <c r="O324" s="13">
        <f t="shared" si="80"/>
        <v>1</v>
      </c>
      <c r="P324" s="599"/>
      <c r="Q324" s="13">
        <f t="shared" si="81"/>
        <v>0</v>
      </c>
      <c r="R324" s="596">
        <f t="shared" si="86"/>
        <v>0</v>
      </c>
      <c r="S324" s="250">
        <f t="shared" si="87"/>
        <v>0</v>
      </c>
      <c r="T324" s="899">
        <f t="shared" si="88"/>
        <v>0</v>
      </c>
      <c r="U324" s="2988">
        <f t="shared" si="82"/>
        <v>0</v>
      </c>
      <c r="V324" s="2988">
        <f t="shared" si="83"/>
        <v>0</v>
      </c>
      <c r="W324" s="996"/>
      <c r="X324" s="2988">
        <f t="shared" si="84"/>
        <v>0</v>
      </c>
      <c r="Y324" s="2988">
        <f t="shared" si="85"/>
        <v>0</v>
      </c>
      <c r="Z324" s="996"/>
    </row>
    <row r="325" spans="1:26">
      <c r="A325" s="35"/>
      <c r="B325" s="20"/>
      <c r="C325" s="13">
        <f t="shared" si="74"/>
        <v>1</v>
      </c>
      <c r="D325" s="599"/>
      <c r="E325" s="13">
        <f t="shared" si="75"/>
        <v>1</v>
      </c>
      <c r="F325" s="599"/>
      <c r="G325" s="13">
        <f t="shared" si="76"/>
        <v>1</v>
      </c>
      <c r="H325" s="599"/>
      <c r="I325" s="13">
        <f t="shared" si="77"/>
        <v>1</v>
      </c>
      <c r="J325" s="599"/>
      <c r="K325" s="13">
        <f t="shared" si="78"/>
        <v>1</v>
      </c>
      <c r="L325" s="599"/>
      <c r="M325" s="13">
        <f t="shared" si="79"/>
        <v>1</v>
      </c>
      <c r="N325" s="599"/>
      <c r="O325" s="13">
        <f t="shared" si="80"/>
        <v>1</v>
      </c>
      <c r="P325" s="599"/>
      <c r="Q325" s="13">
        <f t="shared" si="81"/>
        <v>0</v>
      </c>
      <c r="R325" s="596">
        <f t="shared" si="86"/>
        <v>0</v>
      </c>
      <c r="S325" s="250">
        <f t="shared" si="87"/>
        <v>0</v>
      </c>
      <c r="T325" s="899">
        <f t="shared" si="88"/>
        <v>0</v>
      </c>
      <c r="U325" s="2988">
        <f t="shared" si="82"/>
        <v>0</v>
      </c>
      <c r="V325" s="2988">
        <f t="shared" si="83"/>
        <v>0</v>
      </c>
      <c r="W325" s="996"/>
      <c r="X325" s="2988">
        <f t="shared" si="84"/>
        <v>0</v>
      </c>
      <c r="Y325" s="2988">
        <f t="shared" si="85"/>
        <v>0</v>
      </c>
      <c r="Z325" s="996"/>
    </row>
    <row r="326" spans="1:26">
      <c r="A326" s="35"/>
      <c r="B326" s="20"/>
      <c r="C326" s="13">
        <f t="shared" si="74"/>
        <v>1</v>
      </c>
      <c r="D326" s="599"/>
      <c r="E326" s="13">
        <f t="shared" si="75"/>
        <v>1</v>
      </c>
      <c r="F326" s="599"/>
      <c r="G326" s="13">
        <f t="shared" si="76"/>
        <v>1</v>
      </c>
      <c r="H326" s="599"/>
      <c r="I326" s="13">
        <f t="shared" si="77"/>
        <v>1</v>
      </c>
      <c r="J326" s="599"/>
      <c r="K326" s="13">
        <f t="shared" si="78"/>
        <v>1</v>
      </c>
      <c r="L326" s="599"/>
      <c r="M326" s="13">
        <f t="shared" si="79"/>
        <v>1</v>
      </c>
      <c r="N326" s="599"/>
      <c r="O326" s="13">
        <f t="shared" si="80"/>
        <v>1</v>
      </c>
      <c r="P326" s="599"/>
      <c r="Q326" s="13">
        <f t="shared" si="81"/>
        <v>0</v>
      </c>
      <c r="R326" s="596">
        <f t="shared" si="86"/>
        <v>0</v>
      </c>
      <c r="S326" s="250">
        <f t="shared" si="87"/>
        <v>0</v>
      </c>
      <c r="T326" s="899">
        <f t="shared" si="88"/>
        <v>0</v>
      </c>
      <c r="U326" s="2988">
        <f t="shared" si="82"/>
        <v>0</v>
      </c>
      <c r="V326" s="2988">
        <f t="shared" si="83"/>
        <v>0</v>
      </c>
      <c r="W326" s="996"/>
      <c r="X326" s="2988">
        <f t="shared" si="84"/>
        <v>0</v>
      </c>
      <c r="Y326" s="2988">
        <f t="shared" si="85"/>
        <v>0</v>
      </c>
      <c r="Z326" s="996"/>
    </row>
    <row r="327" spans="1:26">
      <c r="A327" s="35"/>
      <c r="B327" s="20"/>
      <c r="C327" s="13">
        <f t="shared" si="74"/>
        <v>1</v>
      </c>
      <c r="D327" s="599"/>
      <c r="E327" s="13">
        <f t="shared" si="75"/>
        <v>1</v>
      </c>
      <c r="F327" s="599"/>
      <c r="G327" s="13">
        <f t="shared" si="76"/>
        <v>1</v>
      </c>
      <c r="H327" s="599"/>
      <c r="I327" s="13">
        <f t="shared" si="77"/>
        <v>1</v>
      </c>
      <c r="J327" s="599"/>
      <c r="K327" s="13">
        <f t="shared" si="78"/>
        <v>1</v>
      </c>
      <c r="L327" s="599"/>
      <c r="M327" s="13">
        <f t="shared" si="79"/>
        <v>1</v>
      </c>
      <c r="N327" s="599"/>
      <c r="O327" s="13">
        <f t="shared" si="80"/>
        <v>1</v>
      </c>
      <c r="P327" s="599"/>
      <c r="Q327" s="13">
        <f t="shared" si="81"/>
        <v>0</v>
      </c>
      <c r="R327" s="596">
        <f t="shared" si="86"/>
        <v>0</v>
      </c>
      <c r="S327" s="250">
        <f t="shared" si="87"/>
        <v>0</v>
      </c>
      <c r="T327" s="899">
        <f t="shared" si="88"/>
        <v>0</v>
      </c>
      <c r="U327" s="2988">
        <f t="shared" si="82"/>
        <v>0</v>
      </c>
      <c r="V327" s="2988">
        <f t="shared" si="83"/>
        <v>0</v>
      </c>
      <c r="W327" s="996"/>
      <c r="X327" s="2988">
        <f t="shared" si="84"/>
        <v>0</v>
      </c>
      <c r="Y327" s="2988">
        <f t="shared" si="85"/>
        <v>0</v>
      </c>
      <c r="Z327" s="996"/>
    </row>
    <row r="328" spans="1:26">
      <c r="A328" s="35"/>
      <c r="B328" s="20"/>
      <c r="C328" s="13">
        <f t="shared" si="74"/>
        <v>1</v>
      </c>
      <c r="D328" s="599"/>
      <c r="E328" s="13">
        <f t="shared" si="75"/>
        <v>1</v>
      </c>
      <c r="F328" s="599"/>
      <c r="G328" s="13">
        <f t="shared" si="76"/>
        <v>1</v>
      </c>
      <c r="H328" s="599"/>
      <c r="I328" s="13">
        <f t="shared" si="77"/>
        <v>1</v>
      </c>
      <c r="J328" s="599"/>
      <c r="K328" s="13">
        <f t="shared" si="78"/>
        <v>1</v>
      </c>
      <c r="L328" s="599"/>
      <c r="M328" s="13">
        <f t="shared" si="79"/>
        <v>1</v>
      </c>
      <c r="N328" s="599"/>
      <c r="O328" s="13">
        <f t="shared" si="80"/>
        <v>1</v>
      </c>
      <c r="P328" s="599"/>
      <c r="Q328" s="13">
        <f t="shared" si="81"/>
        <v>0</v>
      </c>
      <c r="R328" s="596">
        <f t="shared" si="86"/>
        <v>0</v>
      </c>
      <c r="S328" s="250">
        <f t="shared" si="87"/>
        <v>0</v>
      </c>
      <c r="T328" s="899">
        <f t="shared" si="88"/>
        <v>0</v>
      </c>
      <c r="U328" s="2988">
        <f t="shared" si="82"/>
        <v>0</v>
      </c>
      <c r="V328" s="2988">
        <f t="shared" si="83"/>
        <v>0</v>
      </c>
      <c r="W328" s="996"/>
      <c r="X328" s="2988">
        <f t="shared" si="84"/>
        <v>0</v>
      </c>
      <c r="Y328" s="2988">
        <f t="shared" si="85"/>
        <v>0</v>
      </c>
      <c r="Z328" s="996"/>
    </row>
    <row r="329" spans="1:26">
      <c r="A329" s="35"/>
      <c r="B329" s="20"/>
      <c r="C329" s="13">
        <f t="shared" si="74"/>
        <v>1</v>
      </c>
      <c r="D329" s="599"/>
      <c r="E329" s="13">
        <f t="shared" si="75"/>
        <v>1</v>
      </c>
      <c r="F329" s="599"/>
      <c r="G329" s="13">
        <f t="shared" si="76"/>
        <v>1</v>
      </c>
      <c r="H329" s="599"/>
      <c r="I329" s="13">
        <f t="shared" si="77"/>
        <v>1</v>
      </c>
      <c r="J329" s="599"/>
      <c r="K329" s="13">
        <f t="shared" si="78"/>
        <v>1</v>
      </c>
      <c r="L329" s="599"/>
      <c r="M329" s="13">
        <f t="shared" si="79"/>
        <v>1</v>
      </c>
      <c r="N329" s="599"/>
      <c r="O329" s="13">
        <f t="shared" si="80"/>
        <v>1</v>
      </c>
      <c r="P329" s="599"/>
      <c r="Q329" s="13">
        <f t="shared" si="81"/>
        <v>0</v>
      </c>
      <c r="R329" s="596">
        <f t="shared" si="86"/>
        <v>0</v>
      </c>
      <c r="S329" s="250">
        <f t="shared" si="87"/>
        <v>0</v>
      </c>
      <c r="T329" s="899">
        <f t="shared" si="88"/>
        <v>0</v>
      </c>
      <c r="U329" s="2988">
        <f t="shared" si="82"/>
        <v>0</v>
      </c>
      <c r="V329" s="2988">
        <f t="shared" si="83"/>
        <v>0</v>
      </c>
      <c r="W329" s="996"/>
      <c r="X329" s="2988">
        <f t="shared" si="84"/>
        <v>0</v>
      </c>
      <c r="Y329" s="2988">
        <f t="shared" si="85"/>
        <v>0</v>
      </c>
      <c r="Z329" s="996"/>
    </row>
    <row r="330" spans="1:26">
      <c r="A330" s="35"/>
      <c r="B330" s="20"/>
      <c r="C330" s="13">
        <f t="shared" si="74"/>
        <v>1</v>
      </c>
      <c r="D330" s="599"/>
      <c r="E330" s="13">
        <f t="shared" si="75"/>
        <v>1</v>
      </c>
      <c r="F330" s="599"/>
      <c r="G330" s="13">
        <f t="shared" si="76"/>
        <v>1</v>
      </c>
      <c r="H330" s="599"/>
      <c r="I330" s="13">
        <f t="shared" si="77"/>
        <v>1</v>
      </c>
      <c r="J330" s="599"/>
      <c r="K330" s="13">
        <f t="shared" si="78"/>
        <v>1</v>
      </c>
      <c r="L330" s="599"/>
      <c r="M330" s="13">
        <f t="shared" si="79"/>
        <v>1</v>
      </c>
      <c r="N330" s="599"/>
      <c r="O330" s="13">
        <f t="shared" si="80"/>
        <v>1</v>
      </c>
      <c r="P330" s="599"/>
      <c r="Q330" s="13">
        <f t="shared" si="81"/>
        <v>0</v>
      </c>
      <c r="R330" s="596">
        <f t="shared" si="86"/>
        <v>0</v>
      </c>
      <c r="S330" s="250">
        <f t="shared" si="87"/>
        <v>0</v>
      </c>
      <c r="T330" s="899">
        <f t="shared" si="88"/>
        <v>0</v>
      </c>
      <c r="U330" s="2988">
        <f t="shared" si="82"/>
        <v>0</v>
      </c>
      <c r="V330" s="2988">
        <f t="shared" si="83"/>
        <v>0</v>
      </c>
      <c r="W330" s="996"/>
      <c r="X330" s="2988">
        <f t="shared" si="84"/>
        <v>0</v>
      </c>
      <c r="Y330" s="2988">
        <f t="shared" si="85"/>
        <v>0</v>
      </c>
      <c r="Z330" s="996"/>
    </row>
    <row r="331" spans="1:26">
      <c r="A331" s="35"/>
      <c r="B331" s="20"/>
      <c r="C331" s="13">
        <f t="shared" si="74"/>
        <v>1</v>
      </c>
      <c r="D331" s="599"/>
      <c r="E331" s="13">
        <f t="shared" si="75"/>
        <v>1</v>
      </c>
      <c r="F331" s="599"/>
      <c r="G331" s="13">
        <f t="shared" si="76"/>
        <v>1</v>
      </c>
      <c r="H331" s="599"/>
      <c r="I331" s="13">
        <f t="shared" si="77"/>
        <v>1</v>
      </c>
      <c r="J331" s="599"/>
      <c r="K331" s="13">
        <f t="shared" si="78"/>
        <v>1</v>
      </c>
      <c r="L331" s="599"/>
      <c r="M331" s="13">
        <f t="shared" si="79"/>
        <v>1</v>
      </c>
      <c r="N331" s="599"/>
      <c r="O331" s="13">
        <f t="shared" si="80"/>
        <v>1</v>
      </c>
      <c r="P331" s="599"/>
      <c r="Q331" s="13">
        <f t="shared" si="81"/>
        <v>0</v>
      </c>
      <c r="R331" s="596">
        <f t="shared" si="86"/>
        <v>0</v>
      </c>
      <c r="S331" s="250">
        <f t="shared" si="87"/>
        <v>0</v>
      </c>
      <c r="T331" s="899">
        <f t="shared" si="88"/>
        <v>0</v>
      </c>
      <c r="U331" s="2988">
        <f t="shared" si="82"/>
        <v>0</v>
      </c>
      <c r="V331" s="2988">
        <f t="shared" si="83"/>
        <v>0</v>
      </c>
      <c r="W331" s="996"/>
      <c r="X331" s="2988">
        <f t="shared" si="84"/>
        <v>0</v>
      </c>
      <c r="Y331" s="2988">
        <f t="shared" si="85"/>
        <v>0</v>
      </c>
      <c r="Z331" s="996"/>
    </row>
    <row r="332" spans="1:26">
      <c r="A332" s="35"/>
      <c r="B332" s="20"/>
      <c r="C332" s="13">
        <f t="shared" si="74"/>
        <v>1</v>
      </c>
      <c r="D332" s="599"/>
      <c r="E332" s="13">
        <f t="shared" si="75"/>
        <v>1</v>
      </c>
      <c r="F332" s="599"/>
      <c r="G332" s="13">
        <f t="shared" si="76"/>
        <v>1</v>
      </c>
      <c r="H332" s="599"/>
      <c r="I332" s="13">
        <f t="shared" si="77"/>
        <v>1</v>
      </c>
      <c r="J332" s="599"/>
      <c r="K332" s="13">
        <f t="shared" si="78"/>
        <v>1</v>
      </c>
      <c r="L332" s="599"/>
      <c r="M332" s="13">
        <f t="shared" si="79"/>
        <v>1</v>
      </c>
      <c r="N332" s="599"/>
      <c r="O332" s="13">
        <f t="shared" si="80"/>
        <v>1</v>
      </c>
      <c r="P332" s="599"/>
      <c r="Q332" s="13">
        <f t="shared" si="81"/>
        <v>0</v>
      </c>
      <c r="R332" s="596">
        <f t="shared" si="86"/>
        <v>0</v>
      </c>
      <c r="S332" s="250">
        <f t="shared" si="87"/>
        <v>0</v>
      </c>
      <c r="T332" s="899">
        <f t="shared" si="88"/>
        <v>0</v>
      </c>
      <c r="U332" s="2988">
        <f t="shared" si="82"/>
        <v>0</v>
      </c>
      <c r="V332" s="2988">
        <f t="shared" si="83"/>
        <v>0</v>
      </c>
      <c r="W332" s="996"/>
      <c r="X332" s="2988">
        <f t="shared" si="84"/>
        <v>0</v>
      </c>
      <c r="Y332" s="2988">
        <f t="shared" si="85"/>
        <v>0</v>
      </c>
      <c r="Z332" s="996"/>
    </row>
    <row r="333" spans="1:26">
      <c r="A333" s="35"/>
      <c r="B333" s="20"/>
      <c r="C333" s="13">
        <f t="shared" si="74"/>
        <v>1</v>
      </c>
      <c r="D333" s="599"/>
      <c r="E333" s="13">
        <f t="shared" si="75"/>
        <v>1</v>
      </c>
      <c r="F333" s="599"/>
      <c r="G333" s="13">
        <f t="shared" si="76"/>
        <v>1</v>
      </c>
      <c r="H333" s="599"/>
      <c r="I333" s="13">
        <f t="shared" si="77"/>
        <v>1</v>
      </c>
      <c r="J333" s="599"/>
      <c r="K333" s="13">
        <f t="shared" si="78"/>
        <v>1</v>
      </c>
      <c r="L333" s="599"/>
      <c r="M333" s="13">
        <f t="shared" si="79"/>
        <v>1</v>
      </c>
      <c r="N333" s="599"/>
      <c r="O333" s="13">
        <f t="shared" si="80"/>
        <v>1</v>
      </c>
      <c r="P333" s="599"/>
      <c r="Q333" s="13">
        <f t="shared" si="81"/>
        <v>0</v>
      </c>
      <c r="R333" s="596">
        <f t="shared" si="86"/>
        <v>0</v>
      </c>
      <c r="S333" s="250">
        <f t="shared" si="87"/>
        <v>0</v>
      </c>
      <c r="T333" s="899">
        <f t="shared" si="88"/>
        <v>0</v>
      </c>
      <c r="U333" s="2988">
        <f t="shared" si="82"/>
        <v>0</v>
      </c>
      <c r="V333" s="2988">
        <f t="shared" si="83"/>
        <v>0</v>
      </c>
      <c r="W333" s="996"/>
      <c r="X333" s="2988">
        <f t="shared" si="84"/>
        <v>0</v>
      </c>
      <c r="Y333" s="2988">
        <f t="shared" si="85"/>
        <v>0</v>
      </c>
      <c r="Z333" s="996"/>
    </row>
    <row r="334" spans="1:26">
      <c r="A334" s="35"/>
      <c r="B334" s="20"/>
      <c r="C334" s="13">
        <f t="shared" si="74"/>
        <v>1</v>
      </c>
      <c r="D334" s="599"/>
      <c r="E334" s="13">
        <f t="shared" si="75"/>
        <v>1</v>
      </c>
      <c r="F334" s="599"/>
      <c r="G334" s="13">
        <f t="shared" si="76"/>
        <v>1</v>
      </c>
      <c r="H334" s="599"/>
      <c r="I334" s="13">
        <f t="shared" si="77"/>
        <v>1</v>
      </c>
      <c r="J334" s="599"/>
      <c r="K334" s="13">
        <f t="shared" si="78"/>
        <v>1</v>
      </c>
      <c r="L334" s="599"/>
      <c r="M334" s="13">
        <f t="shared" si="79"/>
        <v>1</v>
      </c>
      <c r="N334" s="599"/>
      <c r="O334" s="13">
        <f t="shared" si="80"/>
        <v>1</v>
      </c>
      <c r="P334" s="599"/>
      <c r="Q334" s="13">
        <f t="shared" si="81"/>
        <v>0</v>
      </c>
      <c r="R334" s="596">
        <f t="shared" si="86"/>
        <v>0</v>
      </c>
      <c r="S334" s="250">
        <f t="shared" si="87"/>
        <v>0</v>
      </c>
      <c r="T334" s="899">
        <f t="shared" si="88"/>
        <v>0</v>
      </c>
      <c r="U334" s="2988">
        <f t="shared" si="82"/>
        <v>0</v>
      </c>
      <c r="V334" s="2988">
        <f t="shared" si="83"/>
        <v>0</v>
      </c>
      <c r="W334" s="996"/>
      <c r="X334" s="2988">
        <f t="shared" si="84"/>
        <v>0</v>
      </c>
      <c r="Y334" s="2988">
        <f t="shared" si="85"/>
        <v>0</v>
      </c>
      <c r="Z334" s="996"/>
    </row>
    <row r="335" spans="1:26">
      <c r="A335" s="35"/>
      <c r="B335" s="20"/>
      <c r="C335" s="13">
        <f t="shared" si="74"/>
        <v>1</v>
      </c>
      <c r="D335" s="599"/>
      <c r="E335" s="13">
        <f t="shared" si="75"/>
        <v>1</v>
      </c>
      <c r="F335" s="599"/>
      <c r="G335" s="13">
        <f t="shared" si="76"/>
        <v>1</v>
      </c>
      <c r="H335" s="599"/>
      <c r="I335" s="13">
        <f t="shared" si="77"/>
        <v>1</v>
      </c>
      <c r="J335" s="599"/>
      <c r="K335" s="13">
        <f t="shared" si="78"/>
        <v>1</v>
      </c>
      <c r="L335" s="599"/>
      <c r="M335" s="13">
        <f t="shared" si="79"/>
        <v>1</v>
      </c>
      <c r="N335" s="599"/>
      <c r="O335" s="13">
        <f t="shared" si="80"/>
        <v>1</v>
      </c>
      <c r="P335" s="599"/>
      <c r="Q335" s="13">
        <f t="shared" si="81"/>
        <v>0</v>
      </c>
      <c r="R335" s="596">
        <f t="shared" si="86"/>
        <v>0</v>
      </c>
      <c r="S335" s="250">
        <f t="shared" si="87"/>
        <v>0</v>
      </c>
      <c r="T335" s="899">
        <f t="shared" si="88"/>
        <v>0</v>
      </c>
      <c r="U335" s="2988">
        <f t="shared" si="82"/>
        <v>0</v>
      </c>
      <c r="V335" s="2988">
        <f t="shared" si="83"/>
        <v>0</v>
      </c>
      <c r="W335" s="996"/>
      <c r="X335" s="2988">
        <f t="shared" si="84"/>
        <v>0</v>
      </c>
      <c r="Y335" s="2988">
        <f t="shared" si="85"/>
        <v>0</v>
      </c>
      <c r="Z335" s="996"/>
    </row>
    <row r="336" spans="1:26">
      <c r="A336" s="35"/>
      <c r="B336" s="20"/>
      <c r="C336" s="13">
        <f t="shared" si="74"/>
        <v>1</v>
      </c>
      <c r="D336" s="599"/>
      <c r="E336" s="13">
        <f t="shared" si="75"/>
        <v>1</v>
      </c>
      <c r="F336" s="599"/>
      <c r="G336" s="13">
        <f t="shared" si="76"/>
        <v>1</v>
      </c>
      <c r="H336" s="599"/>
      <c r="I336" s="13">
        <f t="shared" si="77"/>
        <v>1</v>
      </c>
      <c r="J336" s="599"/>
      <c r="K336" s="13">
        <f t="shared" si="78"/>
        <v>1</v>
      </c>
      <c r="L336" s="599"/>
      <c r="M336" s="13">
        <f t="shared" si="79"/>
        <v>1</v>
      </c>
      <c r="N336" s="599"/>
      <c r="O336" s="13">
        <f t="shared" si="80"/>
        <v>1</v>
      </c>
      <c r="P336" s="599"/>
      <c r="Q336" s="13">
        <f t="shared" si="81"/>
        <v>0</v>
      </c>
      <c r="R336" s="596">
        <f t="shared" si="86"/>
        <v>0</v>
      </c>
      <c r="S336" s="250">
        <f t="shared" si="87"/>
        <v>0</v>
      </c>
      <c r="T336" s="899">
        <f t="shared" si="88"/>
        <v>0</v>
      </c>
      <c r="U336" s="2988">
        <f t="shared" si="82"/>
        <v>0</v>
      </c>
      <c r="V336" s="2988">
        <f t="shared" si="83"/>
        <v>0</v>
      </c>
      <c r="W336" s="996"/>
      <c r="X336" s="2988">
        <f t="shared" si="84"/>
        <v>0</v>
      </c>
      <c r="Y336" s="2988">
        <f t="shared" si="85"/>
        <v>0</v>
      </c>
      <c r="Z336" s="996"/>
    </row>
    <row r="337" spans="1:26">
      <c r="A337" s="35"/>
      <c r="B337" s="20"/>
      <c r="C337" s="13">
        <f t="shared" si="74"/>
        <v>1</v>
      </c>
      <c r="D337" s="599"/>
      <c r="E337" s="13">
        <f t="shared" si="75"/>
        <v>1</v>
      </c>
      <c r="F337" s="599"/>
      <c r="G337" s="13">
        <f t="shared" si="76"/>
        <v>1</v>
      </c>
      <c r="H337" s="599"/>
      <c r="I337" s="13">
        <f t="shared" si="77"/>
        <v>1</v>
      </c>
      <c r="J337" s="599"/>
      <c r="K337" s="13">
        <f t="shared" si="78"/>
        <v>1</v>
      </c>
      <c r="L337" s="599"/>
      <c r="M337" s="13">
        <f t="shared" si="79"/>
        <v>1</v>
      </c>
      <c r="N337" s="599"/>
      <c r="O337" s="13">
        <f t="shared" si="80"/>
        <v>1</v>
      </c>
      <c r="P337" s="599"/>
      <c r="Q337" s="13">
        <f t="shared" si="81"/>
        <v>0</v>
      </c>
      <c r="R337" s="596">
        <f t="shared" si="86"/>
        <v>0</v>
      </c>
      <c r="S337" s="250">
        <f t="shared" si="87"/>
        <v>0</v>
      </c>
      <c r="T337" s="899">
        <f t="shared" si="88"/>
        <v>0</v>
      </c>
      <c r="U337" s="2988">
        <f t="shared" si="82"/>
        <v>0</v>
      </c>
      <c r="V337" s="2988">
        <f t="shared" si="83"/>
        <v>0</v>
      </c>
      <c r="W337" s="996"/>
      <c r="X337" s="2988">
        <f t="shared" si="84"/>
        <v>0</v>
      </c>
      <c r="Y337" s="2988">
        <f t="shared" si="85"/>
        <v>0</v>
      </c>
      <c r="Z337" s="996"/>
    </row>
    <row r="338" spans="1:26">
      <c r="A338" s="35"/>
      <c r="B338" s="20"/>
      <c r="C338" s="13">
        <f t="shared" si="74"/>
        <v>1</v>
      </c>
      <c r="D338" s="599"/>
      <c r="E338" s="13">
        <f t="shared" si="75"/>
        <v>1</v>
      </c>
      <c r="F338" s="599"/>
      <c r="G338" s="13">
        <f t="shared" si="76"/>
        <v>1</v>
      </c>
      <c r="H338" s="599"/>
      <c r="I338" s="13">
        <f t="shared" si="77"/>
        <v>1</v>
      </c>
      <c r="J338" s="599"/>
      <c r="K338" s="13">
        <f t="shared" si="78"/>
        <v>1</v>
      </c>
      <c r="L338" s="599"/>
      <c r="M338" s="13">
        <f t="shared" si="79"/>
        <v>1</v>
      </c>
      <c r="N338" s="599"/>
      <c r="O338" s="13">
        <f t="shared" si="80"/>
        <v>1</v>
      </c>
      <c r="P338" s="599"/>
      <c r="Q338" s="13">
        <f t="shared" si="81"/>
        <v>0</v>
      </c>
      <c r="R338" s="596">
        <f t="shared" si="86"/>
        <v>0</v>
      </c>
      <c r="S338" s="250">
        <f t="shared" si="87"/>
        <v>0</v>
      </c>
      <c r="T338" s="899">
        <f t="shared" si="88"/>
        <v>0</v>
      </c>
      <c r="U338" s="2988">
        <f t="shared" si="82"/>
        <v>0</v>
      </c>
      <c r="V338" s="2988">
        <f t="shared" si="83"/>
        <v>0</v>
      </c>
      <c r="W338" s="996"/>
      <c r="X338" s="2988">
        <f t="shared" si="84"/>
        <v>0</v>
      </c>
      <c r="Y338" s="2988">
        <f t="shared" si="85"/>
        <v>0</v>
      </c>
      <c r="Z338" s="996"/>
    </row>
    <row r="339" spans="1:26">
      <c r="A339" s="35"/>
      <c r="B339" s="20"/>
      <c r="C339" s="13">
        <f t="shared" si="74"/>
        <v>1</v>
      </c>
      <c r="D339" s="599"/>
      <c r="E339" s="13">
        <f t="shared" si="75"/>
        <v>1</v>
      </c>
      <c r="F339" s="599"/>
      <c r="G339" s="13">
        <f t="shared" si="76"/>
        <v>1</v>
      </c>
      <c r="H339" s="599"/>
      <c r="I339" s="13">
        <f t="shared" si="77"/>
        <v>1</v>
      </c>
      <c r="J339" s="599"/>
      <c r="K339" s="13">
        <f t="shared" si="78"/>
        <v>1</v>
      </c>
      <c r="L339" s="599"/>
      <c r="M339" s="13">
        <f t="shared" si="79"/>
        <v>1</v>
      </c>
      <c r="N339" s="599"/>
      <c r="O339" s="13">
        <f t="shared" si="80"/>
        <v>1</v>
      </c>
      <c r="P339" s="599"/>
      <c r="Q339" s="13">
        <f t="shared" si="81"/>
        <v>0</v>
      </c>
      <c r="R339" s="596">
        <f t="shared" si="86"/>
        <v>0</v>
      </c>
      <c r="S339" s="250">
        <f t="shared" si="87"/>
        <v>0</v>
      </c>
      <c r="T339" s="899">
        <f t="shared" si="88"/>
        <v>0</v>
      </c>
      <c r="U339" s="2988">
        <f t="shared" si="82"/>
        <v>0</v>
      </c>
      <c r="V339" s="2988">
        <f t="shared" si="83"/>
        <v>0</v>
      </c>
      <c r="W339" s="996"/>
      <c r="X339" s="2988">
        <f t="shared" si="84"/>
        <v>0</v>
      </c>
      <c r="Y339" s="2988">
        <f t="shared" si="85"/>
        <v>0</v>
      </c>
      <c r="Z339" s="996"/>
    </row>
    <row r="340" spans="1:26">
      <c r="A340" s="35"/>
      <c r="B340" s="20"/>
      <c r="C340" s="13">
        <f t="shared" si="74"/>
        <v>1</v>
      </c>
      <c r="D340" s="599"/>
      <c r="E340" s="13">
        <f t="shared" si="75"/>
        <v>1</v>
      </c>
      <c r="F340" s="599"/>
      <c r="G340" s="13">
        <f t="shared" si="76"/>
        <v>1</v>
      </c>
      <c r="H340" s="599"/>
      <c r="I340" s="13">
        <f t="shared" si="77"/>
        <v>1</v>
      </c>
      <c r="J340" s="599"/>
      <c r="K340" s="13">
        <f t="shared" si="78"/>
        <v>1</v>
      </c>
      <c r="L340" s="599"/>
      <c r="M340" s="13">
        <f t="shared" si="79"/>
        <v>1</v>
      </c>
      <c r="N340" s="599"/>
      <c r="O340" s="13">
        <f t="shared" si="80"/>
        <v>1</v>
      </c>
      <c r="P340" s="599"/>
      <c r="Q340" s="13">
        <f t="shared" si="81"/>
        <v>0</v>
      </c>
      <c r="R340" s="596">
        <f t="shared" si="86"/>
        <v>0</v>
      </c>
      <c r="S340" s="250">
        <f t="shared" si="87"/>
        <v>0</v>
      </c>
      <c r="T340" s="899">
        <f t="shared" si="88"/>
        <v>0</v>
      </c>
      <c r="U340" s="2988">
        <f t="shared" si="82"/>
        <v>0</v>
      </c>
      <c r="V340" s="2988">
        <f t="shared" si="83"/>
        <v>0</v>
      </c>
      <c r="W340" s="996"/>
      <c r="X340" s="2988">
        <f t="shared" si="84"/>
        <v>0</v>
      </c>
      <c r="Y340" s="2988">
        <f t="shared" si="85"/>
        <v>0</v>
      </c>
      <c r="Z340" s="996"/>
    </row>
    <row r="341" spans="1:26">
      <c r="A341" s="35"/>
      <c r="B341" s="20"/>
      <c r="C341" s="13">
        <f t="shared" si="74"/>
        <v>1</v>
      </c>
      <c r="D341" s="599"/>
      <c r="E341" s="13">
        <f t="shared" si="75"/>
        <v>1</v>
      </c>
      <c r="F341" s="599"/>
      <c r="G341" s="13">
        <f t="shared" si="76"/>
        <v>1</v>
      </c>
      <c r="H341" s="599"/>
      <c r="I341" s="13">
        <f t="shared" si="77"/>
        <v>1</v>
      </c>
      <c r="J341" s="599"/>
      <c r="K341" s="13">
        <f t="shared" si="78"/>
        <v>1</v>
      </c>
      <c r="L341" s="599"/>
      <c r="M341" s="13">
        <f t="shared" si="79"/>
        <v>1</v>
      </c>
      <c r="N341" s="599"/>
      <c r="O341" s="13">
        <f t="shared" si="80"/>
        <v>1</v>
      </c>
      <c r="P341" s="599"/>
      <c r="Q341" s="13">
        <f t="shared" si="81"/>
        <v>0</v>
      </c>
      <c r="R341" s="596">
        <f t="shared" si="86"/>
        <v>0</v>
      </c>
      <c r="S341" s="250">
        <f t="shared" si="87"/>
        <v>0</v>
      </c>
      <c r="T341" s="899">
        <f t="shared" si="88"/>
        <v>0</v>
      </c>
      <c r="U341" s="2988">
        <f t="shared" si="82"/>
        <v>0</v>
      </c>
      <c r="V341" s="2988">
        <f t="shared" si="83"/>
        <v>0</v>
      </c>
      <c r="W341" s="996"/>
      <c r="X341" s="2988">
        <f t="shared" si="84"/>
        <v>0</v>
      </c>
      <c r="Y341" s="2988">
        <f t="shared" si="85"/>
        <v>0</v>
      </c>
      <c r="Z341" s="996"/>
    </row>
    <row r="342" spans="1:26">
      <c r="A342" s="35"/>
      <c r="B342" s="20"/>
      <c r="C342" s="13">
        <f t="shared" si="74"/>
        <v>1</v>
      </c>
      <c r="D342" s="599"/>
      <c r="E342" s="13">
        <f t="shared" si="75"/>
        <v>1</v>
      </c>
      <c r="F342" s="599"/>
      <c r="G342" s="13">
        <f t="shared" si="76"/>
        <v>1</v>
      </c>
      <c r="H342" s="599"/>
      <c r="I342" s="13">
        <f t="shared" si="77"/>
        <v>1</v>
      </c>
      <c r="J342" s="599"/>
      <c r="K342" s="13">
        <f t="shared" si="78"/>
        <v>1</v>
      </c>
      <c r="L342" s="599"/>
      <c r="M342" s="13">
        <f t="shared" si="79"/>
        <v>1</v>
      </c>
      <c r="N342" s="599"/>
      <c r="O342" s="13">
        <f t="shared" si="80"/>
        <v>1</v>
      </c>
      <c r="P342" s="599"/>
      <c r="Q342" s="13">
        <f t="shared" si="81"/>
        <v>0</v>
      </c>
      <c r="R342" s="596">
        <f t="shared" si="86"/>
        <v>0</v>
      </c>
      <c r="S342" s="250">
        <f t="shared" si="87"/>
        <v>0</v>
      </c>
      <c r="T342" s="899">
        <f t="shared" si="88"/>
        <v>0</v>
      </c>
      <c r="U342" s="2988">
        <f t="shared" si="82"/>
        <v>0</v>
      </c>
      <c r="V342" s="2988">
        <f t="shared" si="83"/>
        <v>0</v>
      </c>
      <c r="W342" s="996"/>
      <c r="X342" s="2988">
        <f t="shared" si="84"/>
        <v>0</v>
      </c>
      <c r="Y342" s="2988">
        <f t="shared" si="85"/>
        <v>0</v>
      </c>
      <c r="Z342" s="996"/>
    </row>
    <row r="343" spans="1:26">
      <c r="A343" s="35"/>
      <c r="B343" s="20"/>
      <c r="C343" s="13">
        <f t="shared" si="74"/>
        <v>1</v>
      </c>
      <c r="D343" s="599"/>
      <c r="E343" s="13">
        <f t="shared" si="75"/>
        <v>1</v>
      </c>
      <c r="F343" s="599"/>
      <c r="G343" s="13">
        <f t="shared" si="76"/>
        <v>1</v>
      </c>
      <c r="H343" s="599"/>
      <c r="I343" s="13">
        <f t="shared" si="77"/>
        <v>1</v>
      </c>
      <c r="J343" s="599"/>
      <c r="K343" s="13">
        <f t="shared" si="78"/>
        <v>1</v>
      </c>
      <c r="L343" s="599"/>
      <c r="M343" s="13">
        <f t="shared" si="79"/>
        <v>1</v>
      </c>
      <c r="N343" s="599"/>
      <c r="O343" s="13">
        <f t="shared" si="80"/>
        <v>1</v>
      </c>
      <c r="P343" s="599"/>
      <c r="Q343" s="13">
        <f t="shared" si="81"/>
        <v>0</v>
      </c>
      <c r="R343" s="596">
        <f t="shared" si="86"/>
        <v>0</v>
      </c>
      <c r="S343" s="250">
        <f t="shared" si="87"/>
        <v>0</v>
      </c>
      <c r="T343" s="899">
        <f t="shared" si="88"/>
        <v>0</v>
      </c>
      <c r="U343" s="2988">
        <f t="shared" si="82"/>
        <v>0</v>
      </c>
      <c r="V343" s="2988">
        <f t="shared" si="83"/>
        <v>0</v>
      </c>
      <c r="W343" s="996"/>
      <c r="X343" s="2988">
        <f t="shared" si="84"/>
        <v>0</v>
      </c>
      <c r="Y343" s="2988">
        <f t="shared" si="85"/>
        <v>0</v>
      </c>
      <c r="Z343" s="996"/>
    </row>
    <row r="344" spans="1:26">
      <c r="A344" s="35"/>
      <c r="B344" s="20"/>
      <c r="C344" s="13">
        <f t="shared" si="74"/>
        <v>1</v>
      </c>
      <c r="D344" s="599"/>
      <c r="E344" s="13">
        <f t="shared" si="75"/>
        <v>1</v>
      </c>
      <c r="F344" s="599"/>
      <c r="G344" s="13">
        <f t="shared" si="76"/>
        <v>1</v>
      </c>
      <c r="H344" s="599"/>
      <c r="I344" s="13">
        <f t="shared" si="77"/>
        <v>1</v>
      </c>
      <c r="J344" s="599"/>
      <c r="K344" s="13">
        <f t="shared" si="78"/>
        <v>1</v>
      </c>
      <c r="L344" s="599"/>
      <c r="M344" s="13">
        <f t="shared" si="79"/>
        <v>1</v>
      </c>
      <c r="N344" s="599"/>
      <c r="O344" s="13">
        <f t="shared" si="80"/>
        <v>1</v>
      </c>
      <c r="P344" s="599"/>
      <c r="Q344" s="13">
        <f t="shared" si="81"/>
        <v>0</v>
      </c>
      <c r="R344" s="596">
        <f t="shared" si="86"/>
        <v>0</v>
      </c>
      <c r="S344" s="250">
        <f t="shared" si="87"/>
        <v>0</v>
      </c>
      <c r="T344" s="899">
        <f t="shared" si="88"/>
        <v>0</v>
      </c>
      <c r="U344" s="2988">
        <f t="shared" si="82"/>
        <v>0</v>
      </c>
      <c r="V344" s="2988">
        <f t="shared" si="83"/>
        <v>0</v>
      </c>
      <c r="W344" s="996"/>
      <c r="X344" s="2988">
        <f t="shared" si="84"/>
        <v>0</v>
      </c>
      <c r="Y344" s="2988">
        <f t="shared" si="85"/>
        <v>0</v>
      </c>
      <c r="Z344" s="996"/>
    </row>
    <row r="345" spans="1:26">
      <c r="A345" s="35"/>
      <c r="B345" s="20"/>
      <c r="C345" s="13">
        <f t="shared" si="74"/>
        <v>1</v>
      </c>
      <c r="D345" s="599"/>
      <c r="E345" s="13">
        <f t="shared" si="75"/>
        <v>1</v>
      </c>
      <c r="F345" s="599"/>
      <c r="G345" s="13">
        <f t="shared" si="76"/>
        <v>1</v>
      </c>
      <c r="H345" s="599"/>
      <c r="I345" s="13">
        <f t="shared" si="77"/>
        <v>1</v>
      </c>
      <c r="J345" s="599"/>
      <c r="K345" s="13">
        <f t="shared" si="78"/>
        <v>1</v>
      </c>
      <c r="L345" s="599"/>
      <c r="M345" s="13">
        <f t="shared" si="79"/>
        <v>1</v>
      </c>
      <c r="N345" s="599"/>
      <c r="O345" s="13">
        <f t="shared" si="80"/>
        <v>1</v>
      </c>
      <c r="P345" s="599"/>
      <c r="Q345" s="13">
        <f t="shared" si="81"/>
        <v>0</v>
      </c>
      <c r="R345" s="596">
        <f t="shared" si="86"/>
        <v>0</v>
      </c>
      <c r="S345" s="250">
        <f t="shared" si="87"/>
        <v>0</v>
      </c>
      <c r="T345" s="899">
        <f t="shared" si="88"/>
        <v>0</v>
      </c>
      <c r="U345" s="2988">
        <f t="shared" si="82"/>
        <v>0</v>
      </c>
      <c r="V345" s="2988">
        <f t="shared" si="83"/>
        <v>0</v>
      </c>
      <c r="W345" s="996"/>
      <c r="X345" s="2988">
        <f t="shared" si="84"/>
        <v>0</v>
      </c>
      <c r="Y345" s="2988">
        <f t="shared" si="85"/>
        <v>0</v>
      </c>
      <c r="Z345" s="996"/>
    </row>
    <row r="346" spans="1:26">
      <c r="A346" s="35"/>
      <c r="B346" s="20"/>
      <c r="C346" s="13">
        <f t="shared" si="74"/>
        <v>1</v>
      </c>
      <c r="D346" s="599"/>
      <c r="E346" s="13">
        <f t="shared" si="75"/>
        <v>1</v>
      </c>
      <c r="F346" s="599"/>
      <c r="G346" s="13">
        <f t="shared" si="76"/>
        <v>1</v>
      </c>
      <c r="H346" s="599"/>
      <c r="I346" s="13">
        <f t="shared" si="77"/>
        <v>1</v>
      </c>
      <c r="J346" s="599"/>
      <c r="K346" s="13">
        <f t="shared" si="78"/>
        <v>1</v>
      </c>
      <c r="L346" s="599"/>
      <c r="M346" s="13">
        <f t="shared" si="79"/>
        <v>1</v>
      </c>
      <c r="N346" s="599"/>
      <c r="O346" s="13">
        <f t="shared" si="80"/>
        <v>1</v>
      </c>
      <c r="P346" s="599"/>
      <c r="Q346" s="13">
        <f t="shared" si="81"/>
        <v>0</v>
      </c>
      <c r="R346" s="596">
        <f t="shared" si="86"/>
        <v>0</v>
      </c>
      <c r="S346" s="250">
        <f t="shared" si="87"/>
        <v>0</v>
      </c>
      <c r="T346" s="899">
        <f t="shared" si="88"/>
        <v>0</v>
      </c>
      <c r="U346" s="2988">
        <f t="shared" si="82"/>
        <v>0</v>
      </c>
      <c r="V346" s="2988">
        <f t="shared" si="83"/>
        <v>0</v>
      </c>
      <c r="W346" s="996"/>
      <c r="X346" s="2988">
        <f t="shared" si="84"/>
        <v>0</v>
      </c>
      <c r="Y346" s="2988">
        <f t="shared" si="85"/>
        <v>0</v>
      </c>
      <c r="Z346" s="996"/>
    </row>
    <row r="347" spans="1:26">
      <c r="A347" s="35"/>
      <c r="B347" s="20"/>
      <c r="C347" s="13">
        <f t="shared" si="74"/>
        <v>1</v>
      </c>
      <c r="D347" s="599"/>
      <c r="E347" s="13">
        <f t="shared" si="75"/>
        <v>1</v>
      </c>
      <c r="F347" s="599"/>
      <c r="G347" s="13">
        <f t="shared" si="76"/>
        <v>1</v>
      </c>
      <c r="H347" s="599"/>
      <c r="I347" s="13">
        <f t="shared" si="77"/>
        <v>1</v>
      </c>
      <c r="J347" s="599"/>
      <c r="K347" s="13">
        <f t="shared" si="78"/>
        <v>1</v>
      </c>
      <c r="L347" s="599"/>
      <c r="M347" s="13">
        <f t="shared" si="79"/>
        <v>1</v>
      </c>
      <c r="N347" s="599"/>
      <c r="O347" s="13">
        <f t="shared" si="80"/>
        <v>1</v>
      </c>
      <c r="P347" s="599"/>
      <c r="Q347" s="13">
        <f t="shared" si="81"/>
        <v>0</v>
      </c>
      <c r="R347" s="596">
        <f t="shared" si="86"/>
        <v>0</v>
      </c>
      <c r="S347" s="250">
        <f t="shared" si="87"/>
        <v>0</v>
      </c>
      <c r="T347" s="899">
        <f t="shared" si="88"/>
        <v>0</v>
      </c>
      <c r="U347" s="2988">
        <f t="shared" si="82"/>
        <v>0</v>
      </c>
      <c r="V347" s="2988">
        <f t="shared" si="83"/>
        <v>0</v>
      </c>
      <c r="W347" s="996"/>
      <c r="X347" s="2988">
        <f t="shared" si="84"/>
        <v>0</v>
      </c>
      <c r="Y347" s="2988">
        <f t="shared" si="85"/>
        <v>0</v>
      </c>
      <c r="Z347" s="996"/>
    </row>
    <row r="348" spans="1:26">
      <c r="A348" s="35"/>
      <c r="B348" s="20"/>
      <c r="C348" s="13">
        <f t="shared" ref="C348:C411" si="89">IF(B348="",1,(LOOKUP(B348,$6:$6,$7:$7)-LOOKUP($B$27,$6:$6,$7:$7)+100)/100)</f>
        <v>1</v>
      </c>
      <c r="D348" s="599"/>
      <c r="E348" s="13">
        <f t="shared" ref="E348:E411" si="90">(SUMIF($8:$8,D348,$9:$9)-SUMIF($8:$8,$D$27,$9:$9)+100)/100</f>
        <v>1</v>
      </c>
      <c r="F348" s="599"/>
      <c r="G348" s="13">
        <f t="shared" ref="G348:G411" si="91">(SUMIF($10:$10,F348,$11:$11)-SUMIF($10:$10,$F$27,$11:$11)+100)/100</f>
        <v>1</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v>
      </c>
      <c r="R348" s="596">
        <f t="shared" si="86"/>
        <v>0</v>
      </c>
      <c r="S348" s="250">
        <f t="shared" si="87"/>
        <v>0</v>
      </c>
      <c r="T348" s="899">
        <f t="shared" si="88"/>
        <v>0</v>
      </c>
      <c r="U348" s="2988">
        <f t="shared" ref="U348:U411" si="97">ROUND(W348*B348,0)</f>
        <v>0</v>
      </c>
      <c r="V348" s="2988">
        <f t="shared" ref="V348:V411" si="98">ROUND(W348*B348/10000,0)</f>
        <v>0</v>
      </c>
      <c r="W348" s="996"/>
      <c r="X348" s="2988">
        <f t="shared" ref="X348:X411" si="99">ROUND(Z348*B348,0)</f>
        <v>0</v>
      </c>
      <c r="Y348" s="2988">
        <f t="shared" ref="Y348:Y411" si="100">ROUND(Z348*B348/10000,0)</f>
        <v>0</v>
      </c>
      <c r="Z348" s="996"/>
    </row>
    <row r="349" spans="1:26">
      <c r="A349" s="35"/>
      <c r="B349" s="20"/>
      <c r="C349" s="13">
        <f t="shared" si="89"/>
        <v>1</v>
      </c>
      <c r="D349" s="599"/>
      <c r="E349" s="13">
        <f t="shared" si="90"/>
        <v>1</v>
      </c>
      <c r="F349" s="599"/>
      <c r="G349" s="13">
        <f t="shared" si="91"/>
        <v>1</v>
      </c>
      <c r="H349" s="599"/>
      <c r="I349" s="13">
        <f t="shared" si="92"/>
        <v>1</v>
      </c>
      <c r="J349" s="599"/>
      <c r="K349" s="13">
        <f t="shared" si="93"/>
        <v>1</v>
      </c>
      <c r="L349" s="599"/>
      <c r="M349" s="13">
        <f t="shared" si="94"/>
        <v>1</v>
      </c>
      <c r="N349" s="599"/>
      <c r="O349" s="13">
        <f t="shared" si="95"/>
        <v>1</v>
      </c>
      <c r="P349" s="599"/>
      <c r="Q349" s="13">
        <f t="shared" si="96"/>
        <v>0</v>
      </c>
      <c r="R349" s="596">
        <f t="shared" ref="R349:R412" si="101">IF(B349="",0,ROUND($R$27*C349*E349*G349*I349*K349*M349*O349*Q349,0))</f>
        <v>0</v>
      </c>
      <c r="S349" s="250">
        <f t="shared" ref="S349:S412" si="102">ROUND(R349*B349,0)</f>
        <v>0</v>
      </c>
      <c r="T349" s="899">
        <f t="shared" ref="T349:T412" si="103">ROUND(R349*B349/10000,0)</f>
        <v>0</v>
      </c>
      <c r="U349" s="2988">
        <f t="shared" si="97"/>
        <v>0</v>
      </c>
      <c r="V349" s="2988">
        <f t="shared" si="98"/>
        <v>0</v>
      </c>
      <c r="W349" s="996"/>
      <c r="X349" s="2988">
        <f t="shared" si="99"/>
        <v>0</v>
      </c>
      <c r="Y349" s="2988">
        <f t="shared" si="100"/>
        <v>0</v>
      </c>
      <c r="Z349" s="996"/>
    </row>
    <row r="350" spans="1:26">
      <c r="A350" s="35"/>
      <c r="B350" s="20"/>
      <c r="C350" s="13">
        <f t="shared" si="89"/>
        <v>1</v>
      </c>
      <c r="D350" s="599"/>
      <c r="E350" s="13">
        <f t="shared" si="90"/>
        <v>1</v>
      </c>
      <c r="F350" s="599"/>
      <c r="G350" s="13">
        <f t="shared" si="91"/>
        <v>1</v>
      </c>
      <c r="H350" s="599"/>
      <c r="I350" s="13">
        <f t="shared" si="92"/>
        <v>1</v>
      </c>
      <c r="J350" s="599"/>
      <c r="K350" s="13">
        <f t="shared" si="93"/>
        <v>1</v>
      </c>
      <c r="L350" s="599"/>
      <c r="M350" s="13">
        <f t="shared" si="94"/>
        <v>1</v>
      </c>
      <c r="N350" s="599"/>
      <c r="O350" s="13">
        <f t="shared" si="95"/>
        <v>1</v>
      </c>
      <c r="P350" s="599"/>
      <c r="Q350" s="13">
        <f t="shared" si="96"/>
        <v>0</v>
      </c>
      <c r="R350" s="596">
        <f t="shared" si="101"/>
        <v>0</v>
      </c>
      <c r="S350" s="250">
        <f t="shared" si="102"/>
        <v>0</v>
      </c>
      <c r="T350" s="899">
        <f t="shared" si="103"/>
        <v>0</v>
      </c>
      <c r="U350" s="2988">
        <f t="shared" si="97"/>
        <v>0</v>
      </c>
      <c r="V350" s="2988">
        <f t="shared" si="98"/>
        <v>0</v>
      </c>
      <c r="W350" s="996"/>
      <c r="X350" s="2988">
        <f t="shared" si="99"/>
        <v>0</v>
      </c>
      <c r="Y350" s="2988">
        <f t="shared" si="100"/>
        <v>0</v>
      </c>
      <c r="Z350" s="996"/>
    </row>
    <row r="351" spans="1:26">
      <c r="A351" s="35"/>
      <c r="B351" s="20"/>
      <c r="C351" s="13">
        <f t="shared" si="89"/>
        <v>1</v>
      </c>
      <c r="D351" s="599"/>
      <c r="E351" s="13">
        <f t="shared" si="90"/>
        <v>1</v>
      </c>
      <c r="F351" s="599"/>
      <c r="G351" s="13">
        <f t="shared" si="91"/>
        <v>1</v>
      </c>
      <c r="H351" s="599"/>
      <c r="I351" s="13">
        <f t="shared" si="92"/>
        <v>1</v>
      </c>
      <c r="J351" s="599"/>
      <c r="K351" s="13">
        <f t="shared" si="93"/>
        <v>1</v>
      </c>
      <c r="L351" s="599"/>
      <c r="M351" s="13">
        <f t="shared" si="94"/>
        <v>1</v>
      </c>
      <c r="N351" s="599"/>
      <c r="O351" s="13">
        <f t="shared" si="95"/>
        <v>1</v>
      </c>
      <c r="P351" s="599"/>
      <c r="Q351" s="13">
        <f t="shared" si="96"/>
        <v>0</v>
      </c>
      <c r="R351" s="596">
        <f t="shared" si="101"/>
        <v>0</v>
      </c>
      <c r="S351" s="250">
        <f t="shared" si="102"/>
        <v>0</v>
      </c>
      <c r="T351" s="899">
        <f t="shared" si="103"/>
        <v>0</v>
      </c>
      <c r="U351" s="2988">
        <f t="shared" si="97"/>
        <v>0</v>
      </c>
      <c r="V351" s="2988">
        <f t="shared" si="98"/>
        <v>0</v>
      </c>
      <c r="W351" s="996"/>
      <c r="X351" s="2988">
        <f t="shared" si="99"/>
        <v>0</v>
      </c>
      <c r="Y351" s="2988">
        <f t="shared" si="100"/>
        <v>0</v>
      </c>
      <c r="Z351" s="996"/>
    </row>
    <row r="352" spans="1:26">
      <c r="A352" s="35"/>
      <c r="B352" s="20"/>
      <c r="C352" s="13">
        <f t="shared" si="89"/>
        <v>1</v>
      </c>
      <c r="D352" s="599"/>
      <c r="E352" s="13">
        <f t="shared" si="90"/>
        <v>1</v>
      </c>
      <c r="F352" s="599"/>
      <c r="G352" s="13">
        <f t="shared" si="91"/>
        <v>1</v>
      </c>
      <c r="H352" s="599"/>
      <c r="I352" s="13">
        <f t="shared" si="92"/>
        <v>1</v>
      </c>
      <c r="J352" s="599"/>
      <c r="K352" s="13">
        <f t="shared" si="93"/>
        <v>1</v>
      </c>
      <c r="L352" s="599"/>
      <c r="M352" s="13">
        <f t="shared" si="94"/>
        <v>1</v>
      </c>
      <c r="N352" s="599"/>
      <c r="O352" s="13">
        <f t="shared" si="95"/>
        <v>1</v>
      </c>
      <c r="P352" s="599"/>
      <c r="Q352" s="13">
        <f t="shared" si="96"/>
        <v>0</v>
      </c>
      <c r="R352" s="596">
        <f t="shared" si="101"/>
        <v>0</v>
      </c>
      <c r="S352" s="250">
        <f t="shared" si="102"/>
        <v>0</v>
      </c>
      <c r="T352" s="899">
        <f t="shared" si="103"/>
        <v>0</v>
      </c>
      <c r="U352" s="2988">
        <f t="shared" si="97"/>
        <v>0</v>
      </c>
      <c r="V352" s="2988">
        <f t="shared" si="98"/>
        <v>0</v>
      </c>
      <c r="W352" s="996"/>
      <c r="X352" s="2988">
        <f t="shared" si="99"/>
        <v>0</v>
      </c>
      <c r="Y352" s="2988">
        <f t="shared" si="100"/>
        <v>0</v>
      </c>
      <c r="Z352" s="996"/>
    </row>
    <row r="353" spans="1:26">
      <c r="A353" s="35"/>
      <c r="B353" s="20"/>
      <c r="C353" s="13">
        <f t="shared" si="89"/>
        <v>1</v>
      </c>
      <c r="D353" s="599"/>
      <c r="E353" s="13">
        <f t="shared" si="90"/>
        <v>1</v>
      </c>
      <c r="F353" s="599"/>
      <c r="G353" s="13">
        <f t="shared" si="91"/>
        <v>1</v>
      </c>
      <c r="H353" s="599"/>
      <c r="I353" s="13">
        <f t="shared" si="92"/>
        <v>1</v>
      </c>
      <c r="J353" s="599"/>
      <c r="K353" s="13">
        <f t="shared" si="93"/>
        <v>1</v>
      </c>
      <c r="L353" s="599"/>
      <c r="M353" s="13">
        <f t="shared" si="94"/>
        <v>1</v>
      </c>
      <c r="N353" s="599"/>
      <c r="O353" s="13">
        <f t="shared" si="95"/>
        <v>1</v>
      </c>
      <c r="P353" s="599"/>
      <c r="Q353" s="13">
        <f t="shared" si="96"/>
        <v>0</v>
      </c>
      <c r="R353" s="596">
        <f t="shared" si="101"/>
        <v>0</v>
      </c>
      <c r="S353" s="250">
        <f t="shared" si="102"/>
        <v>0</v>
      </c>
      <c r="T353" s="899">
        <f t="shared" si="103"/>
        <v>0</v>
      </c>
      <c r="U353" s="2988">
        <f t="shared" si="97"/>
        <v>0</v>
      </c>
      <c r="V353" s="2988">
        <f t="shared" si="98"/>
        <v>0</v>
      </c>
      <c r="W353" s="996"/>
      <c r="X353" s="2988">
        <f t="shared" si="99"/>
        <v>0</v>
      </c>
      <c r="Y353" s="2988">
        <f t="shared" si="100"/>
        <v>0</v>
      </c>
      <c r="Z353" s="996"/>
    </row>
    <row r="354" spans="1:26">
      <c r="A354" s="35"/>
      <c r="B354" s="20"/>
      <c r="C354" s="13">
        <f t="shared" si="89"/>
        <v>1</v>
      </c>
      <c r="D354" s="599"/>
      <c r="E354" s="13">
        <f t="shared" si="90"/>
        <v>1</v>
      </c>
      <c r="F354" s="599"/>
      <c r="G354" s="13">
        <f t="shared" si="91"/>
        <v>1</v>
      </c>
      <c r="H354" s="599"/>
      <c r="I354" s="13">
        <f t="shared" si="92"/>
        <v>1</v>
      </c>
      <c r="J354" s="599"/>
      <c r="K354" s="13">
        <f t="shared" si="93"/>
        <v>1</v>
      </c>
      <c r="L354" s="599"/>
      <c r="M354" s="13">
        <f t="shared" si="94"/>
        <v>1</v>
      </c>
      <c r="N354" s="599"/>
      <c r="O354" s="13">
        <f t="shared" si="95"/>
        <v>1</v>
      </c>
      <c r="P354" s="599"/>
      <c r="Q354" s="13">
        <f t="shared" si="96"/>
        <v>0</v>
      </c>
      <c r="R354" s="596">
        <f t="shared" si="101"/>
        <v>0</v>
      </c>
      <c r="S354" s="250">
        <f t="shared" si="102"/>
        <v>0</v>
      </c>
      <c r="T354" s="899">
        <f t="shared" si="103"/>
        <v>0</v>
      </c>
      <c r="U354" s="2988">
        <f t="shared" si="97"/>
        <v>0</v>
      </c>
      <c r="V354" s="2988">
        <f t="shared" si="98"/>
        <v>0</v>
      </c>
      <c r="W354" s="996"/>
      <c r="X354" s="2988">
        <f t="shared" si="99"/>
        <v>0</v>
      </c>
      <c r="Y354" s="2988">
        <f t="shared" si="100"/>
        <v>0</v>
      </c>
      <c r="Z354" s="996"/>
    </row>
    <row r="355" spans="1:26">
      <c r="A355" s="35"/>
      <c r="B355" s="20"/>
      <c r="C355" s="13">
        <f t="shared" si="89"/>
        <v>1</v>
      </c>
      <c r="D355" s="599"/>
      <c r="E355" s="13">
        <f t="shared" si="90"/>
        <v>1</v>
      </c>
      <c r="F355" s="599"/>
      <c r="G355" s="13">
        <f t="shared" si="91"/>
        <v>1</v>
      </c>
      <c r="H355" s="599"/>
      <c r="I355" s="13">
        <f t="shared" si="92"/>
        <v>1</v>
      </c>
      <c r="J355" s="599"/>
      <c r="K355" s="13">
        <f t="shared" si="93"/>
        <v>1</v>
      </c>
      <c r="L355" s="599"/>
      <c r="M355" s="13">
        <f t="shared" si="94"/>
        <v>1</v>
      </c>
      <c r="N355" s="599"/>
      <c r="O355" s="13">
        <f t="shared" si="95"/>
        <v>1</v>
      </c>
      <c r="P355" s="599"/>
      <c r="Q355" s="13">
        <f t="shared" si="96"/>
        <v>0</v>
      </c>
      <c r="R355" s="596">
        <f t="shared" si="101"/>
        <v>0</v>
      </c>
      <c r="S355" s="250">
        <f t="shared" si="102"/>
        <v>0</v>
      </c>
      <c r="T355" s="899">
        <f t="shared" si="103"/>
        <v>0</v>
      </c>
      <c r="U355" s="2988">
        <f t="shared" si="97"/>
        <v>0</v>
      </c>
      <c r="V355" s="2988">
        <f t="shared" si="98"/>
        <v>0</v>
      </c>
      <c r="W355" s="996"/>
      <c r="X355" s="2988">
        <f t="shared" si="99"/>
        <v>0</v>
      </c>
      <c r="Y355" s="2988">
        <f t="shared" si="100"/>
        <v>0</v>
      </c>
      <c r="Z355" s="996"/>
    </row>
    <row r="356" spans="1:26">
      <c r="A356" s="35"/>
      <c r="B356" s="20"/>
      <c r="C356" s="13">
        <f t="shared" si="89"/>
        <v>1</v>
      </c>
      <c r="D356" s="599"/>
      <c r="E356" s="13">
        <f t="shared" si="90"/>
        <v>1</v>
      </c>
      <c r="F356" s="599"/>
      <c r="G356" s="13">
        <f t="shared" si="91"/>
        <v>1</v>
      </c>
      <c r="H356" s="599"/>
      <c r="I356" s="13">
        <f t="shared" si="92"/>
        <v>1</v>
      </c>
      <c r="J356" s="599"/>
      <c r="K356" s="13">
        <f t="shared" si="93"/>
        <v>1</v>
      </c>
      <c r="L356" s="599"/>
      <c r="M356" s="13">
        <f t="shared" si="94"/>
        <v>1</v>
      </c>
      <c r="N356" s="599"/>
      <c r="O356" s="13">
        <f t="shared" si="95"/>
        <v>1</v>
      </c>
      <c r="P356" s="599"/>
      <c r="Q356" s="13">
        <f t="shared" si="96"/>
        <v>0</v>
      </c>
      <c r="R356" s="596">
        <f t="shared" si="101"/>
        <v>0</v>
      </c>
      <c r="S356" s="250">
        <f t="shared" si="102"/>
        <v>0</v>
      </c>
      <c r="T356" s="899">
        <f t="shared" si="103"/>
        <v>0</v>
      </c>
      <c r="U356" s="2988">
        <f t="shared" si="97"/>
        <v>0</v>
      </c>
      <c r="V356" s="2988">
        <f t="shared" si="98"/>
        <v>0</v>
      </c>
      <c r="W356" s="996"/>
      <c r="X356" s="2988">
        <f t="shared" si="99"/>
        <v>0</v>
      </c>
      <c r="Y356" s="2988">
        <f t="shared" si="100"/>
        <v>0</v>
      </c>
      <c r="Z356" s="996"/>
    </row>
    <row r="357" spans="1:26">
      <c r="A357" s="35"/>
      <c r="B357" s="20"/>
      <c r="C357" s="13">
        <f t="shared" si="89"/>
        <v>1</v>
      </c>
      <c r="D357" s="599"/>
      <c r="E357" s="13">
        <f t="shared" si="90"/>
        <v>1</v>
      </c>
      <c r="F357" s="599"/>
      <c r="G357" s="13">
        <f t="shared" si="91"/>
        <v>1</v>
      </c>
      <c r="H357" s="599"/>
      <c r="I357" s="13">
        <f t="shared" si="92"/>
        <v>1</v>
      </c>
      <c r="J357" s="599"/>
      <c r="K357" s="13">
        <f t="shared" si="93"/>
        <v>1</v>
      </c>
      <c r="L357" s="599"/>
      <c r="M357" s="13">
        <f t="shared" si="94"/>
        <v>1</v>
      </c>
      <c r="N357" s="599"/>
      <c r="O357" s="13">
        <f t="shared" si="95"/>
        <v>1</v>
      </c>
      <c r="P357" s="599"/>
      <c r="Q357" s="13">
        <f t="shared" si="96"/>
        <v>0</v>
      </c>
      <c r="R357" s="596">
        <f t="shared" si="101"/>
        <v>0</v>
      </c>
      <c r="S357" s="250">
        <f t="shared" si="102"/>
        <v>0</v>
      </c>
      <c r="T357" s="899">
        <f t="shared" si="103"/>
        <v>0</v>
      </c>
      <c r="U357" s="2988">
        <f t="shared" si="97"/>
        <v>0</v>
      </c>
      <c r="V357" s="2988">
        <f t="shared" si="98"/>
        <v>0</v>
      </c>
      <c r="W357" s="996"/>
      <c r="X357" s="2988">
        <f t="shared" si="99"/>
        <v>0</v>
      </c>
      <c r="Y357" s="2988">
        <f t="shared" si="100"/>
        <v>0</v>
      </c>
      <c r="Z357" s="996"/>
    </row>
    <row r="358" spans="1:26">
      <c r="A358" s="35"/>
      <c r="B358" s="20"/>
      <c r="C358" s="13">
        <f t="shared" si="89"/>
        <v>1</v>
      </c>
      <c r="D358" s="599"/>
      <c r="E358" s="13">
        <f t="shared" si="90"/>
        <v>1</v>
      </c>
      <c r="F358" s="599"/>
      <c r="G358" s="13">
        <f t="shared" si="91"/>
        <v>1</v>
      </c>
      <c r="H358" s="599"/>
      <c r="I358" s="13">
        <f t="shared" si="92"/>
        <v>1</v>
      </c>
      <c r="J358" s="599"/>
      <c r="K358" s="13">
        <f t="shared" si="93"/>
        <v>1</v>
      </c>
      <c r="L358" s="599"/>
      <c r="M358" s="13">
        <f t="shared" si="94"/>
        <v>1</v>
      </c>
      <c r="N358" s="599"/>
      <c r="O358" s="13">
        <f t="shared" si="95"/>
        <v>1</v>
      </c>
      <c r="P358" s="599"/>
      <c r="Q358" s="13">
        <f t="shared" si="96"/>
        <v>0</v>
      </c>
      <c r="R358" s="596">
        <f t="shared" si="101"/>
        <v>0</v>
      </c>
      <c r="S358" s="250">
        <f t="shared" si="102"/>
        <v>0</v>
      </c>
      <c r="T358" s="899">
        <f t="shared" si="103"/>
        <v>0</v>
      </c>
      <c r="U358" s="2988">
        <f t="shared" si="97"/>
        <v>0</v>
      </c>
      <c r="V358" s="2988">
        <f t="shared" si="98"/>
        <v>0</v>
      </c>
      <c r="W358" s="996"/>
      <c r="X358" s="2988">
        <f t="shared" si="99"/>
        <v>0</v>
      </c>
      <c r="Y358" s="2988">
        <f t="shared" si="100"/>
        <v>0</v>
      </c>
      <c r="Z358" s="996"/>
    </row>
    <row r="359" spans="1:26">
      <c r="A359" s="35"/>
      <c r="B359" s="20"/>
      <c r="C359" s="13">
        <f t="shared" si="89"/>
        <v>1</v>
      </c>
      <c r="D359" s="599"/>
      <c r="E359" s="13">
        <f t="shared" si="90"/>
        <v>1</v>
      </c>
      <c r="F359" s="599"/>
      <c r="G359" s="13">
        <f t="shared" si="91"/>
        <v>1</v>
      </c>
      <c r="H359" s="599"/>
      <c r="I359" s="13">
        <f t="shared" si="92"/>
        <v>1</v>
      </c>
      <c r="J359" s="599"/>
      <c r="K359" s="13">
        <f t="shared" si="93"/>
        <v>1</v>
      </c>
      <c r="L359" s="599"/>
      <c r="M359" s="13">
        <f t="shared" si="94"/>
        <v>1</v>
      </c>
      <c r="N359" s="599"/>
      <c r="O359" s="13">
        <f t="shared" si="95"/>
        <v>1</v>
      </c>
      <c r="P359" s="599"/>
      <c r="Q359" s="13">
        <f t="shared" si="96"/>
        <v>0</v>
      </c>
      <c r="R359" s="596">
        <f t="shared" si="101"/>
        <v>0</v>
      </c>
      <c r="S359" s="250">
        <f t="shared" si="102"/>
        <v>0</v>
      </c>
      <c r="T359" s="899">
        <f t="shared" si="103"/>
        <v>0</v>
      </c>
      <c r="U359" s="2988">
        <f t="shared" si="97"/>
        <v>0</v>
      </c>
      <c r="V359" s="2988">
        <f t="shared" si="98"/>
        <v>0</v>
      </c>
      <c r="W359" s="996"/>
      <c r="X359" s="2988">
        <f t="shared" si="99"/>
        <v>0</v>
      </c>
      <c r="Y359" s="2988">
        <f t="shared" si="100"/>
        <v>0</v>
      </c>
      <c r="Z359" s="996"/>
    </row>
    <row r="360" spans="1:26">
      <c r="A360" s="35"/>
      <c r="B360" s="20"/>
      <c r="C360" s="13">
        <f t="shared" si="89"/>
        <v>1</v>
      </c>
      <c r="D360" s="599"/>
      <c r="E360" s="13">
        <f t="shared" si="90"/>
        <v>1</v>
      </c>
      <c r="F360" s="599"/>
      <c r="G360" s="13">
        <f t="shared" si="91"/>
        <v>1</v>
      </c>
      <c r="H360" s="599"/>
      <c r="I360" s="13">
        <f t="shared" si="92"/>
        <v>1</v>
      </c>
      <c r="J360" s="599"/>
      <c r="K360" s="13">
        <f t="shared" si="93"/>
        <v>1</v>
      </c>
      <c r="L360" s="599"/>
      <c r="M360" s="13">
        <f t="shared" si="94"/>
        <v>1</v>
      </c>
      <c r="N360" s="599"/>
      <c r="O360" s="13">
        <f t="shared" si="95"/>
        <v>1</v>
      </c>
      <c r="P360" s="599"/>
      <c r="Q360" s="13">
        <f t="shared" si="96"/>
        <v>0</v>
      </c>
      <c r="R360" s="596">
        <f t="shared" si="101"/>
        <v>0</v>
      </c>
      <c r="S360" s="250">
        <f t="shared" si="102"/>
        <v>0</v>
      </c>
      <c r="T360" s="899">
        <f t="shared" si="103"/>
        <v>0</v>
      </c>
      <c r="U360" s="2988">
        <f t="shared" si="97"/>
        <v>0</v>
      </c>
      <c r="V360" s="2988">
        <f t="shared" si="98"/>
        <v>0</v>
      </c>
      <c r="W360" s="996"/>
      <c r="X360" s="2988">
        <f t="shared" si="99"/>
        <v>0</v>
      </c>
      <c r="Y360" s="2988">
        <f t="shared" si="100"/>
        <v>0</v>
      </c>
      <c r="Z360" s="996"/>
    </row>
    <row r="361" spans="1:26">
      <c r="A361" s="35"/>
      <c r="B361" s="20"/>
      <c r="C361" s="13">
        <f t="shared" si="89"/>
        <v>1</v>
      </c>
      <c r="D361" s="599"/>
      <c r="E361" s="13">
        <f t="shared" si="90"/>
        <v>1</v>
      </c>
      <c r="F361" s="599"/>
      <c r="G361" s="13">
        <f t="shared" si="91"/>
        <v>1</v>
      </c>
      <c r="H361" s="599"/>
      <c r="I361" s="13">
        <f t="shared" si="92"/>
        <v>1</v>
      </c>
      <c r="J361" s="599"/>
      <c r="K361" s="13">
        <f t="shared" si="93"/>
        <v>1</v>
      </c>
      <c r="L361" s="599"/>
      <c r="M361" s="13">
        <f t="shared" si="94"/>
        <v>1</v>
      </c>
      <c r="N361" s="599"/>
      <c r="O361" s="13">
        <f t="shared" si="95"/>
        <v>1</v>
      </c>
      <c r="P361" s="599"/>
      <c r="Q361" s="13">
        <f t="shared" si="96"/>
        <v>0</v>
      </c>
      <c r="R361" s="596">
        <f t="shared" si="101"/>
        <v>0</v>
      </c>
      <c r="S361" s="250">
        <f t="shared" si="102"/>
        <v>0</v>
      </c>
      <c r="T361" s="899">
        <f t="shared" si="103"/>
        <v>0</v>
      </c>
      <c r="U361" s="2988">
        <f t="shared" si="97"/>
        <v>0</v>
      </c>
      <c r="V361" s="2988">
        <f t="shared" si="98"/>
        <v>0</v>
      </c>
      <c r="W361" s="996"/>
      <c r="X361" s="2988">
        <f t="shared" si="99"/>
        <v>0</v>
      </c>
      <c r="Y361" s="2988">
        <f t="shared" si="100"/>
        <v>0</v>
      </c>
      <c r="Z361" s="996"/>
    </row>
    <row r="362" spans="1:26">
      <c r="A362" s="35"/>
      <c r="B362" s="20"/>
      <c r="C362" s="13">
        <f t="shared" si="89"/>
        <v>1</v>
      </c>
      <c r="D362" s="599"/>
      <c r="E362" s="13">
        <f t="shared" si="90"/>
        <v>1</v>
      </c>
      <c r="F362" s="599"/>
      <c r="G362" s="13">
        <f t="shared" si="91"/>
        <v>1</v>
      </c>
      <c r="H362" s="599"/>
      <c r="I362" s="13">
        <f t="shared" si="92"/>
        <v>1</v>
      </c>
      <c r="J362" s="599"/>
      <c r="K362" s="13">
        <f t="shared" si="93"/>
        <v>1</v>
      </c>
      <c r="L362" s="599"/>
      <c r="M362" s="13">
        <f t="shared" si="94"/>
        <v>1</v>
      </c>
      <c r="N362" s="599"/>
      <c r="O362" s="13">
        <f t="shared" si="95"/>
        <v>1</v>
      </c>
      <c r="P362" s="599"/>
      <c r="Q362" s="13">
        <f t="shared" si="96"/>
        <v>0</v>
      </c>
      <c r="R362" s="596">
        <f t="shared" si="101"/>
        <v>0</v>
      </c>
      <c r="S362" s="250">
        <f t="shared" si="102"/>
        <v>0</v>
      </c>
      <c r="T362" s="899">
        <f t="shared" si="103"/>
        <v>0</v>
      </c>
      <c r="U362" s="2988">
        <f t="shared" si="97"/>
        <v>0</v>
      </c>
      <c r="V362" s="2988">
        <f t="shared" si="98"/>
        <v>0</v>
      </c>
      <c r="W362" s="996"/>
      <c r="X362" s="2988">
        <f t="shared" si="99"/>
        <v>0</v>
      </c>
      <c r="Y362" s="2988">
        <f t="shared" si="100"/>
        <v>0</v>
      </c>
      <c r="Z362" s="996"/>
    </row>
    <row r="363" spans="1:26">
      <c r="A363" s="35"/>
      <c r="B363" s="20"/>
      <c r="C363" s="13">
        <f t="shared" si="89"/>
        <v>1</v>
      </c>
      <c r="D363" s="599"/>
      <c r="E363" s="13">
        <f t="shared" si="90"/>
        <v>1</v>
      </c>
      <c r="F363" s="599"/>
      <c r="G363" s="13">
        <f t="shared" si="91"/>
        <v>1</v>
      </c>
      <c r="H363" s="599"/>
      <c r="I363" s="13">
        <f t="shared" si="92"/>
        <v>1</v>
      </c>
      <c r="J363" s="599"/>
      <c r="K363" s="13">
        <f t="shared" si="93"/>
        <v>1</v>
      </c>
      <c r="L363" s="599"/>
      <c r="M363" s="13">
        <f t="shared" si="94"/>
        <v>1</v>
      </c>
      <c r="N363" s="599"/>
      <c r="O363" s="13">
        <f t="shared" si="95"/>
        <v>1</v>
      </c>
      <c r="P363" s="599"/>
      <c r="Q363" s="13">
        <f t="shared" si="96"/>
        <v>0</v>
      </c>
      <c r="R363" s="596">
        <f t="shared" si="101"/>
        <v>0</v>
      </c>
      <c r="S363" s="250">
        <f t="shared" si="102"/>
        <v>0</v>
      </c>
      <c r="T363" s="899">
        <f t="shared" si="103"/>
        <v>0</v>
      </c>
      <c r="U363" s="2988">
        <f t="shared" si="97"/>
        <v>0</v>
      </c>
      <c r="V363" s="2988">
        <f t="shared" si="98"/>
        <v>0</v>
      </c>
      <c r="W363" s="996"/>
      <c r="X363" s="2988">
        <f t="shared" si="99"/>
        <v>0</v>
      </c>
      <c r="Y363" s="2988">
        <f t="shared" si="100"/>
        <v>0</v>
      </c>
      <c r="Z363" s="996"/>
    </row>
    <row r="364" spans="1:26">
      <c r="A364" s="35"/>
      <c r="B364" s="20"/>
      <c r="C364" s="13">
        <f t="shared" si="89"/>
        <v>1</v>
      </c>
      <c r="D364" s="599"/>
      <c r="E364" s="13">
        <f t="shared" si="90"/>
        <v>1</v>
      </c>
      <c r="F364" s="599"/>
      <c r="G364" s="13">
        <f t="shared" si="91"/>
        <v>1</v>
      </c>
      <c r="H364" s="599"/>
      <c r="I364" s="13">
        <f t="shared" si="92"/>
        <v>1</v>
      </c>
      <c r="J364" s="599"/>
      <c r="K364" s="13">
        <f t="shared" si="93"/>
        <v>1</v>
      </c>
      <c r="L364" s="599"/>
      <c r="M364" s="13">
        <f t="shared" si="94"/>
        <v>1</v>
      </c>
      <c r="N364" s="599"/>
      <c r="O364" s="13">
        <f t="shared" si="95"/>
        <v>1</v>
      </c>
      <c r="P364" s="599"/>
      <c r="Q364" s="13">
        <f t="shared" si="96"/>
        <v>0</v>
      </c>
      <c r="R364" s="596">
        <f t="shared" si="101"/>
        <v>0</v>
      </c>
      <c r="S364" s="250">
        <f t="shared" si="102"/>
        <v>0</v>
      </c>
      <c r="T364" s="899">
        <f t="shared" si="103"/>
        <v>0</v>
      </c>
      <c r="U364" s="2988">
        <f t="shared" si="97"/>
        <v>0</v>
      </c>
      <c r="V364" s="2988">
        <f t="shared" si="98"/>
        <v>0</v>
      </c>
      <c r="W364" s="996"/>
      <c r="X364" s="2988">
        <f t="shared" si="99"/>
        <v>0</v>
      </c>
      <c r="Y364" s="2988">
        <f t="shared" si="100"/>
        <v>0</v>
      </c>
      <c r="Z364" s="996"/>
    </row>
    <row r="365" spans="1:26">
      <c r="A365" s="35"/>
      <c r="B365" s="20"/>
      <c r="C365" s="13">
        <f t="shared" si="89"/>
        <v>1</v>
      </c>
      <c r="D365" s="599"/>
      <c r="E365" s="13">
        <f t="shared" si="90"/>
        <v>1</v>
      </c>
      <c r="F365" s="599"/>
      <c r="G365" s="13">
        <f t="shared" si="91"/>
        <v>1</v>
      </c>
      <c r="H365" s="599"/>
      <c r="I365" s="13">
        <f t="shared" si="92"/>
        <v>1</v>
      </c>
      <c r="J365" s="599"/>
      <c r="K365" s="13">
        <f t="shared" si="93"/>
        <v>1</v>
      </c>
      <c r="L365" s="599"/>
      <c r="M365" s="13">
        <f t="shared" si="94"/>
        <v>1</v>
      </c>
      <c r="N365" s="599"/>
      <c r="O365" s="13">
        <f t="shared" si="95"/>
        <v>1</v>
      </c>
      <c r="P365" s="599"/>
      <c r="Q365" s="13">
        <f t="shared" si="96"/>
        <v>0</v>
      </c>
      <c r="R365" s="596">
        <f t="shared" si="101"/>
        <v>0</v>
      </c>
      <c r="S365" s="250">
        <f t="shared" si="102"/>
        <v>0</v>
      </c>
      <c r="T365" s="899">
        <f t="shared" si="103"/>
        <v>0</v>
      </c>
      <c r="U365" s="2988">
        <f t="shared" si="97"/>
        <v>0</v>
      </c>
      <c r="V365" s="2988">
        <f t="shared" si="98"/>
        <v>0</v>
      </c>
      <c r="W365" s="996"/>
      <c r="X365" s="2988">
        <f t="shared" si="99"/>
        <v>0</v>
      </c>
      <c r="Y365" s="2988">
        <f t="shared" si="100"/>
        <v>0</v>
      </c>
      <c r="Z365" s="996"/>
    </row>
    <row r="366" spans="1:26">
      <c r="A366" s="35"/>
      <c r="B366" s="20"/>
      <c r="C366" s="13">
        <f t="shared" si="89"/>
        <v>1</v>
      </c>
      <c r="D366" s="599"/>
      <c r="E366" s="13">
        <f t="shared" si="90"/>
        <v>1</v>
      </c>
      <c r="F366" s="599"/>
      <c r="G366" s="13">
        <f t="shared" si="91"/>
        <v>1</v>
      </c>
      <c r="H366" s="599"/>
      <c r="I366" s="13">
        <f t="shared" si="92"/>
        <v>1</v>
      </c>
      <c r="J366" s="599"/>
      <c r="K366" s="13">
        <f t="shared" si="93"/>
        <v>1</v>
      </c>
      <c r="L366" s="599"/>
      <c r="M366" s="13">
        <f t="shared" si="94"/>
        <v>1</v>
      </c>
      <c r="N366" s="599"/>
      <c r="O366" s="13">
        <f t="shared" si="95"/>
        <v>1</v>
      </c>
      <c r="P366" s="599"/>
      <c r="Q366" s="13">
        <f t="shared" si="96"/>
        <v>0</v>
      </c>
      <c r="R366" s="596">
        <f t="shared" si="101"/>
        <v>0</v>
      </c>
      <c r="S366" s="250">
        <f t="shared" si="102"/>
        <v>0</v>
      </c>
      <c r="T366" s="899">
        <f t="shared" si="103"/>
        <v>0</v>
      </c>
      <c r="U366" s="2988">
        <f t="shared" si="97"/>
        <v>0</v>
      </c>
      <c r="V366" s="2988">
        <f t="shared" si="98"/>
        <v>0</v>
      </c>
      <c r="W366" s="996"/>
      <c r="X366" s="2988">
        <f t="shared" si="99"/>
        <v>0</v>
      </c>
      <c r="Y366" s="2988">
        <f t="shared" si="100"/>
        <v>0</v>
      </c>
      <c r="Z366" s="996"/>
    </row>
    <row r="367" spans="1:26">
      <c r="A367" s="35"/>
      <c r="B367" s="20"/>
      <c r="C367" s="13">
        <f t="shared" si="89"/>
        <v>1</v>
      </c>
      <c r="D367" s="599"/>
      <c r="E367" s="13">
        <f t="shared" si="90"/>
        <v>1</v>
      </c>
      <c r="F367" s="599"/>
      <c r="G367" s="13">
        <f t="shared" si="91"/>
        <v>1</v>
      </c>
      <c r="H367" s="599"/>
      <c r="I367" s="13">
        <f t="shared" si="92"/>
        <v>1</v>
      </c>
      <c r="J367" s="599"/>
      <c r="K367" s="13">
        <f t="shared" si="93"/>
        <v>1</v>
      </c>
      <c r="L367" s="599"/>
      <c r="M367" s="13">
        <f t="shared" si="94"/>
        <v>1</v>
      </c>
      <c r="N367" s="599"/>
      <c r="O367" s="13">
        <f t="shared" si="95"/>
        <v>1</v>
      </c>
      <c r="P367" s="599"/>
      <c r="Q367" s="13">
        <f t="shared" si="96"/>
        <v>0</v>
      </c>
      <c r="R367" s="596">
        <f t="shared" si="101"/>
        <v>0</v>
      </c>
      <c r="S367" s="250">
        <f t="shared" si="102"/>
        <v>0</v>
      </c>
      <c r="T367" s="899">
        <f t="shared" si="103"/>
        <v>0</v>
      </c>
      <c r="U367" s="2988">
        <f t="shared" si="97"/>
        <v>0</v>
      </c>
      <c r="V367" s="2988">
        <f t="shared" si="98"/>
        <v>0</v>
      </c>
      <c r="W367" s="996"/>
      <c r="X367" s="2988">
        <f t="shared" si="99"/>
        <v>0</v>
      </c>
      <c r="Y367" s="2988">
        <f t="shared" si="100"/>
        <v>0</v>
      </c>
      <c r="Z367" s="996"/>
    </row>
    <row r="368" spans="1:26">
      <c r="A368" s="35"/>
      <c r="B368" s="20"/>
      <c r="C368" s="13">
        <f t="shared" si="89"/>
        <v>1</v>
      </c>
      <c r="D368" s="599"/>
      <c r="E368" s="13">
        <f t="shared" si="90"/>
        <v>1</v>
      </c>
      <c r="F368" s="599"/>
      <c r="G368" s="13">
        <f t="shared" si="91"/>
        <v>1</v>
      </c>
      <c r="H368" s="599"/>
      <c r="I368" s="13">
        <f t="shared" si="92"/>
        <v>1</v>
      </c>
      <c r="J368" s="599"/>
      <c r="K368" s="13">
        <f t="shared" si="93"/>
        <v>1</v>
      </c>
      <c r="L368" s="599"/>
      <c r="M368" s="13">
        <f t="shared" si="94"/>
        <v>1</v>
      </c>
      <c r="N368" s="599"/>
      <c r="O368" s="13">
        <f t="shared" si="95"/>
        <v>1</v>
      </c>
      <c r="P368" s="599"/>
      <c r="Q368" s="13">
        <f t="shared" si="96"/>
        <v>0</v>
      </c>
      <c r="R368" s="596">
        <f t="shared" si="101"/>
        <v>0</v>
      </c>
      <c r="S368" s="250">
        <f t="shared" si="102"/>
        <v>0</v>
      </c>
      <c r="T368" s="899">
        <f t="shared" si="103"/>
        <v>0</v>
      </c>
      <c r="U368" s="2988">
        <f t="shared" si="97"/>
        <v>0</v>
      </c>
      <c r="V368" s="2988">
        <f t="shared" si="98"/>
        <v>0</v>
      </c>
      <c r="W368" s="996"/>
      <c r="X368" s="2988">
        <f t="shared" si="99"/>
        <v>0</v>
      </c>
      <c r="Y368" s="2988">
        <f t="shared" si="100"/>
        <v>0</v>
      </c>
      <c r="Z368" s="996"/>
    </row>
    <row r="369" spans="1:26">
      <c r="A369" s="35"/>
      <c r="B369" s="20"/>
      <c r="C369" s="13">
        <f t="shared" si="89"/>
        <v>1</v>
      </c>
      <c r="D369" s="599"/>
      <c r="E369" s="13">
        <f t="shared" si="90"/>
        <v>1</v>
      </c>
      <c r="F369" s="599"/>
      <c r="G369" s="13">
        <f t="shared" si="91"/>
        <v>1</v>
      </c>
      <c r="H369" s="599"/>
      <c r="I369" s="13">
        <f t="shared" si="92"/>
        <v>1</v>
      </c>
      <c r="J369" s="599"/>
      <c r="K369" s="13">
        <f t="shared" si="93"/>
        <v>1</v>
      </c>
      <c r="L369" s="599"/>
      <c r="M369" s="13">
        <f t="shared" si="94"/>
        <v>1</v>
      </c>
      <c r="N369" s="599"/>
      <c r="O369" s="13">
        <f t="shared" si="95"/>
        <v>1</v>
      </c>
      <c r="P369" s="599"/>
      <c r="Q369" s="13">
        <f t="shared" si="96"/>
        <v>0</v>
      </c>
      <c r="R369" s="596">
        <f t="shared" si="101"/>
        <v>0</v>
      </c>
      <c r="S369" s="250">
        <f t="shared" si="102"/>
        <v>0</v>
      </c>
      <c r="T369" s="899">
        <f t="shared" si="103"/>
        <v>0</v>
      </c>
      <c r="U369" s="2988">
        <f t="shared" si="97"/>
        <v>0</v>
      </c>
      <c r="V369" s="2988">
        <f t="shared" si="98"/>
        <v>0</v>
      </c>
      <c r="W369" s="996"/>
      <c r="X369" s="2988">
        <f t="shared" si="99"/>
        <v>0</v>
      </c>
      <c r="Y369" s="2988">
        <f t="shared" si="100"/>
        <v>0</v>
      </c>
      <c r="Z369" s="996"/>
    </row>
    <row r="370" spans="1:26">
      <c r="A370" s="35"/>
      <c r="B370" s="20"/>
      <c r="C370" s="13">
        <f t="shared" si="89"/>
        <v>1</v>
      </c>
      <c r="D370" s="599"/>
      <c r="E370" s="13">
        <f t="shared" si="90"/>
        <v>1</v>
      </c>
      <c r="F370" s="599"/>
      <c r="G370" s="13">
        <f t="shared" si="91"/>
        <v>1</v>
      </c>
      <c r="H370" s="599"/>
      <c r="I370" s="13">
        <f t="shared" si="92"/>
        <v>1</v>
      </c>
      <c r="J370" s="599"/>
      <c r="K370" s="13">
        <f t="shared" si="93"/>
        <v>1</v>
      </c>
      <c r="L370" s="599"/>
      <c r="M370" s="13">
        <f t="shared" si="94"/>
        <v>1</v>
      </c>
      <c r="N370" s="599"/>
      <c r="O370" s="13">
        <f t="shared" si="95"/>
        <v>1</v>
      </c>
      <c r="P370" s="599"/>
      <c r="Q370" s="13">
        <f t="shared" si="96"/>
        <v>0</v>
      </c>
      <c r="R370" s="596">
        <f t="shared" si="101"/>
        <v>0</v>
      </c>
      <c r="S370" s="250">
        <f t="shared" si="102"/>
        <v>0</v>
      </c>
      <c r="T370" s="899">
        <f t="shared" si="103"/>
        <v>0</v>
      </c>
      <c r="U370" s="2988">
        <f t="shared" si="97"/>
        <v>0</v>
      </c>
      <c r="V370" s="2988">
        <f t="shared" si="98"/>
        <v>0</v>
      </c>
      <c r="W370" s="996"/>
      <c r="X370" s="2988">
        <f t="shared" si="99"/>
        <v>0</v>
      </c>
      <c r="Y370" s="2988">
        <f t="shared" si="100"/>
        <v>0</v>
      </c>
      <c r="Z370" s="996"/>
    </row>
    <row r="371" spans="1:26">
      <c r="A371" s="35"/>
      <c r="B371" s="20"/>
      <c r="C371" s="13">
        <f t="shared" si="89"/>
        <v>1</v>
      </c>
      <c r="D371" s="599"/>
      <c r="E371" s="13">
        <f t="shared" si="90"/>
        <v>1</v>
      </c>
      <c r="F371" s="599"/>
      <c r="G371" s="13">
        <f t="shared" si="91"/>
        <v>1</v>
      </c>
      <c r="H371" s="599"/>
      <c r="I371" s="13">
        <f t="shared" si="92"/>
        <v>1</v>
      </c>
      <c r="J371" s="599"/>
      <c r="K371" s="13">
        <f t="shared" si="93"/>
        <v>1</v>
      </c>
      <c r="L371" s="599"/>
      <c r="M371" s="13">
        <f t="shared" si="94"/>
        <v>1</v>
      </c>
      <c r="N371" s="599"/>
      <c r="O371" s="13">
        <f t="shared" si="95"/>
        <v>1</v>
      </c>
      <c r="P371" s="599"/>
      <c r="Q371" s="13">
        <f t="shared" si="96"/>
        <v>0</v>
      </c>
      <c r="R371" s="596">
        <f t="shared" si="101"/>
        <v>0</v>
      </c>
      <c r="S371" s="250">
        <f t="shared" si="102"/>
        <v>0</v>
      </c>
      <c r="T371" s="899">
        <f t="shared" si="103"/>
        <v>0</v>
      </c>
      <c r="U371" s="2988">
        <f t="shared" si="97"/>
        <v>0</v>
      </c>
      <c r="V371" s="2988">
        <f t="shared" si="98"/>
        <v>0</v>
      </c>
      <c r="W371" s="996"/>
      <c r="X371" s="2988">
        <f t="shared" si="99"/>
        <v>0</v>
      </c>
      <c r="Y371" s="2988">
        <f t="shared" si="100"/>
        <v>0</v>
      </c>
      <c r="Z371" s="996"/>
    </row>
    <row r="372" spans="1:26">
      <c r="A372" s="35"/>
      <c r="B372" s="20"/>
      <c r="C372" s="13">
        <f t="shared" si="89"/>
        <v>1</v>
      </c>
      <c r="D372" s="599"/>
      <c r="E372" s="13">
        <f t="shared" si="90"/>
        <v>1</v>
      </c>
      <c r="F372" s="599"/>
      <c r="G372" s="13">
        <f t="shared" si="91"/>
        <v>1</v>
      </c>
      <c r="H372" s="599"/>
      <c r="I372" s="13">
        <f t="shared" si="92"/>
        <v>1</v>
      </c>
      <c r="J372" s="599"/>
      <c r="K372" s="13">
        <f t="shared" si="93"/>
        <v>1</v>
      </c>
      <c r="L372" s="599"/>
      <c r="M372" s="13">
        <f t="shared" si="94"/>
        <v>1</v>
      </c>
      <c r="N372" s="599"/>
      <c r="O372" s="13">
        <f t="shared" si="95"/>
        <v>1</v>
      </c>
      <c r="P372" s="599"/>
      <c r="Q372" s="13">
        <f t="shared" si="96"/>
        <v>0</v>
      </c>
      <c r="R372" s="596">
        <f t="shared" si="101"/>
        <v>0</v>
      </c>
      <c r="S372" s="250">
        <f t="shared" si="102"/>
        <v>0</v>
      </c>
      <c r="T372" s="899">
        <f t="shared" si="103"/>
        <v>0</v>
      </c>
      <c r="U372" s="2988">
        <f t="shared" si="97"/>
        <v>0</v>
      </c>
      <c r="V372" s="2988">
        <f t="shared" si="98"/>
        <v>0</v>
      </c>
      <c r="W372" s="996"/>
      <c r="X372" s="2988">
        <f t="shared" si="99"/>
        <v>0</v>
      </c>
      <c r="Y372" s="2988">
        <f t="shared" si="100"/>
        <v>0</v>
      </c>
      <c r="Z372" s="996"/>
    </row>
    <row r="373" spans="1:26">
      <c r="A373" s="35"/>
      <c r="B373" s="20"/>
      <c r="C373" s="13">
        <f t="shared" si="89"/>
        <v>1</v>
      </c>
      <c r="D373" s="599"/>
      <c r="E373" s="13">
        <f t="shared" si="90"/>
        <v>1</v>
      </c>
      <c r="F373" s="599"/>
      <c r="G373" s="13">
        <f t="shared" si="91"/>
        <v>1</v>
      </c>
      <c r="H373" s="599"/>
      <c r="I373" s="13">
        <f t="shared" si="92"/>
        <v>1</v>
      </c>
      <c r="J373" s="599"/>
      <c r="K373" s="13">
        <f t="shared" si="93"/>
        <v>1</v>
      </c>
      <c r="L373" s="599"/>
      <c r="M373" s="13">
        <f t="shared" si="94"/>
        <v>1</v>
      </c>
      <c r="N373" s="599"/>
      <c r="O373" s="13">
        <f t="shared" si="95"/>
        <v>1</v>
      </c>
      <c r="P373" s="599"/>
      <c r="Q373" s="13">
        <f t="shared" si="96"/>
        <v>0</v>
      </c>
      <c r="R373" s="596">
        <f t="shared" si="101"/>
        <v>0</v>
      </c>
      <c r="S373" s="250">
        <f t="shared" si="102"/>
        <v>0</v>
      </c>
      <c r="T373" s="899">
        <f t="shared" si="103"/>
        <v>0</v>
      </c>
      <c r="U373" s="2988">
        <f t="shared" si="97"/>
        <v>0</v>
      </c>
      <c r="V373" s="2988">
        <f t="shared" si="98"/>
        <v>0</v>
      </c>
      <c r="W373" s="996"/>
      <c r="X373" s="2988">
        <f t="shared" si="99"/>
        <v>0</v>
      </c>
      <c r="Y373" s="2988">
        <f t="shared" si="100"/>
        <v>0</v>
      </c>
      <c r="Z373" s="996"/>
    </row>
    <row r="374" spans="1:26">
      <c r="A374" s="35"/>
      <c r="B374" s="20"/>
      <c r="C374" s="13">
        <f t="shared" si="89"/>
        <v>1</v>
      </c>
      <c r="D374" s="599"/>
      <c r="E374" s="13">
        <f t="shared" si="90"/>
        <v>1</v>
      </c>
      <c r="F374" s="599"/>
      <c r="G374" s="13">
        <f t="shared" si="91"/>
        <v>1</v>
      </c>
      <c r="H374" s="599"/>
      <c r="I374" s="13">
        <f t="shared" si="92"/>
        <v>1</v>
      </c>
      <c r="J374" s="599"/>
      <c r="K374" s="13">
        <f t="shared" si="93"/>
        <v>1</v>
      </c>
      <c r="L374" s="599"/>
      <c r="M374" s="13">
        <f t="shared" si="94"/>
        <v>1</v>
      </c>
      <c r="N374" s="599"/>
      <c r="O374" s="13">
        <f t="shared" si="95"/>
        <v>1</v>
      </c>
      <c r="P374" s="599"/>
      <c r="Q374" s="13">
        <f t="shared" si="96"/>
        <v>0</v>
      </c>
      <c r="R374" s="596">
        <f t="shared" si="101"/>
        <v>0</v>
      </c>
      <c r="S374" s="250">
        <f t="shared" si="102"/>
        <v>0</v>
      </c>
      <c r="T374" s="899">
        <f t="shared" si="103"/>
        <v>0</v>
      </c>
      <c r="U374" s="2988">
        <f t="shared" si="97"/>
        <v>0</v>
      </c>
      <c r="V374" s="2988">
        <f t="shared" si="98"/>
        <v>0</v>
      </c>
      <c r="W374" s="996"/>
      <c r="X374" s="2988">
        <f t="shared" si="99"/>
        <v>0</v>
      </c>
      <c r="Y374" s="2988">
        <f t="shared" si="100"/>
        <v>0</v>
      </c>
      <c r="Z374" s="996"/>
    </row>
    <row r="375" spans="1:26">
      <c r="A375" s="35"/>
      <c r="B375" s="20"/>
      <c r="C375" s="13">
        <f t="shared" si="89"/>
        <v>1</v>
      </c>
      <c r="D375" s="599"/>
      <c r="E375" s="13">
        <f t="shared" si="90"/>
        <v>1</v>
      </c>
      <c r="F375" s="599"/>
      <c r="G375" s="13">
        <f t="shared" si="91"/>
        <v>1</v>
      </c>
      <c r="H375" s="599"/>
      <c r="I375" s="13">
        <f t="shared" si="92"/>
        <v>1</v>
      </c>
      <c r="J375" s="599"/>
      <c r="K375" s="13">
        <f t="shared" si="93"/>
        <v>1</v>
      </c>
      <c r="L375" s="599"/>
      <c r="M375" s="13">
        <f t="shared" si="94"/>
        <v>1</v>
      </c>
      <c r="N375" s="599"/>
      <c r="O375" s="13">
        <f t="shared" si="95"/>
        <v>1</v>
      </c>
      <c r="P375" s="599"/>
      <c r="Q375" s="13">
        <f t="shared" si="96"/>
        <v>0</v>
      </c>
      <c r="R375" s="596">
        <f t="shared" si="101"/>
        <v>0</v>
      </c>
      <c r="S375" s="250">
        <f t="shared" si="102"/>
        <v>0</v>
      </c>
      <c r="T375" s="899">
        <f t="shared" si="103"/>
        <v>0</v>
      </c>
      <c r="U375" s="2988">
        <f t="shared" si="97"/>
        <v>0</v>
      </c>
      <c r="V375" s="2988">
        <f t="shared" si="98"/>
        <v>0</v>
      </c>
      <c r="W375" s="996"/>
      <c r="X375" s="2988">
        <f t="shared" si="99"/>
        <v>0</v>
      </c>
      <c r="Y375" s="2988">
        <f t="shared" si="100"/>
        <v>0</v>
      </c>
      <c r="Z375" s="996"/>
    </row>
    <row r="376" spans="1:26">
      <c r="A376" s="35"/>
      <c r="B376" s="20"/>
      <c r="C376" s="13">
        <f t="shared" si="89"/>
        <v>1</v>
      </c>
      <c r="D376" s="599"/>
      <c r="E376" s="13">
        <f t="shared" si="90"/>
        <v>1</v>
      </c>
      <c r="F376" s="599"/>
      <c r="G376" s="13">
        <f t="shared" si="91"/>
        <v>1</v>
      </c>
      <c r="H376" s="599"/>
      <c r="I376" s="13">
        <f t="shared" si="92"/>
        <v>1</v>
      </c>
      <c r="J376" s="599"/>
      <c r="K376" s="13">
        <f t="shared" si="93"/>
        <v>1</v>
      </c>
      <c r="L376" s="599"/>
      <c r="M376" s="13">
        <f t="shared" si="94"/>
        <v>1</v>
      </c>
      <c r="N376" s="599"/>
      <c r="O376" s="13">
        <f t="shared" si="95"/>
        <v>1</v>
      </c>
      <c r="P376" s="599"/>
      <c r="Q376" s="13">
        <f t="shared" si="96"/>
        <v>0</v>
      </c>
      <c r="R376" s="596">
        <f t="shared" si="101"/>
        <v>0</v>
      </c>
      <c r="S376" s="250">
        <f t="shared" si="102"/>
        <v>0</v>
      </c>
      <c r="T376" s="899">
        <f t="shared" si="103"/>
        <v>0</v>
      </c>
      <c r="U376" s="2988">
        <f t="shared" si="97"/>
        <v>0</v>
      </c>
      <c r="V376" s="2988">
        <f t="shared" si="98"/>
        <v>0</v>
      </c>
      <c r="W376" s="996"/>
      <c r="X376" s="2988">
        <f t="shared" si="99"/>
        <v>0</v>
      </c>
      <c r="Y376" s="2988">
        <f t="shared" si="100"/>
        <v>0</v>
      </c>
      <c r="Z376" s="996"/>
    </row>
    <row r="377" spans="1:26">
      <c r="A377" s="35"/>
      <c r="B377" s="20"/>
      <c r="C377" s="13">
        <f t="shared" si="89"/>
        <v>1</v>
      </c>
      <c r="D377" s="599"/>
      <c r="E377" s="13">
        <f t="shared" si="90"/>
        <v>1</v>
      </c>
      <c r="F377" s="599"/>
      <c r="G377" s="13">
        <f t="shared" si="91"/>
        <v>1</v>
      </c>
      <c r="H377" s="599"/>
      <c r="I377" s="13">
        <f t="shared" si="92"/>
        <v>1</v>
      </c>
      <c r="J377" s="599"/>
      <c r="K377" s="13">
        <f t="shared" si="93"/>
        <v>1</v>
      </c>
      <c r="L377" s="599"/>
      <c r="M377" s="13">
        <f t="shared" si="94"/>
        <v>1</v>
      </c>
      <c r="N377" s="599"/>
      <c r="O377" s="13">
        <f t="shared" si="95"/>
        <v>1</v>
      </c>
      <c r="P377" s="599"/>
      <c r="Q377" s="13">
        <f t="shared" si="96"/>
        <v>0</v>
      </c>
      <c r="R377" s="596">
        <f t="shared" si="101"/>
        <v>0</v>
      </c>
      <c r="S377" s="250">
        <f t="shared" si="102"/>
        <v>0</v>
      </c>
      <c r="T377" s="899">
        <f t="shared" si="103"/>
        <v>0</v>
      </c>
      <c r="U377" s="2988">
        <f t="shared" si="97"/>
        <v>0</v>
      </c>
      <c r="V377" s="2988">
        <f t="shared" si="98"/>
        <v>0</v>
      </c>
      <c r="W377" s="996"/>
      <c r="X377" s="2988">
        <f t="shared" si="99"/>
        <v>0</v>
      </c>
      <c r="Y377" s="2988">
        <f t="shared" si="100"/>
        <v>0</v>
      </c>
      <c r="Z377" s="996"/>
    </row>
    <row r="378" spans="1:26">
      <c r="A378" s="35"/>
      <c r="B378" s="20"/>
      <c r="C378" s="13">
        <f t="shared" si="89"/>
        <v>1</v>
      </c>
      <c r="D378" s="599"/>
      <c r="E378" s="13">
        <f t="shared" si="90"/>
        <v>1</v>
      </c>
      <c r="F378" s="599"/>
      <c r="G378" s="13">
        <f t="shared" si="91"/>
        <v>1</v>
      </c>
      <c r="H378" s="599"/>
      <c r="I378" s="13">
        <f t="shared" si="92"/>
        <v>1</v>
      </c>
      <c r="J378" s="599"/>
      <c r="K378" s="13">
        <f t="shared" si="93"/>
        <v>1</v>
      </c>
      <c r="L378" s="599"/>
      <c r="M378" s="13">
        <f t="shared" si="94"/>
        <v>1</v>
      </c>
      <c r="N378" s="599"/>
      <c r="O378" s="13">
        <f t="shared" si="95"/>
        <v>1</v>
      </c>
      <c r="P378" s="599"/>
      <c r="Q378" s="13">
        <f t="shared" si="96"/>
        <v>0</v>
      </c>
      <c r="R378" s="596">
        <f t="shared" si="101"/>
        <v>0</v>
      </c>
      <c r="S378" s="250">
        <f t="shared" si="102"/>
        <v>0</v>
      </c>
      <c r="T378" s="899">
        <f t="shared" si="103"/>
        <v>0</v>
      </c>
      <c r="U378" s="2988">
        <f t="shared" si="97"/>
        <v>0</v>
      </c>
      <c r="V378" s="2988">
        <f t="shared" si="98"/>
        <v>0</v>
      </c>
      <c r="W378" s="996"/>
      <c r="X378" s="2988">
        <f t="shared" si="99"/>
        <v>0</v>
      </c>
      <c r="Y378" s="2988">
        <f t="shared" si="100"/>
        <v>0</v>
      </c>
      <c r="Z378" s="996"/>
    </row>
    <row r="379" spans="1:26">
      <c r="A379" s="35"/>
      <c r="B379" s="20"/>
      <c r="C379" s="13">
        <f t="shared" si="89"/>
        <v>1</v>
      </c>
      <c r="D379" s="599"/>
      <c r="E379" s="13">
        <f t="shared" si="90"/>
        <v>1</v>
      </c>
      <c r="F379" s="599"/>
      <c r="G379" s="13">
        <f t="shared" si="91"/>
        <v>1</v>
      </c>
      <c r="H379" s="599"/>
      <c r="I379" s="13">
        <f t="shared" si="92"/>
        <v>1</v>
      </c>
      <c r="J379" s="599"/>
      <c r="K379" s="13">
        <f t="shared" si="93"/>
        <v>1</v>
      </c>
      <c r="L379" s="599"/>
      <c r="M379" s="13">
        <f t="shared" si="94"/>
        <v>1</v>
      </c>
      <c r="N379" s="599"/>
      <c r="O379" s="13">
        <f t="shared" si="95"/>
        <v>1</v>
      </c>
      <c r="P379" s="599"/>
      <c r="Q379" s="13">
        <f t="shared" si="96"/>
        <v>0</v>
      </c>
      <c r="R379" s="596">
        <f t="shared" si="101"/>
        <v>0</v>
      </c>
      <c r="S379" s="250">
        <f t="shared" si="102"/>
        <v>0</v>
      </c>
      <c r="T379" s="899">
        <f t="shared" si="103"/>
        <v>0</v>
      </c>
      <c r="U379" s="2988">
        <f t="shared" si="97"/>
        <v>0</v>
      </c>
      <c r="V379" s="2988">
        <f t="shared" si="98"/>
        <v>0</v>
      </c>
      <c r="W379" s="996"/>
      <c r="X379" s="2988">
        <f t="shared" si="99"/>
        <v>0</v>
      </c>
      <c r="Y379" s="2988">
        <f t="shared" si="100"/>
        <v>0</v>
      </c>
      <c r="Z379" s="996"/>
    </row>
    <row r="380" spans="1:26">
      <c r="A380" s="35"/>
      <c r="B380" s="20"/>
      <c r="C380" s="13">
        <f t="shared" si="89"/>
        <v>1</v>
      </c>
      <c r="D380" s="599"/>
      <c r="E380" s="13">
        <f t="shared" si="90"/>
        <v>1</v>
      </c>
      <c r="F380" s="599"/>
      <c r="G380" s="13">
        <f t="shared" si="91"/>
        <v>1</v>
      </c>
      <c r="H380" s="599"/>
      <c r="I380" s="13">
        <f t="shared" si="92"/>
        <v>1</v>
      </c>
      <c r="J380" s="599"/>
      <c r="K380" s="13">
        <f t="shared" si="93"/>
        <v>1</v>
      </c>
      <c r="L380" s="599"/>
      <c r="M380" s="13">
        <f t="shared" si="94"/>
        <v>1</v>
      </c>
      <c r="N380" s="599"/>
      <c r="O380" s="13">
        <f t="shared" si="95"/>
        <v>1</v>
      </c>
      <c r="P380" s="599"/>
      <c r="Q380" s="13">
        <f t="shared" si="96"/>
        <v>0</v>
      </c>
      <c r="R380" s="596">
        <f t="shared" si="101"/>
        <v>0</v>
      </c>
      <c r="S380" s="250">
        <f t="shared" si="102"/>
        <v>0</v>
      </c>
      <c r="T380" s="899">
        <f t="shared" si="103"/>
        <v>0</v>
      </c>
      <c r="U380" s="2988">
        <f t="shared" si="97"/>
        <v>0</v>
      </c>
      <c r="V380" s="2988">
        <f t="shared" si="98"/>
        <v>0</v>
      </c>
      <c r="W380" s="996"/>
      <c r="X380" s="2988">
        <f t="shared" si="99"/>
        <v>0</v>
      </c>
      <c r="Y380" s="2988">
        <f t="shared" si="100"/>
        <v>0</v>
      </c>
      <c r="Z380" s="996"/>
    </row>
    <row r="381" spans="1:26">
      <c r="A381" s="35"/>
      <c r="B381" s="20"/>
      <c r="C381" s="13">
        <f t="shared" si="89"/>
        <v>1</v>
      </c>
      <c r="D381" s="599"/>
      <c r="E381" s="13">
        <f t="shared" si="90"/>
        <v>1</v>
      </c>
      <c r="F381" s="599"/>
      <c r="G381" s="13">
        <f t="shared" si="91"/>
        <v>1</v>
      </c>
      <c r="H381" s="599"/>
      <c r="I381" s="13">
        <f t="shared" si="92"/>
        <v>1</v>
      </c>
      <c r="J381" s="599"/>
      <c r="K381" s="13">
        <f t="shared" si="93"/>
        <v>1</v>
      </c>
      <c r="L381" s="599"/>
      <c r="M381" s="13">
        <f t="shared" si="94"/>
        <v>1</v>
      </c>
      <c r="N381" s="599"/>
      <c r="O381" s="13">
        <f t="shared" si="95"/>
        <v>1</v>
      </c>
      <c r="P381" s="599"/>
      <c r="Q381" s="13">
        <f t="shared" si="96"/>
        <v>0</v>
      </c>
      <c r="R381" s="596">
        <f t="shared" si="101"/>
        <v>0</v>
      </c>
      <c r="S381" s="250">
        <f t="shared" si="102"/>
        <v>0</v>
      </c>
      <c r="T381" s="899">
        <f t="shared" si="103"/>
        <v>0</v>
      </c>
      <c r="U381" s="2988">
        <f t="shared" si="97"/>
        <v>0</v>
      </c>
      <c r="V381" s="2988">
        <f t="shared" si="98"/>
        <v>0</v>
      </c>
      <c r="W381" s="996"/>
      <c r="X381" s="2988">
        <f t="shared" si="99"/>
        <v>0</v>
      </c>
      <c r="Y381" s="2988">
        <f t="shared" si="100"/>
        <v>0</v>
      </c>
      <c r="Z381" s="996"/>
    </row>
    <row r="382" spans="1:26">
      <c r="A382" s="35"/>
      <c r="B382" s="20"/>
      <c r="C382" s="13">
        <f t="shared" si="89"/>
        <v>1</v>
      </c>
      <c r="D382" s="599"/>
      <c r="E382" s="13">
        <f t="shared" si="90"/>
        <v>1</v>
      </c>
      <c r="F382" s="599"/>
      <c r="G382" s="13">
        <f t="shared" si="91"/>
        <v>1</v>
      </c>
      <c r="H382" s="599"/>
      <c r="I382" s="13">
        <f t="shared" si="92"/>
        <v>1</v>
      </c>
      <c r="J382" s="599"/>
      <c r="K382" s="13">
        <f t="shared" si="93"/>
        <v>1</v>
      </c>
      <c r="L382" s="599"/>
      <c r="M382" s="13">
        <f t="shared" si="94"/>
        <v>1</v>
      </c>
      <c r="N382" s="599"/>
      <c r="O382" s="13">
        <f t="shared" si="95"/>
        <v>1</v>
      </c>
      <c r="P382" s="599"/>
      <c r="Q382" s="13">
        <f t="shared" si="96"/>
        <v>0</v>
      </c>
      <c r="R382" s="596">
        <f t="shared" si="101"/>
        <v>0</v>
      </c>
      <c r="S382" s="250">
        <f t="shared" si="102"/>
        <v>0</v>
      </c>
      <c r="T382" s="899">
        <f t="shared" si="103"/>
        <v>0</v>
      </c>
      <c r="U382" s="2988">
        <f t="shared" si="97"/>
        <v>0</v>
      </c>
      <c r="V382" s="2988">
        <f t="shared" si="98"/>
        <v>0</v>
      </c>
      <c r="W382" s="996"/>
      <c r="X382" s="2988">
        <f t="shared" si="99"/>
        <v>0</v>
      </c>
      <c r="Y382" s="2988">
        <f t="shared" si="100"/>
        <v>0</v>
      </c>
      <c r="Z382" s="996"/>
    </row>
    <row r="383" spans="1:26">
      <c r="A383" s="35"/>
      <c r="B383" s="20"/>
      <c r="C383" s="13">
        <f t="shared" si="89"/>
        <v>1</v>
      </c>
      <c r="D383" s="599"/>
      <c r="E383" s="13">
        <f t="shared" si="90"/>
        <v>1</v>
      </c>
      <c r="F383" s="599"/>
      <c r="G383" s="13">
        <f t="shared" si="91"/>
        <v>1</v>
      </c>
      <c r="H383" s="599"/>
      <c r="I383" s="13">
        <f t="shared" si="92"/>
        <v>1</v>
      </c>
      <c r="J383" s="599"/>
      <c r="K383" s="13">
        <f t="shared" si="93"/>
        <v>1</v>
      </c>
      <c r="L383" s="599"/>
      <c r="M383" s="13">
        <f t="shared" si="94"/>
        <v>1</v>
      </c>
      <c r="N383" s="599"/>
      <c r="O383" s="13">
        <f t="shared" si="95"/>
        <v>1</v>
      </c>
      <c r="P383" s="599"/>
      <c r="Q383" s="13">
        <f t="shared" si="96"/>
        <v>0</v>
      </c>
      <c r="R383" s="596">
        <f t="shared" si="101"/>
        <v>0</v>
      </c>
      <c r="S383" s="250">
        <f t="shared" si="102"/>
        <v>0</v>
      </c>
      <c r="T383" s="899">
        <f t="shared" si="103"/>
        <v>0</v>
      </c>
      <c r="U383" s="2988">
        <f t="shared" si="97"/>
        <v>0</v>
      </c>
      <c r="V383" s="2988">
        <f t="shared" si="98"/>
        <v>0</v>
      </c>
      <c r="W383" s="996"/>
      <c r="X383" s="2988">
        <f t="shared" si="99"/>
        <v>0</v>
      </c>
      <c r="Y383" s="2988">
        <f t="shared" si="100"/>
        <v>0</v>
      </c>
      <c r="Z383" s="996"/>
    </row>
    <row r="384" spans="1:26">
      <c r="A384" s="35"/>
      <c r="B384" s="20"/>
      <c r="C384" s="13">
        <f t="shared" si="89"/>
        <v>1</v>
      </c>
      <c r="D384" s="599"/>
      <c r="E384" s="13">
        <f t="shared" si="90"/>
        <v>1</v>
      </c>
      <c r="F384" s="599"/>
      <c r="G384" s="13">
        <f t="shared" si="91"/>
        <v>1</v>
      </c>
      <c r="H384" s="599"/>
      <c r="I384" s="13">
        <f t="shared" si="92"/>
        <v>1</v>
      </c>
      <c r="J384" s="599"/>
      <c r="K384" s="13">
        <f t="shared" si="93"/>
        <v>1</v>
      </c>
      <c r="L384" s="599"/>
      <c r="M384" s="13">
        <f t="shared" si="94"/>
        <v>1</v>
      </c>
      <c r="N384" s="599"/>
      <c r="O384" s="13">
        <f t="shared" si="95"/>
        <v>1</v>
      </c>
      <c r="P384" s="599"/>
      <c r="Q384" s="13">
        <f t="shared" si="96"/>
        <v>0</v>
      </c>
      <c r="R384" s="596">
        <f t="shared" si="101"/>
        <v>0</v>
      </c>
      <c r="S384" s="250">
        <f t="shared" si="102"/>
        <v>0</v>
      </c>
      <c r="T384" s="899">
        <f t="shared" si="103"/>
        <v>0</v>
      </c>
      <c r="U384" s="2988">
        <f t="shared" si="97"/>
        <v>0</v>
      </c>
      <c r="V384" s="2988">
        <f t="shared" si="98"/>
        <v>0</v>
      </c>
      <c r="W384" s="996"/>
      <c r="X384" s="2988">
        <f t="shared" si="99"/>
        <v>0</v>
      </c>
      <c r="Y384" s="2988">
        <f t="shared" si="100"/>
        <v>0</v>
      </c>
      <c r="Z384" s="996"/>
    </row>
    <row r="385" spans="1:26">
      <c r="A385" s="35"/>
      <c r="B385" s="20"/>
      <c r="C385" s="13">
        <f t="shared" si="89"/>
        <v>1</v>
      </c>
      <c r="D385" s="599"/>
      <c r="E385" s="13">
        <f t="shared" si="90"/>
        <v>1</v>
      </c>
      <c r="F385" s="599"/>
      <c r="G385" s="13">
        <f t="shared" si="91"/>
        <v>1</v>
      </c>
      <c r="H385" s="599"/>
      <c r="I385" s="13">
        <f t="shared" si="92"/>
        <v>1</v>
      </c>
      <c r="J385" s="599"/>
      <c r="K385" s="13">
        <f t="shared" si="93"/>
        <v>1</v>
      </c>
      <c r="L385" s="599"/>
      <c r="M385" s="13">
        <f t="shared" si="94"/>
        <v>1</v>
      </c>
      <c r="N385" s="599"/>
      <c r="O385" s="13">
        <f t="shared" si="95"/>
        <v>1</v>
      </c>
      <c r="P385" s="599"/>
      <c r="Q385" s="13">
        <f t="shared" si="96"/>
        <v>0</v>
      </c>
      <c r="R385" s="596">
        <f t="shared" si="101"/>
        <v>0</v>
      </c>
      <c r="S385" s="250">
        <f t="shared" si="102"/>
        <v>0</v>
      </c>
      <c r="T385" s="899">
        <f t="shared" si="103"/>
        <v>0</v>
      </c>
      <c r="U385" s="2988">
        <f t="shared" si="97"/>
        <v>0</v>
      </c>
      <c r="V385" s="2988">
        <f t="shared" si="98"/>
        <v>0</v>
      </c>
      <c r="W385" s="996"/>
      <c r="X385" s="2988">
        <f t="shared" si="99"/>
        <v>0</v>
      </c>
      <c r="Y385" s="2988">
        <f t="shared" si="100"/>
        <v>0</v>
      </c>
      <c r="Z385" s="996"/>
    </row>
    <row r="386" spans="1:26">
      <c r="A386" s="35"/>
      <c r="B386" s="20"/>
      <c r="C386" s="13">
        <f t="shared" si="89"/>
        <v>1</v>
      </c>
      <c r="D386" s="599"/>
      <c r="E386" s="13">
        <f t="shared" si="90"/>
        <v>1</v>
      </c>
      <c r="F386" s="599"/>
      <c r="G386" s="13">
        <f t="shared" si="91"/>
        <v>1</v>
      </c>
      <c r="H386" s="599"/>
      <c r="I386" s="13">
        <f t="shared" si="92"/>
        <v>1</v>
      </c>
      <c r="J386" s="599"/>
      <c r="K386" s="13">
        <f t="shared" si="93"/>
        <v>1</v>
      </c>
      <c r="L386" s="599"/>
      <c r="M386" s="13">
        <f t="shared" si="94"/>
        <v>1</v>
      </c>
      <c r="N386" s="599"/>
      <c r="O386" s="13">
        <f t="shared" si="95"/>
        <v>1</v>
      </c>
      <c r="P386" s="599"/>
      <c r="Q386" s="13">
        <f t="shared" si="96"/>
        <v>0</v>
      </c>
      <c r="R386" s="596">
        <f t="shared" si="101"/>
        <v>0</v>
      </c>
      <c r="S386" s="250">
        <f t="shared" si="102"/>
        <v>0</v>
      </c>
      <c r="T386" s="899">
        <f t="shared" si="103"/>
        <v>0</v>
      </c>
      <c r="U386" s="2988">
        <f t="shared" si="97"/>
        <v>0</v>
      </c>
      <c r="V386" s="2988">
        <f t="shared" si="98"/>
        <v>0</v>
      </c>
      <c r="W386" s="996"/>
      <c r="X386" s="2988">
        <f t="shared" si="99"/>
        <v>0</v>
      </c>
      <c r="Y386" s="2988">
        <f t="shared" si="100"/>
        <v>0</v>
      </c>
      <c r="Z386" s="996"/>
    </row>
    <row r="387" spans="1:26">
      <c r="A387" s="35"/>
      <c r="B387" s="20"/>
      <c r="C387" s="13">
        <f t="shared" si="89"/>
        <v>1</v>
      </c>
      <c r="D387" s="599"/>
      <c r="E387" s="13">
        <f t="shared" si="90"/>
        <v>1</v>
      </c>
      <c r="F387" s="599"/>
      <c r="G387" s="13">
        <f t="shared" si="91"/>
        <v>1</v>
      </c>
      <c r="H387" s="599"/>
      <c r="I387" s="13">
        <f t="shared" si="92"/>
        <v>1</v>
      </c>
      <c r="J387" s="599"/>
      <c r="K387" s="13">
        <f t="shared" si="93"/>
        <v>1</v>
      </c>
      <c r="L387" s="599"/>
      <c r="M387" s="13">
        <f t="shared" si="94"/>
        <v>1</v>
      </c>
      <c r="N387" s="599"/>
      <c r="O387" s="13">
        <f t="shared" si="95"/>
        <v>1</v>
      </c>
      <c r="P387" s="599"/>
      <c r="Q387" s="13">
        <f t="shared" si="96"/>
        <v>0</v>
      </c>
      <c r="R387" s="596">
        <f t="shared" si="101"/>
        <v>0</v>
      </c>
      <c r="S387" s="250">
        <f t="shared" si="102"/>
        <v>0</v>
      </c>
      <c r="T387" s="899">
        <f t="shared" si="103"/>
        <v>0</v>
      </c>
      <c r="U387" s="2988">
        <f t="shared" si="97"/>
        <v>0</v>
      </c>
      <c r="V387" s="2988">
        <f t="shared" si="98"/>
        <v>0</v>
      </c>
      <c r="W387" s="996"/>
      <c r="X387" s="2988">
        <f t="shared" si="99"/>
        <v>0</v>
      </c>
      <c r="Y387" s="2988">
        <f t="shared" si="100"/>
        <v>0</v>
      </c>
      <c r="Z387" s="996"/>
    </row>
    <row r="388" spans="1:26">
      <c r="A388" s="35"/>
      <c r="B388" s="20"/>
      <c r="C388" s="13">
        <f t="shared" si="89"/>
        <v>1</v>
      </c>
      <c r="D388" s="599"/>
      <c r="E388" s="13">
        <f t="shared" si="90"/>
        <v>1</v>
      </c>
      <c r="F388" s="599"/>
      <c r="G388" s="13">
        <f t="shared" si="91"/>
        <v>1</v>
      </c>
      <c r="H388" s="599"/>
      <c r="I388" s="13">
        <f t="shared" si="92"/>
        <v>1</v>
      </c>
      <c r="J388" s="599"/>
      <c r="K388" s="13">
        <f t="shared" si="93"/>
        <v>1</v>
      </c>
      <c r="L388" s="599"/>
      <c r="M388" s="13">
        <f t="shared" si="94"/>
        <v>1</v>
      </c>
      <c r="N388" s="599"/>
      <c r="O388" s="13">
        <f t="shared" si="95"/>
        <v>1</v>
      </c>
      <c r="P388" s="599"/>
      <c r="Q388" s="13">
        <f t="shared" si="96"/>
        <v>0</v>
      </c>
      <c r="R388" s="596">
        <f t="shared" si="101"/>
        <v>0</v>
      </c>
      <c r="S388" s="250">
        <f t="shared" si="102"/>
        <v>0</v>
      </c>
      <c r="T388" s="899">
        <f t="shared" si="103"/>
        <v>0</v>
      </c>
      <c r="U388" s="2988">
        <f t="shared" si="97"/>
        <v>0</v>
      </c>
      <c r="V388" s="2988">
        <f t="shared" si="98"/>
        <v>0</v>
      </c>
      <c r="W388" s="996"/>
      <c r="X388" s="2988">
        <f t="shared" si="99"/>
        <v>0</v>
      </c>
      <c r="Y388" s="2988">
        <f t="shared" si="100"/>
        <v>0</v>
      </c>
      <c r="Z388" s="996"/>
    </row>
    <row r="389" spans="1:26">
      <c r="A389" s="35"/>
      <c r="B389" s="20"/>
      <c r="C389" s="13">
        <f t="shared" si="89"/>
        <v>1</v>
      </c>
      <c r="D389" s="599"/>
      <c r="E389" s="13">
        <f t="shared" si="90"/>
        <v>1</v>
      </c>
      <c r="F389" s="599"/>
      <c r="G389" s="13">
        <f t="shared" si="91"/>
        <v>1</v>
      </c>
      <c r="H389" s="599"/>
      <c r="I389" s="13">
        <f t="shared" si="92"/>
        <v>1</v>
      </c>
      <c r="J389" s="599"/>
      <c r="K389" s="13">
        <f t="shared" si="93"/>
        <v>1</v>
      </c>
      <c r="L389" s="599"/>
      <c r="M389" s="13">
        <f t="shared" si="94"/>
        <v>1</v>
      </c>
      <c r="N389" s="599"/>
      <c r="O389" s="13">
        <f t="shared" si="95"/>
        <v>1</v>
      </c>
      <c r="P389" s="599"/>
      <c r="Q389" s="13">
        <f t="shared" si="96"/>
        <v>0</v>
      </c>
      <c r="R389" s="596">
        <f t="shared" si="101"/>
        <v>0</v>
      </c>
      <c r="S389" s="250">
        <f t="shared" si="102"/>
        <v>0</v>
      </c>
      <c r="T389" s="899">
        <f t="shared" si="103"/>
        <v>0</v>
      </c>
      <c r="U389" s="2988">
        <f t="shared" si="97"/>
        <v>0</v>
      </c>
      <c r="V389" s="2988">
        <f t="shared" si="98"/>
        <v>0</v>
      </c>
      <c r="W389" s="996"/>
      <c r="X389" s="2988">
        <f t="shared" si="99"/>
        <v>0</v>
      </c>
      <c r="Y389" s="2988">
        <f t="shared" si="100"/>
        <v>0</v>
      </c>
      <c r="Z389" s="996"/>
    </row>
    <row r="390" spans="1:26">
      <c r="A390" s="35"/>
      <c r="B390" s="20"/>
      <c r="C390" s="13">
        <f t="shared" si="89"/>
        <v>1</v>
      </c>
      <c r="D390" s="599"/>
      <c r="E390" s="13">
        <f t="shared" si="90"/>
        <v>1</v>
      </c>
      <c r="F390" s="599"/>
      <c r="G390" s="13">
        <f t="shared" si="91"/>
        <v>1</v>
      </c>
      <c r="H390" s="599"/>
      <c r="I390" s="13">
        <f t="shared" si="92"/>
        <v>1</v>
      </c>
      <c r="J390" s="599"/>
      <c r="K390" s="13">
        <f t="shared" si="93"/>
        <v>1</v>
      </c>
      <c r="L390" s="599"/>
      <c r="M390" s="13">
        <f t="shared" si="94"/>
        <v>1</v>
      </c>
      <c r="N390" s="599"/>
      <c r="O390" s="13">
        <f t="shared" si="95"/>
        <v>1</v>
      </c>
      <c r="P390" s="599"/>
      <c r="Q390" s="13">
        <f t="shared" si="96"/>
        <v>0</v>
      </c>
      <c r="R390" s="596">
        <f t="shared" si="101"/>
        <v>0</v>
      </c>
      <c r="S390" s="250">
        <f t="shared" si="102"/>
        <v>0</v>
      </c>
      <c r="T390" s="899">
        <f t="shared" si="103"/>
        <v>0</v>
      </c>
      <c r="U390" s="2988">
        <f t="shared" si="97"/>
        <v>0</v>
      </c>
      <c r="V390" s="2988">
        <f t="shared" si="98"/>
        <v>0</v>
      </c>
      <c r="W390" s="996"/>
      <c r="X390" s="2988">
        <f t="shared" si="99"/>
        <v>0</v>
      </c>
      <c r="Y390" s="2988">
        <f t="shared" si="100"/>
        <v>0</v>
      </c>
      <c r="Z390" s="996"/>
    </row>
    <row r="391" spans="1:26">
      <c r="A391" s="35"/>
      <c r="B391" s="20"/>
      <c r="C391" s="13">
        <f t="shared" si="89"/>
        <v>1</v>
      </c>
      <c r="D391" s="599"/>
      <c r="E391" s="13">
        <f t="shared" si="90"/>
        <v>1</v>
      </c>
      <c r="F391" s="599"/>
      <c r="G391" s="13">
        <f t="shared" si="91"/>
        <v>1</v>
      </c>
      <c r="H391" s="599"/>
      <c r="I391" s="13">
        <f t="shared" si="92"/>
        <v>1</v>
      </c>
      <c r="J391" s="599"/>
      <c r="K391" s="13">
        <f t="shared" si="93"/>
        <v>1</v>
      </c>
      <c r="L391" s="599"/>
      <c r="M391" s="13">
        <f t="shared" si="94"/>
        <v>1</v>
      </c>
      <c r="N391" s="599"/>
      <c r="O391" s="13">
        <f t="shared" si="95"/>
        <v>1</v>
      </c>
      <c r="P391" s="599"/>
      <c r="Q391" s="13">
        <f t="shared" si="96"/>
        <v>0</v>
      </c>
      <c r="R391" s="596">
        <f t="shared" si="101"/>
        <v>0</v>
      </c>
      <c r="S391" s="250">
        <f t="shared" si="102"/>
        <v>0</v>
      </c>
      <c r="T391" s="899">
        <f t="shared" si="103"/>
        <v>0</v>
      </c>
      <c r="U391" s="2988">
        <f t="shared" si="97"/>
        <v>0</v>
      </c>
      <c r="V391" s="2988">
        <f t="shared" si="98"/>
        <v>0</v>
      </c>
      <c r="W391" s="996"/>
      <c r="X391" s="2988">
        <f t="shared" si="99"/>
        <v>0</v>
      </c>
      <c r="Y391" s="2988">
        <f t="shared" si="100"/>
        <v>0</v>
      </c>
      <c r="Z391" s="996"/>
    </row>
    <row r="392" spans="1:26">
      <c r="A392" s="35"/>
      <c r="B392" s="20"/>
      <c r="C392" s="13">
        <f t="shared" si="89"/>
        <v>1</v>
      </c>
      <c r="D392" s="599"/>
      <c r="E392" s="13">
        <f t="shared" si="90"/>
        <v>1</v>
      </c>
      <c r="F392" s="599"/>
      <c r="G392" s="13">
        <f t="shared" si="91"/>
        <v>1</v>
      </c>
      <c r="H392" s="599"/>
      <c r="I392" s="13">
        <f t="shared" si="92"/>
        <v>1</v>
      </c>
      <c r="J392" s="599"/>
      <c r="K392" s="13">
        <f t="shared" si="93"/>
        <v>1</v>
      </c>
      <c r="L392" s="599"/>
      <c r="M392" s="13">
        <f t="shared" si="94"/>
        <v>1</v>
      </c>
      <c r="N392" s="599"/>
      <c r="O392" s="13">
        <f t="shared" si="95"/>
        <v>1</v>
      </c>
      <c r="P392" s="599"/>
      <c r="Q392" s="13">
        <f t="shared" si="96"/>
        <v>0</v>
      </c>
      <c r="R392" s="596">
        <f t="shared" si="101"/>
        <v>0</v>
      </c>
      <c r="S392" s="250">
        <f t="shared" si="102"/>
        <v>0</v>
      </c>
      <c r="T392" s="899">
        <f t="shared" si="103"/>
        <v>0</v>
      </c>
      <c r="U392" s="2988">
        <f t="shared" si="97"/>
        <v>0</v>
      </c>
      <c r="V392" s="2988">
        <f t="shared" si="98"/>
        <v>0</v>
      </c>
      <c r="W392" s="996"/>
      <c r="X392" s="2988">
        <f t="shared" si="99"/>
        <v>0</v>
      </c>
      <c r="Y392" s="2988">
        <f t="shared" si="100"/>
        <v>0</v>
      </c>
      <c r="Z392" s="996"/>
    </row>
    <row r="393" spans="1:26">
      <c r="A393" s="35"/>
      <c r="B393" s="20"/>
      <c r="C393" s="13">
        <f t="shared" si="89"/>
        <v>1</v>
      </c>
      <c r="D393" s="599"/>
      <c r="E393" s="13">
        <f t="shared" si="90"/>
        <v>1</v>
      </c>
      <c r="F393" s="599"/>
      <c r="G393" s="13">
        <f t="shared" si="91"/>
        <v>1</v>
      </c>
      <c r="H393" s="599"/>
      <c r="I393" s="13">
        <f t="shared" si="92"/>
        <v>1</v>
      </c>
      <c r="J393" s="599"/>
      <c r="K393" s="13">
        <f t="shared" si="93"/>
        <v>1</v>
      </c>
      <c r="L393" s="599"/>
      <c r="M393" s="13">
        <f t="shared" si="94"/>
        <v>1</v>
      </c>
      <c r="N393" s="599"/>
      <c r="O393" s="13">
        <f t="shared" si="95"/>
        <v>1</v>
      </c>
      <c r="P393" s="599"/>
      <c r="Q393" s="13">
        <f t="shared" si="96"/>
        <v>0</v>
      </c>
      <c r="R393" s="596">
        <f t="shared" si="101"/>
        <v>0</v>
      </c>
      <c r="S393" s="250">
        <f t="shared" si="102"/>
        <v>0</v>
      </c>
      <c r="T393" s="899">
        <f t="shared" si="103"/>
        <v>0</v>
      </c>
      <c r="U393" s="2988">
        <f t="shared" si="97"/>
        <v>0</v>
      </c>
      <c r="V393" s="2988">
        <f t="shared" si="98"/>
        <v>0</v>
      </c>
      <c r="W393" s="996"/>
      <c r="X393" s="2988">
        <f t="shared" si="99"/>
        <v>0</v>
      </c>
      <c r="Y393" s="2988">
        <f t="shared" si="100"/>
        <v>0</v>
      </c>
      <c r="Z393" s="996"/>
    </row>
    <row r="394" spans="1:26">
      <c r="A394" s="35"/>
      <c r="B394" s="20"/>
      <c r="C394" s="13">
        <f t="shared" si="89"/>
        <v>1</v>
      </c>
      <c r="D394" s="599"/>
      <c r="E394" s="13">
        <f t="shared" si="90"/>
        <v>1</v>
      </c>
      <c r="F394" s="599"/>
      <c r="G394" s="13">
        <f t="shared" si="91"/>
        <v>1</v>
      </c>
      <c r="H394" s="599"/>
      <c r="I394" s="13">
        <f t="shared" si="92"/>
        <v>1</v>
      </c>
      <c r="J394" s="599"/>
      <c r="K394" s="13">
        <f t="shared" si="93"/>
        <v>1</v>
      </c>
      <c r="L394" s="599"/>
      <c r="M394" s="13">
        <f t="shared" si="94"/>
        <v>1</v>
      </c>
      <c r="N394" s="599"/>
      <c r="O394" s="13">
        <f t="shared" si="95"/>
        <v>1</v>
      </c>
      <c r="P394" s="599"/>
      <c r="Q394" s="13">
        <f t="shared" si="96"/>
        <v>0</v>
      </c>
      <c r="R394" s="596">
        <f t="shared" si="101"/>
        <v>0</v>
      </c>
      <c r="S394" s="250">
        <f t="shared" si="102"/>
        <v>0</v>
      </c>
      <c r="T394" s="899">
        <f t="shared" si="103"/>
        <v>0</v>
      </c>
      <c r="U394" s="2988">
        <f t="shared" si="97"/>
        <v>0</v>
      </c>
      <c r="V394" s="2988">
        <f t="shared" si="98"/>
        <v>0</v>
      </c>
      <c r="W394" s="996"/>
      <c r="X394" s="2988">
        <f t="shared" si="99"/>
        <v>0</v>
      </c>
      <c r="Y394" s="2988">
        <f t="shared" si="100"/>
        <v>0</v>
      </c>
      <c r="Z394" s="996"/>
    </row>
    <row r="395" spans="1:26">
      <c r="A395" s="35"/>
      <c r="B395" s="20"/>
      <c r="C395" s="13">
        <f t="shared" si="89"/>
        <v>1</v>
      </c>
      <c r="D395" s="599"/>
      <c r="E395" s="13">
        <f t="shared" si="90"/>
        <v>1</v>
      </c>
      <c r="F395" s="599"/>
      <c r="G395" s="13">
        <f t="shared" si="91"/>
        <v>1</v>
      </c>
      <c r="H395" s="599"/>
      <c r="I395" s="13">
        <f t="shared" si="92"/>
        <v>1</v>
      </c>
      <c r="J395" s="599"/>
      <c r="K395" s="13">
        <f t="shared" si="93"/>
        <v>1</v>
      </c>
      <c r="L395" s="599"/>
      <c r="M395" s="13">
        <f t="shared" si="94"/>
        <v>1</v>
      </c>
      <c r="N395" s="599"/>
      <c r="O395" s="13">
        <f t="shared" si="95"/>
        <v>1</v>
      </c>
      <c r="P395" s="599"/>
      <c r="Q395" s="13">
        <f t="shared" si="96"/>
        <v>0</v>
      </c>
      <c r="R395" s="596">
        <f t="shared" si="101"/>
        <v>0</v>
      </c>
      <c r="S395" s="250">
        <f t="shared" si="102"/>
        <v>0</v>
      </c>
      <c r="T395" s="899">
        <f t="shared" si="103"/>
        <v>0</v>
      </c>
      <c r="U395" s="2988">
        <f t="shared" si="97"/>
        <v>0</v>
      </c>
      <c r="V395" s="2988">
        <f t="shared" si="98"/>
        <v>0</v>
      </c>
      <c r="W395" s="996"/>
      <c r="X395" s="2988">
        <f t="shared" si="99"/>
        <v>0</v>
      </c>
      <c r="Y395" s="2988">
        <f t="shared" si="100"/>
        <v>0</v>
      </c>
      <c r="Z395" s="996"/>
    </row>
    <row r="396" spans="1:26">
      <c r="A396" s="35"/>
      <c r="B396" s="20"/>
      <c r="C396" s="13">
        <f t="shared" si="89"/>
        <v>1</v>
      </c>
      <c r="D396" s="599"/>
      <c r="E396" s="13">
        <f t="shared" si="90"/>
        <v>1</v>
      </c>
      <c r="F396" s="599"/>
      <c r="G396" s="13">
        <f t="shared" si="91"/>
        <v>1</v>
      </c>
      <c r="H396" s="599"/>
      <c r="I396" s="13">
        <f t="shared" si="92"/>
        <v>1</v>
      </c>
      <c r="J396" s="599"/>
      <c r="K396" s="13">
        <f t="shared" si="93"/>
        <v>1</v>
      </c>
      <c r="L396" s="599"/>
      <c r="M396" s="13">
        <f t="shared" si="94"/>
        <v>1</v>
      </c>
      <c r="N396" s="599"/>
      <c r="O396" s="13">
        <f t="shared" si="95"/>
        <v>1</v>
      </c>
      <c r="P396" s="599"/>
      <c r="Q396" s="13">
        <f t="shared" si="96"/>
        <v>0</v>
      </c>
      <c r="R396" s="596">
        <f t="shared" si="101"/>
        <v>0</v>
      </c>
      <c r="S396" s="250">
        <f t="shared" si="102"/>
        <v>0</v>
      </c>
      <c r="T396" s="899">
        <f t="shared" si="103"/>
        <v>0</v>
      </c>
      <c r="U396" s="2988">
        <f t="shared" si="97"/>
        <v>0</v>
      </c>
      <c r="V396" s="2988">
        <f t="shared" si="98"/>
        <v>0</v>
      </c>
      <c r="W396" s="996"/>
      <c r="X396" s="2988">
        <f t="shared" si="99"/>
        <v>0</v>
      </c>
      <c r="Y396" s="2988">
        <f t="shared" si="100"/>
        <v>0</v>
      </c>
      <c r="Z396" s="996"/>
    </row>
    <row r="397" spans="1:26">
      <c r="A397" s="35"/>
      <c r="B397" s="20"/>
      <c r="C397" s="13">
        <f t="shared" si="89"/>
        <v>1</v>
      </c>
      <c r="D397" s="599"/>
      <c r="E397" s="13">
        <f t="shared" si="90"/>
        <v>1</v>
      </c>
      <c r="F397" s="599"/>
      <c r="G397" s="13">
        <f t="shared" si="91"/>
        <v>1</v>
      </c>
      <c r="H397" s="599"/>
      <c r="I397" s="13">
        <f t="shared" si="92"/>
        <v>1</v>
      </c>
      <c r="J397" s="599"/>
      <c r="K397" s="13">
        <f t="shared" si="93"/>
        <v>1</v>
      </c>
      <c r="L397" s="599"/>
      <c r="M397" s="13">
        <f t="shared" si="94"/>
        <v>1</v>
      </c>
      <c r="N397" s="599"/>
      <c r="O397" s="13">
        <f t="shared" si="95"/>
        <v>1</v>
      </c>
      <c r="P397" s="599"/>
      <c r="Q397" s="13">
        <f t="shared" si="96"/>
        <v>0</v>
      </c>
      <c r="R397" s="596">
        <f t="shared" si="101"/>
        <v>0</v>
      </c>
      <c r="S397" s="250">
        <f t="shared" si="102"/>
        <v>0</v>
      </c>
      <c r="T397" s="899">
        <f t="shared" si="103"/>
        <v>0</v>
      </c>
      <c r="U397" s="2988">
        <f t="shared" si="97"/>
        <v>0</v>
      </c>
      <c r="V397" s="2988">
        <f t="shared" si="98"/>
        <v>0</v>
      </c>
      <c r="W397" s="996"/>
      <c r="X397" s="2988">
        <f t="shared" si="99"/>
        <v>0</v>
      </c>
      <c r="Y397" s="2988">
        <f t="shared" si="100"/>
        <v>0</v>
      </c>
      <c r="Z397" s="996"/>
    </row>
    <row r="398" spans="1:26">
      <c r="A398" s="35"/>
      <c r="B398" s="20"/>
      <c r="C398" s="13">
        <f t="shared" si="89"/>
        <v>1</v>
      </c>
      <c r="D398" s="599"/>
      <c r="E398" s="13">
        <f t="shared" si="90"/>
        <v>1</v>
      </c>
      <c r="F398" s="599"/>
      <c r="G398" s="13">
        <f t="shared" si="91"/>
        <v>1</v>
      </c>
      <c r="H398" s="599"/>
      <c r="I398" s="13">
        <f t="shared" si="92"/>
        <v>1</v>
      </c>
      <c r="J398" s="599"/>
      <c r="K398" s="13">
        <f t="shared" si="93"/>
        <v>1</v>
      </c>
      <c r="L398" s="599"/>
      <c r="M398" s="13">
        <f t="shared" si="94"/>
        <v>1</v>
      </c>
      <c r="N398" s="599"/>
      <c r="O398" s="13">
        <f t="shared" si="95"/>
        <v>1</v>
      </c>
      <c r="P398" s="599"/>
      <c r="Q398" s="13">
        <f t="shared" si="96"/>
        <v>0</v>
      </c>
      <c r="R398" s="596">
        <f t="shared" si="101"/>
        <v>0</v>
      </c>
      <c r="S398" s="250">
        <f t="shared" si="102"/>
        <v>0</v>
      </c>
      <c r="T398" s="899">
        <f t="shared" si="103"/>
        <v>0</v>
      </c>
      <c r="U398" s="2988">
        <f t="shared" si="97"/>
        <v>0</v>
      </c>
      <c r="V398" s="2988">
        <f t="shared" si="98"/>
        <v>0</v>
      </c>
      <c r="W398" s="996"/>
      <c r="X398" s="2988">
        <f t="shared" si="99"/>
        <v>0</v>
      </c>
      <c r="Y398" s="2988">
        <f t="shared" si="100"/>
        <v>0</v>
      </c>
      <c r="Z398" s="996"/>
    </row>
    <row r="399" spans="1:26">
      <c r="A399" s="35"/>
      <c r="B399" s="20"/>
      <c r="C399" s="13">
        <f t="shared" si="89"/>
        <v>1</v>
      </c>
      <c r="D399" s="599"/>
      <c r="E399" s="13">
        <f t="shared" si="90"/>
        <v>1</v>
      </c>
      <c r="F399" s="599"/>
      <c r="G399" s="13">
        <f t="shared" si="91"/>
        <v>1</v>
      </c>
      <c r="H399" s="599"/>
      <c r="I399" s="13">
        <f t="shared" si="92"/>
        <v>1</v>
      </c>
      <c r="J399" s="599"/>
      <c r="K399" s="13">
        <f t="shared" si="93"/>
        <v>1</v>
      </c>
      <c r="L399" s="599"/>
      <c r="M399" s="13">
        <f t="shared" si="94"/>
        <v>1</v>
      </c>
      <c r="N399" s="599"/>
      <c r="O399" s="13">
        <f t="shared" si="95"/>
        <v>1</v>
      </c>
      <c r="P399" s="599"/>
      <c r="Q399" s="13">
        <f t="shared" si="96"/>
        <v>0</v>
      </c>
      <c r="R399" s="596">
        <f t="shared" si="101"/>
        <v>0</v>
      </c>
      <c r="S399" s="250">
        <f t="shared" si="102"/>
        <v>0</v>
      </c>
      <c r="T399" s="899">
        <f t="shared" si="103"/>
        <v>0</v>
      </c>
      <c r="U399" s="2988">
        <f t="shared" si="97"/>
        <v>0</v>
      </c>
      <c r="V399" s="2988">
        <f t="shared" si="98"/>
        <v>0</v>
      </c>
      <c r="W399" s="996"/>
      <c r="X399" s="2988">
        <f t="shared" si="99"/>
        <v>0</v>
      </c>
      <c r="Y399" s="2988">
        <f t="shared" si="100"/>
        <v>0</v>
      </c>
      <c r="Z399" s="996"/>
    </row>
    <row r="400" spans="1:26">
      <c r="A400" s="35"/>
      <c r="B400" s="20"/>
      <c r="C400" s="13">
        <f t="shared" si="89"/>
        <v>1</v>
      </c>
      <c r="D400" s="599"/>
      <c r="E400" s="13">
        <f t="shared" si="90"/>
        <v>1</v>
      </c>
      <c r="F400" s="599"/>
      <c r="G400" s="13">
        <f t="shared" si="91"/>
        <v>1</v>
      </c>
      <c r="H400" s="599"/>
      <c r="I400" s="13">
        <f t="shared" si="92"/>
        <v>1</v>
      </c>
      <c r="J400" s="599"/>
      <c r="K400" s="13">
        <f t="shared" si="93"/>
        <v>1</v>
      </c>
      <c r="L400" s="599"/>
      <c r="M400" s="13">
        <f t="shared" si="94"/>
        <v>1</v>
      </c>
      <c r="N400" s="599"/>
      <c r="O400" s="13">
        <f t="shared" si="95"/>
        <v>1</v>
      </c>
      <c r="P400" s="599"/>
      <c r="Q400" s="13">
        <f t="shared" si="96"/>
        <v>0</v>
      </c>
      <c r="R400" s="596">
        <f t="shared" si="101"/>
        <v>0</v>
      </c>
      <c r="S400" s="250">
        <f t="shared" si="102"/>
        <v>0</v>
      </c>
      <c r="T400" s="899">
        <f t="shared" si="103"/>
        <v>0</v>
      </c>
      <c r="U400" s="2988">
        <f t="shared" si="97"/>
        <v>0</v>
      </c>
      <c r="V400" s="2988">
        <f t="shared" si="98"/>
        <v>0</v>
      </c>
      <c r="W400" s="996"/>
      <c r="X400" s="2988">
        <f t="shared" si="99"/>
        <v>0</v>
      </c>
      <c r="Y400" s="2988">
        <f t="shared" si="100"/>
        <v>0</v>
      </c>
      <c r="Z400" s="996"/>
    </row>
    <row r="401" spans="1:26">
      <c r="A401" s="35"/>
      <c r="B401" s="20"/>
      <c r="C401" s="13">
        <f t="shared" si="89"/>
        <v>1</v>
      </c>
      <c r="D401" s="599"/>
      <c r="E401" s="13">
        <f t="shared" si="90"/>
        <v>1</v>
      </c>
      <c r="F401" s="599"/>
      <c r="G401" s="13">
        <f t="shared" si="91"/>
        <v>1</v>
      </c>
      <c r="H401" s="599"/>
      <c r="I401" s="13">
        <f t="shared" si="92"/>
        <v>1</v>
      </c>
      <c r="J401" s="599"/>
      <c r="K401" s="13">
        <f t="shared" si="93"/>
        <v>1</v>
      </c>
      <c r="L401" s="599"/>
      <c r="M401" s="13">
        <f t="shared" si="94"/>
        <v>1</v>
      </c>
      <c r="N401" s="599"/>
      <c r="O401" s="13">
        <f t="shared" si="95"/>
        <v>1</v>
      </c>
      <c r="P401" s="599"/>
      <c r="Q401" s="13">
        <f t="shared" si="96"/>
        <v>0</v>
      </c>
      <c r="R401" s="596">
        <f t="shared" si="101"/>
        <v>0</v>
      </c>
      <c r="S401" s="250">
        <f t="shared" si="102"/>
        <v>0</v>
      </c>
      <c r="T401" s="899">
        <f t="shared" si="103"/>
        <v>0</v>
      </c>
      <c r="U401" s="2988">
        <f t="shared" si="97"/>
        <v>0</v>
      </c>
      <c r="V401" s="2988">
        <f t="shared" si="98"/>
        <v>0</v>
      </c>
      <c r="W401" s="996"/>
      <c r="X401" s="2988">
        <f t="shared" si="99"/>
        <v>0</v>
      </c>
      <c r="Y401" s="2988">
        <f t="shared" si="100"/>
        <v>0</v>
      </c>
      <c r="Z401" s="996"/>
    </row>
    <row r="402" spans="1:26">
      <c r="A402" s="35"/>
      <c r="B402" s="20"/>
      <c r="C402" s="13">
        <f t="shared" si="89"/>
        <v>1</v>
      </c>
      <c r="D402" s="599"/>
      <c r="E402" s="13">
        <f t="shared" si="90"/>
        <v>1</v>
      </c>
      <c r="F402" s="599"/>
      <c r="G402" s="13">
        <f t="shared" si="91"/>
        <v>1</v>
      </c>
      <c r="H402" s="599"/>
      <c r="I402" s="13">
        <f t="shared" si="92"/>
        <v>1</v>
      </c>
      <c r="J402" s="599"/>
      <c r="K402" s="13">
        <f t="shared" si="93"/>
        <v>1</v>
      </c>
      <c r="L402" s="599"/>
      <c r="M402" s="13">
        <f t="shared" si="94"/>
        <v>1</v>
      </c>
      <c r="N402" s="599"/>
      <c r="O402" s="13">
        <f t="shared" si="95"/>
        <v>1</v>
      </c>
      <c r="P402" s="599"/>
      <c r="Q402" s="13">
        <f t="shared" si="96"/>
        <v>0</v>
      </c>
      <c r="R402" s="596">
        <f t="shared" si="101"/>
        <v>0</v>
      </c>
      <c r="S402" s="250">
        <f t="shared" si="102"/>
        <v>0</v>
      </c>
      <c r="T402" s="899">
        <f t="shared" si="103"/>
        <v>0</v>
      </c>
      <c r="U402" s="2988">
        <f t="shared" si="97"/>
        <v>0</v>
      </c>
      <c r="V402" s="2988">
        <f t="shared" si="98"/>
        <v>0</v>
      </c>
      <c r="W402" s="996"/>
      <c r="X402" s="2988">
        <f t="shared" si="99"/>
        <v>0</v>
      </c>
      <c r="Y402" s="2988">
        <f t="shared" si="100"/>
        <v>0</v>
      </c>
      <c r="Z402" s="996"/>
    </row>
    <row r="403" spans="1:26">
      <c r="A403" s="35"/>
      <c r="B403" s="20"/>
      <c r="C403" s="13">
        <f t="shared" si="89"/>
        <v>1</v>
      </c>
      <c r="D403" s="599"/>
      <c r="E403" s="13">
        <f t="shared" si="90"/>
        <v>1</v>
      </c>
      <c r="F403" s="599"/>
      <c r="G403" s="13">
        <f t="shared" si="91"/>
        <v>1</v>
      </c>
      <c r="H403" s="599"/>
      <c r="I403" s="13">
        <f t="shared" si="92"/>
        <v>1</v>
      </c>
      <c r="J403" s="599"/>
      <c r="K403" s="13">
        <f t="shared" si="93"/>
        <v>1</v>
      </c>
      <c r="L403" s="599"/>
      <c r="M403" s="13">
        <f t="shared" si="94"/>
        <v>1</v>
      </c>
      <c r="N403" s="599"/>
      <c r="O403" s="13">
        <f t="shared" si="95"/>
        <v>1</v>
      </c>
      <c r="P403" s="599"/>
      <c r="Q403" s="13">
        <f t="shared" si="96"/>
        <v>0</v>
      </c>
      <c r="R403" s="596">
        <f t="shared" si="101"/>
        <v>0</v>
      </c>
      <c r="S403" s="250">
        <f t="shared" si="102"/>
        <v>0</v>
      </c>
      <c r="T403" s="899">
        <f t="shared" si="103"/>
        <v>0</v>
      </c>
      <c r="U403" s="2988">
        <f t="shared" si="97"/>
        <v>0</v>
      </c>
      <c r="V403" s="2988">
        <f t="shared" si="98"/>
        <v>0</v>
      </c>
      <c r="W403" s="996"/>
      <c r="X403" s="2988">
        <f t="shared" si="99"/>
        <v>0</v>
      </c>
      <c r="Y403" s="2988">
        <f t="shared" si="100"/>
        <v>0</v>
      </c>
      <c r="Z403" s="996"/>
    </row>
    <row r="404" spans="1:26">
      <c r="A404" s="35"/>
      <c r="B404" s="20"/>
      <c r="C404" s="13">
        <f t="shared" si="89"/>
        <v>1</v>
      </c>
      <c r="D404" s="599"/>
      <c r="E404" s="13">
        <f t="shared" si="90"/>
        <v>1</v>
      </c>
      <c r="F404" s="599"/>
      <c r="G404" s="13">
        <f t="shared" si="91"/>
        <v>1</v>
      </c>
      <c r="H404" s="599"/>
      <c r="I404" s="13">
        <f t="shared" si="92"/>
        <v>1</v>
      </c>
      <c r="J404" s="599"/>
      <c r="K404" s="13">
        <f t="shared" si="93"/>
        <v>1</v>
      </c>
      <c r="L404" s="599"/>
      <c r="M404" s="13">
        <f t="shared" si="94"/>
        <v>1</v>
      </c>
      <c r="N404" s="599"/>
      <c r="O404" s="13">
        <f t="shared" si="95"/>
        <v>1</v>
      </c>
      <c r="P404" s="599"/>
      <c r="Q404" s="13">
        <f t="shared" si="96"/>
        <v>0</v>
      </c>
      <c r="R404" s="596">
        <f t="shared" si="101"/>
        <v>0</v>
      </c>
      <c r="S404" s="250">
        <f t="shared" si="102"/>
        <v>0</v>
      </c>
      <c r="T404" s="899">
        <f t="shared" si="103"/>
        <v>0</v>
      </c>
      <c r="U404" s="2988">
        <f t="shared" si="97"/>
        <v>0</v>
      </c>
      <c r="V404" s="2988">
        <f t="shared" si="98"/>
        <v>0</v>
      </c>
      <c r="W404" s="996"/>
      <c r="X404" s="2988">
        <f t="shared" si="99"/>
        <v>0</v>
      </c>
      <c r="Y404" s="2988">
        <f t="shared" si="100"/>
        <v>0</v>
      </c>
      <c r="Z404" s="996"/>
    </row>
    <row r="405" spans="1:26">
      <c r="A405" s="35"/>
      <c r="B405" s="20"/>
      <c r="C405" s="13">
        <f t="shared" si="89"/>
        <v>1</v>
      </c>
      <c r="D405" s="599"/>
      <c r="E405" s="13">
        <f t="shared" si="90"/>
        <v>1</v>
      </c>
      <c r="F405" s="599"/>
      <c r="G405" s="13">
        <f t="shared" si="91"/>
        <v>1</v>
      </c>
      <c r="H405" s="599"/>
      <c r="I405" s="13">
        <f t="shared" si="92"/>
        <v>1</v>
      </c>
      <c r="J405" s="599"/>
      <c r="K405" s="13">
        <f t="shared" si="93"/>
        <v>1</v>
      </c>
      <c r="L405" s="599"/>
      <c r="M405" s="13">
        <f t="shared" si="94"/>
        <v>1</v>
      </c>
      <c r="N405" s="599"/>
      <c r="O405" s="13">
        <f t="shared" si="95"/>
        <v>1</v>
      </c>
      <c r="P405" s="599"/>
      <c r="Q405" s="13">
        <f t="shared" si="96"/>
        <v>0</v>
      </c>
      <c r="R405" s="596">
        <f t="shared" si="101"/>
        <v>0</v>
      </c>
      <c r="S405" s="250">
        <f t="shared" si="102"/>
        <v>0</v>
      </c>
      <c r="T405" s="899">
        <f t="shared" si="103"/>
        <v>0</v>
      </c>
      <c r="U405" s="2988">
        <f t="shared" si="97"/>
        <v>0</v>
      </c>
      <c r="V405" s="2988">
        <f t="shared" si="98"/>
        <v>0</v>
      </c>
      <c r="W405" s="996"/>
      <c r="X405" s="2988">
        <f t="shared" si="99"/>
        <v>0</v>
      </c>
      <c r="Y405" s="2988">
        <f t="shared" si="100"/>
        <v>0</v>
      </c>
      <c r="Z405" s="996"/>
    </row>
    <row r="406" spans="1:26">
      <c r="A406" s="35"/>
      <c r="B406" s="20"/>
      <c r="C406" s="13">
        <f t="shared" si="89"/>
        <v>1</v>
      </c>
      <c r="D406" s="599"/>
      <c r="E406" s="13">
        <f t="shared" si="90"/>
        <v>1</v>
      </c>
      <c r="F406" s="599"/>
      <c r="G406" s="13">
        <f t="shared" si="91"/>
        <v>1</v>
      </c>
      <c r="H406" s="599"/>
      <c r="I406" s="13">
        <f t="shared" si="92"/>
        <v>1</v>
      </c>
      <c r="J406" s="599"/>
      <c r="K406" s="13">
        <f t="shared" si="93"/>
        <v>1</v>
      </c>
      <c r="L406" s="599"/>
      <c r="M406" s="13">
        <f t="shared" si="94"/>
        <v>1</v>
      </c>
      <c r="N406" s="599"/>
      <c r="O406" s="13">
        <f t="shared" si="95"/>
        <v>1</v>
      </c>
      <c r="P406" s="599"/>
      <c r="Q406" s="13">
        <f t="shared" si="96"/>
        <v>0</v>
      </c>
      <c r="R406" s="596">
        <f t="shared" si="101"/>
        <v>0</v>
      </c>
      <c r="S406" s="250">
        <f t="shared" si="102"/>
        <v>0</v>
      </c>
      <c r="T406" s="899">
        <f t="shared" si="103"/>
        <v>0</v>
      </c>
      <c r="U406" s="2988">
        <f t="shared" si="97"/>
        <v>0</v>
      </c>
      <c r="V406" s="2988">
        <f t="shared" si="98"/>
        <v>0</v>
      </c>
      <c r="W406" s="996"/>
      <c r="X406" s="2988">
        <f t="shared" si="99"/>
        <v>0</v>
      </c>
      <c r="Y406" s="2988">
        <f t="shared" si="100"/>
        <v>0</v>
      </c>
      <c r="Z406" s="996"/>
    </row>
    <row r="407" spans="1:26">
      <c r="A407" s="35"/>
      <c r="B407" s="20"/>
      <c r="C407" s="13">
        <f t="shared" si="89"/>
        <v>1</v>
      </c>
      <c r="D407" s="599"/>
      <c r="E407" s="13">
        <f t="shared" si="90"/>
        <v>1</v>
      </c>
      <c r="F407" s="599"/>
      <c r="G407" s="13">
        <f t="shared" si="91"/>
        <v>1</v>
      </c>
      <c r="H407" s="599"/>
      <c r="I407" s="13">
        <f t="shared" si="92"/>
        <v>1</v>
      </c>
      <c r="J407" s="599"/>
      <c r="K407" s="13">
        <f t="shared" si="93"/>
        <v>1</v>
      </c>
      <c r="L407" s="599"/>
      <c r="M407" s="13">
        <f t="shared" si="94"/>
        <v>1</v>
      </c>
      <c r="N407" s="599"/>
      <c r="O407" s="13">
        <f t="shared" si="95"/>
        <v>1</v>
      </c>
      <c r="P407" s="599"/>
      <c r="Q407" s="13">
        <f t="shared" si="96"/>
        <v>0</v>
      </c>
      <c r="R407" s="596">
        <f t="shared" si="101"/>
        <v>0</v>
      </c>
      <c r="S407" s="250">
        <f t="shared" si="102"/>
        <v>0</v>
      </c>
      <c r="T407" s="899">
        <f t="shared" si="103"/>
        <v>0</v>
      </c>
      <c r="U407" s="2988">
        <f t="shared" si="97"/>
        <v>0</v>
      </c>
      <c r="V407" s="2988">
        <f t="shared" si="98"/>
        <v>0</v>
      </c>
      <c r="W407" s="996"/>
      <c r="X407" s="2988">
        <f t="shared" si="99"/>
        <v>0</v>
      </c>
      <c r="Y407" s="2988">
        <f t="shared" si="100"/>
        <v>0</v>
      </c>
      <c r="Z407" s="996"/>
    </row>
    <row r="408" spans="1:26">
      <c r="A408" s="35"/>
      <c r="B408" s="20"/>
      <c r="C408" s="13">
        <f t="shared" si="89"/>
        <v>1</v>
      </c>
      <c r="D408" s="599"/>
      <c r="E408" s="13">
        <f t="shared" si="90"/>
        <v>1</v>
      </c>
      <c r="F408" s="599"/>
      <c r="G408" s="13">
        <f t="shared" si="91"/>
        <v>1</v>
      </c>
      <c r="H408" s="599"/>
      <c r="I408" s="13">
        <f t="shared" si="92"/>
        <v>1</v>
      </c>
      <c r="J408" s="599"/>
      <c r="K408" s="13">
        <f t="shared" si="93"/>
        <v>1</v>
      </c>
      <c r="L408" s="599"/>
      <c r="M408" s="13">
        <f t="shared" si="94"/>
        <v>1</v>
      </c>
      <c r="N408" s="599"/>
      <c r="O408" s="13">
        <f t="shared" si="95"/>
        <v>1</v>
      </c>
      <c r="P408" s="599"/>
      <c r="Q408" s="13">
        <f t="shared" si="96"/>
        <v>0</v>
      </c>
      <c r="R408" s="596">
        <f t="shared" si="101"/>
        <v>0</v>
      </c>
      <c r="S408" s="250">
        <f t="shared" si="102"/>
        <v>0</v>
      </c>
      <c r="T408" s="899">
        <f t="shared" si="103"/>
        <v>0</v>
      </c>
      <c r="U408" s="2988">
        <f t="shared" si="97"/>
        <v>0</v>
      </c>
      <c r="V408" s="2988">
        <f t="shared" si="98"/>
        <v>0</v>
      </c>
      <c r="W408" s="996"/>
      <c r="X408" s="2988">
        <f t="shared" si="99"/>
        <v>0</v>
      </c>
      <c r="Y408" s="2988">
        <f t="shared" si="100"/>
        <v>0</v>
      </c>
      <c r="Z408" s="996"/>
    </row>
    <row r="409" spans="1:26">
      <c r="A409" s="35"/>
      <c r="B409" s="20"/>
      <c r="C409" s="13">
        <f t="shared" si="89"/>
        <v>1</v>
      </c>
      <c r="D409" s="599"/>
      <c r="E409" s="13">
        <f t="shared" si="90"/>
        <v>1</v>
      </c>
      <c r="F409" s="599"/>
      <c r="G409" s="13">
        <f t="shared" si="91"/>
        <v>1</v>
      </c>
      <c r="H409" s="599"/>
      <c r="I409" s="13">
        <f t="shared" si="92"/>
        <v>1</v>
      </c>
      <c r="J409" s="599"/>
      <c r="K409" s="13">
        <f t="shared" si="93"/>
        <v>1</v>
      </c>
      <c r="L409" s="599"/>
      <c r="M409" s="13">
        <f t="shared" si="94"/>
        <v>1</v>
      </c>
      <c r="N409" s="599"/>
      <c r="O409" s="13">
        <f t="shared" si="95"/>
        <v>1</v>
      </c>
      <c r="P409" s="599"/>
      <c r="Q409" s="13">
        <f t="shared" si="96"/>
        <v>0</v>
      </c>
      <c r="R409" s="596">
        <f t="shared" si="101"/>
        <v>0</v>
      </c>
      <c r="S409" s="250">
        <f t="shared" si="102"/>
        <v>0</v>
      </c>
      <c r="T409" s="899">
        <f t="shared" si="103"/>
        <v>0</v>
      </c>
      <c r="U409" s="2988">
        <f t="shared" si="97"/>
        <v>0</v>
      </c>
      <c r="V409" s="2988">
        <f t="shared" si="98"/>
        <v>0</v>
      </c>
      <c r="W409" s="996"/>
      <c r="X409" s="2988">
        <f t="shared" si="99"/>
        <v>0</v>
      </c>
      <c r="Y409" s="2988">
        <f t="shared" si="100"/>
        <v>0</v>
      </c>
      <c r="Z409" s="996"/>
    </row>
    <row r="410" spans="1:26">
      <c r="A410" s="35"/>
      <c r="B410" s="20"/>
      <c r="C410" s="13">
        <f t="shared" si="89"/>
        <v>1</v>
      </c>
      <c r="D410" s="599"/>
      <c r="E410" s="13">
        <f t="shared" si="90"/>
        <v>1</v>
      </c>
      <c r="F410" s="599"/>
      <c r="G410" s="13">
        <f t="shared" si="91"/>
        <v>1</v>
      </c>
      <c r="H410" s="599"/>
      <c r="I410" s="13">
        <f t="shared" si="92"/>
        <v>1</v>
      </c>
      <c r="J410" s="599"/>
      <c r="K410" s="13">
        <f t="shared" si="93"/>
        <v>1</v>
      </c>
      <c r="L410" s="599"/>
      <c r="M410" s="13">
        <f t="shared" si="94"/>
        <v>1</v>
      </c>
      <c r="N410" s="599"/>
      <c r="O410" s="13">
        <f t="shared" si="95"/>
        <v>1</v>
      </c>
      <c r="P410" s="599"/>
      <c r="Q410" s="13">
        <f t="shared" si="96"/>
        <v>0</v>
      </c>
      <c r="R410" s="596">
        <f t="shared" si="101"/>
        <v>0</v>
      </c>
      <c r="S410" s="250">
        <f t="shared" si="102"/>
        <v>0</v>
      </c>
      <c r="T410" s="899">
        <f t="shared" si="103"/>
        <v>0</v>
      </c>
      <c r="U410" s="2988">
        <f t="shared" si="97"/>
        <v>0</v>
      </c>
      <c r="V410" s="2988">
        <f t="shared" si="98"/>
        <v>0</v>
      </c>
      <c r="W410" s="996"/>
      <c r="X410" s="2988">
        <f t="shared" si="99"/>
        <v>0</v>
      </c>
      <c r="Y410" s="2988">
        <f t="shared" si="100"/>
        <v>0</v>
      </c>
      <c r="Z410" s="996"/>
    </row>
    <row r="411" spans="1:26">
      <c r="A411" s="35"/>
      <c r="B411" s="20"/>
      <c r="C411" s="13">
        <f t="shared" si="89"/>
        <v>1</v>
      </c>
      <c r="D411" s="599"/>
      <c r="E411" s="13">
        <f t="shared" si="90"/>
        <v>1</v>
      </c>
      <c r="F411" s="599"/>
      <c r="G411" s="13">
        <f t="shared" si="91"/>
        <v>1</v>
      </c>
      <c r="H411" s="599"/>
      <c r="I411" s="13">
        <f t="shared" si="92"/>
        <v>1</v>
      </c>
      <c r="J411" s="599"/>
      <c r="K411" s="13">
        <f t="shared" si="93"/>
        <v>1</v>
      </c>
      <c r="L411" s="599"/>
      <c r="M411" s="13">
        <f t="shared" si="94"/>
        <v>1</v>
      </c>
      <c r="N411" s="599"/>
      <c r="O411" s="13">
        <f t="shared" si="95"/>
        <v>1</v>
      </c>
      <c r="P411" s="599"/>
      <c r="Q411" s="13">
        <f t="shared" si="96"/>
        <v>0</v>
      </c>
      <c r="R411" s="596">
        <f t="shared" si="101"/>
        <v>0</v>
      </c>
      <c r="S411" s="250">
        <f t="shared" si="102"/>
        <v>0</v>
      </c>
      <c r="T411" s="899">
        <f t="shared" si="103"/>
        <v>0</v>
      </c>
      <c r="U411" s="2988">
        <f t="shared" si="97"/>
        <v>0</v>
      </c>
      <c r="V411" s="2988">
        <f t="shared" si="98"/>
        <v>0</v>
      </c>
      <c r="W411" s="996"/>
      <c r="X411" s="2988">
        <f t="shared" si="99"/>
        <v>0</v>
      </c>
      <c r="Y411" s="2988">
        <f t="shared" si="100"/>
        <v>0</v>
      </c>
      <c r="Z411" s="996"/>
    </row>
    <row r="412" spans="1:26">
      <c r="A412" s="35"/>
      <c r="B412" s="20"/>
      <c r="C412" s="13">
        <f t="shared" ref="C412:C475" si="104">IF(B412="",1,(LOOKUP(B412,$6:$6,$7:$7)-LOOKUP($B$27,$6:$6,$7:$7)+100)/100)</f>
        <v>1</v>
      </c>
      <c r="D412" s="599"/>
      <c r="E412" s="13">
        <f t="shared" ref="E412:E475" si="105">(SUMIF($8:$8,D412,$9:$9)-SUMIF($8:$8,$D$27,$9:$9)+100)/100</f>
        <v>1</v>
      </c>
      <c r="F412" s="599"/>
      <c r="G412" s="13">
        <f t="shared" ref="G412:G475" si="106">(SUMIF($10:$10,F412,$11:$11)-SUMIF($10:$10,$F$27,$11:$11)+100)/100</f>
        <v>1</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v>
      </c>
      <c r="R412" s="596">
        <f t="shared" si="101"/>
        <v>0</v>
      </c>
      <c r="S412" s="250">
        <f t="shared" si="102"/>
        <v>0</v>
      </c>
      <c r="T412" s="899">
        <f t="shared" si="103"/>
        <v>0</v>
      </c>
      <c r="U412" s="2988">
        <f t="shared" ref="U412:U475" si="112">ROUND(W412*B412,0)</f>
        <v>0</v>
      </c>
      <c r="V412" s="2988">
        <f t="shared" ref="V412:V475" si="113">ROUND(W412*B412/10000,0)</f>
        <v>0</v>
      </c>
      <c r="W412" s="996"/>
      <c r="X412" s="2988">
        <f t="shared" ref="X412:X475" si="114">ROUND(Z412*B412,0)</f>
        <v>0</v>
      </c>
      <c r="Y412" s="2988">
        <f t="shared" ref="Y412:Y475" si="115">ROUND(Z412*B412/10000,0)</f>
        <v>0</v>
      </c>
      <c r="Z412" s="996"/>
    </row>
    <row r="413" spans="1:26">
      <c r="A413" s="35"/>
      <c r="B413" s="20"/>
      <c r="C413" s="13">
        <f t="shared" si="104"/>
        <v>1</v>
      </c>
      <c r="D413" s="599"/>
      <c r="E413" s="13">
        <f t="shared" si="105"/>
        <v>1</v>
      </c>
      <c r="F413" s="599"/>
      <c r="G413" s="13">
        <f t="shared" si="106"/>
        <v>1</v>
      </c>
      <c r="H413" s="599"/>
      <c r="I413" s="13">
        <f t="shared" si="107"/>
        <v>1</v>
      </c>
      <c r="J413" s="599"/>
      <c r="K413" s="13">
        <f t="shared" si="108"/>
        <v>1</v>
      </c>
      <c r="L413" s="599"/>
      <c r="M413" s="13">
        <f t="shared" si="109"/>
        <v>1</v>
      </c>
      <c r="N413" s="599"/>
      <c r="O413" s="13">
        <f t="shared" si="110"/>
        <v>1</v>
      </c>
      <c r="P413" s="599"/>
      <c r="Q413" s="13">
        <f t="shared" si="111"/>
        <v>0</v>
      </c>
      <c r="R413" s="596">
        <f t="shared" ref="R413:R476" si="116">IF(B413="",0,ROUND($R$27*C413*E413*G413*I413*K413*M413*O413*Q413,0))</f>
        <v>0</v>
      </c>
      <c r="S413" s="250">
        <f t="shared" ref="S413:S476" si="117">ROUND(R413*B413,0)</f>
        <v>0</v>
      </c>
      <c r="T413" s="899">
        <f t="shared" ref="T413:T476" si="118">ROUND(R413*B413/10000,0)</f>
        <v>0</v>
      </c>
      <c r="U413" s="2988">
        <f t="shared" si="112"/>
        <v>0</v>
      </c>
      <c r="V413" s="2988">
        <f t="shared" si="113"/>
        <v>0</v>
      </c>
      <c r="W413" s="996"/>
      <c r="X413" s="2988">
        <f t="shared" si="114"/>
        <v>0</v>
      </c>
      <c r="Y413" s="2988">
        <f t="shared" si="115"/>
        <v>0</v>
      </c>
      <c r="Z413" s="996"/>
    </row>
    <row r="414" spans="1:26">
      <c r="A414" s="35"/>
      <c r="B414" s="20"/>
      <c r="C414" s="13">
        <f t="shared" si="104"/>
        <v>1</v>
      </c>
      <c r="D414" s="599"/>
      <c r="E414" s="13">
        <f t="shared" si="105"/>
        <v>1</v>
      </c>
      <c r="F414" s="599"/>
      <c r="G414" s="13">
        <f t="shared" si="106"/>
        <v>1</v>
      </c>
      <c r="H414" s="599"/>
      <c r="I414" s="13">
        <f t="shared" si="107"/>
        <v>1</v>
      </c>
      <c r="J414" s="599"/>
      <c r="K414" s="13">
        <f t="shared" si="108"/>
        <v>1</v>
      </c>
      <c r="L414" s="599"/>
      <c r="M414" s="13">
        <f t="shared" si="109"/>
        <v>1</v>
      </c>
      <c r="N414" s="599"/>
      <c r="O414" s="13">
        <f t="shared" si="110"/>
        <v>1</v>
      </c>
      <c r="P414" s="599"/>
      <c r="Q414" s="13">
        <f t="shared" si="111"/>
        <v>0</v>
      </c>
      <c r="R414" s="596">
        <f t="shared" si="116"/>
        <v>0</v>
      </c>
      <c r="S414" s="250">
        <f t="shared" si="117"/>
        <v>0</v>
      </c>
      <c r="T414" s="899">
        <f t="shared" si="118"/>
        <v>0</v>
      </c>
      <c r="U414" s="2988">
        <f t="shared" si="112"/>
        <v>0</v>
      </c>
      <c r="V414" s="2988">
        <f t="shared" si="113"/>
        <v>0</v>
      </c>
      <c r="W414" s="996"/>
      <c r="X414" s="2988">
        <f t="shared" si="114"/>
        <v>0</v>
      </c>
      <c r="Y414" s="2988">
        <f t="shared" si="115"/>
        <v>0</v>
      </c>
      <c r="Z414" s="996"/>
    </row>
    <row r="415" spans="1:26">
      <c r="A415" s="35"/>
      <c r="B415" s="20"/>
      <c r="C415" s="13">
        <f t="shared" si="104"/>
        <v>1</v>
      </c>
      <c r="D415" s="599"/>
      <c r="E415" s="13">
        <f t="shared" si="105"/>
        <v>1</v>
      </c>
      <c r="F415" s="599"/>
      <c r="G415" s="13">
        <f t="shared" si="106"/>
        <v>1</v>
      </c>
      <c r="H415" s="599"/>
      <c r="I415" s="13">
        <f t="shared" si="107"/>
        <v>1</v>
      </c>
      <c r="J415" s="599"/>
      <c r="K415" s="13">
        <f t="shared" si="108"/>
        <v>1</v>
      </c>
      <c r="L415" s="599"/>
      <c r="M415" s="13">
        <f t="shared" si="109"/>
        <v>1</v>
      </c>
      <c r="N415" s="599"/>
      <c r="O415" s="13">
        <f t="shared" si="110"/>
        <v>1</v>
      </c>
      <c r="P415" s="599"/>
      <c r="Q415" s="13">
        <f t="shared" si="111"/>
        <v>0</v>
      </c>
      <c r="R415" s="596">
        <f t="shared" si="116"/>
        <v>0</v>
      </c>
      <c r="S415" s="250">
        <f t="shared" si="117"/>
        <v>0</v>
      </c>
      <c r="T415" s="899">
        <f t="shared" si="118"/>
        <v>0</v>
      </c>
      <c r="U415" s="2988">
        <f t="shared" si="112"/>
        <v>0</v>
      </c>
      <c r="V415" s="2988">
        <f t="shared" si="113"/>
        <v>0</v>
      </c>
      <c r="W415" s="996"/>
      <c r="X415" s="2988">
        <f t="shared" si="114"/>
        <v>0</v>
      </c>
      <c r="Y415" s="2988">
        <f t="shared" si="115"/>
        <v>0</v>
      </c>
      <c r="Z415" s="996"/>
    </row>
    <row r="416" spans="1:26">
      <c r="A416" s="35"/>
      <c r="B416" s="20"/>
      <c r="C416" s="13">
        <f t="shared" si="104"/>
        <v>1</v>
      </c>
      <c r="D416" s="599"/>
      <c r="E416" s="13">
        <f t="shared" si="105"/>
        <v>1</v>
      </c>
      <c r="F416" s="599"/>
      <c r="G416" s="13">
        <f t="shared" si="106"/>
        <v>1</v>
      </c>
      <c r="H416" s="599"/>
      <c r="I416" s="13">
        <f t="shared" si="107"/>
        <v>1</v>
      </c>
      <c r="J416" s="599"/>
      <c r="K416" s="13">
        <f t="shared" si="108"/>
        <v>1</v>
      </c>
      <c r="L416" s="599"/>
      <c r="M416" s="13">
        <f t="shared" si="109"/>
        <v>1</v>
      </c>
      <c r="N416" s="599"/>
      <c r="O416" s="13">
        <f t="shared" si="110"/>
        <v>1</v>
      </c>
      <c r="P416" s="599"/>
      <c r="Q416" s="13">
        <f t="shared" si="111"/>
        <v>0</v>
      </c>
      <c r="R416" s="596">
        <f t="shared" si="116"/>
        <v>0</v>
      </c>
      <c r="S416" s="250">
        <f t="shared" si="117"/>
        <v>0</v>
      </c>
      <c r="T416" s="899">
        <f t="shared" si="118"/>
        <v>0</v>
      </c>
      <c r="U416" s="2988">
        <f t="shared" si="112"/>
        <v>0</v>
      </c>
      <c r="V416" s="2988">
        <f t="shared" si="113"/>
        <v>0</v>
      </c>
      <c r="W416" s="996"/>
      <c r="X416" s="2988">
        <f t="shared" si="114"/>
        <v>0</v>
      </c>
      <c r="Y416" s="2988">
        <f t="shared" si="115"/>
        <v>0</v>
      </c>
      <c r="Z416" s="996"/>
    </row>
    <row r="417" spans="1:26">
      <c r="A417" s="35"/>
      <c r="B417" s="20"/>
      <c r="C417" s="13">
        <f t="shared" si="104"/>
        <v>1</v>
      </c>
      <c r="D417" s="599"/>
      <c r="E417" s="13">
        <f t="shared" si="105"/>
        <v>1</v>
      </c>
      <c r="F417" s="599"/>
      <c r="G417" s="13">
        <f t="shared" si="106"/>
        <v>1</v>
      </c>
      <c r="H417" s="599"/>
      <c r="I417" s="13">
        <f t="shared" si="107"/>
        <v>1</v>
      </c>
      <c r="J417" s="599"/>
      <c r="K417" s="13">
        <f t="shared" si="108"/>
        <v>1</v>
      </c>
      <c r="L417" s="599"/>
      <c r="M417" s="13">
        <f t="shared" si="109"/>
        <v>1</v>
      </c>
      <c r="N417" s="599"/>
      <c r="O417" s="13">
        <f t="shared" si="110"/>
        <v>1</v>
      </c>
      <c r="P417" s="599"/>
      <c r="Q417" s="13">
        <f t="shared" si="111"/>
        <v>0</v>
      </c>
      <c r="R417" s="596">
        <f t="shared" si="116"/>
        <v>0</v>
      </c>
      <c r="S417" s="250">
        <f t="shared" si="117"/>
        <v>0</v>
      </c>
      <c r="T417" s="899">
        <f t="shared" si="118"/>
        <v>0</v>
      </c>
      <c r="U417" s="2988">
        <f t="shared" si="112"/>
        <v>0</v>
      </c>
      <c r="V417" s="2988">
        <f t="shared" si="113"/>
        <v>0</v>
      </c>
      <c r="W417" s="996"/>
      <c r="X417" s="2988">
        <f t="shared" si="114"/>
        <v>0</v>
      </c>
      <c r="Y417" s="2988">
        <f t="shared" si="115"/>
        <v>0</v>
      </c>
      <c r="Z417" s="996"/>
    </row>
    <row r="418" spans="1:26">
      <c r="A418" s="35"/>
      <c r="B418" s="20"/>
      <c r="C418" s="13">
        <f t="shared" si="104"/>
        <v>1</v>
      </c>
      <c r="D418" s="599"/>
      <c r="E418" s="13">
        <f t="shared" si="105"/>
        <v>1</v>
      </c>
      <c r="F418" s="599"/>
      <c r="G418" s="13">
        <f t="shared" si="106"/>
        <v>1</v>
      </c>
      <c r="H418" s="599"/>
      <c r="I418" s="13">
        <f t="shared" si="107"/>
        <v>1</v>
      </c>
      <c r="J418" s="599"/>
      <c r="K418" s="13">
        <f t="shared" si="108"/>
        <v>1</v>
      </c>
      <c r="L418" s="599"/>
      <c r="M418" s="13">
        <f t="shared" si="109"/>
        <v>1</v>
      </c>
      <c r="N418" s="599"/>
      <c r="O418" s="13">
        <f t="shared" si="110"/>
        <v>1</v>
      </c>
      <c r="P418" s="599"/>
      <c r="Q418" s="13">
        <f t="shared" si="111"/>
        <v>0</v>
      </c>
      <c r="R418" s="596">
        <f t="shared" si="116"/>
        <v>0</v>
      </c>
      <c r="S418" s="250">
        <f t="shared" si="117"/>
        <v>0</v>
      </c>
      <c r="T418" s="899">
        <f t="shared" si="118"/>
        <v>0</v>
      </c>
      <c r="U418" s="2988">
        <f t="shared" si="112"/>
        <v>0</v>
      </c>
      <c r="V418" s="2988">
        <f t="shared" si="113"/>
        <v>0</v>
      </c>
      <c r="W418" s="996"/>
      <c r="X418" s="2988">
        <f t="shared" si="114"/>
        <v>0</v>
      </c>
      <c r="Y418" s="2988">
        <f t="shared" si="115"/>
        <v>0</v>
      </c>
      <c r="Z418" s="996"/>
    </row>
    <row r="419" spans="1:26">
      <c r="A419" s="35"/>
      <c r="B419" s="20"/>
      <c r="C419" s="13">
        <f t="shared" si="104"/>
        <v>1</v>
      </c>
      <c r="D419" s="599"/>
      <c r="E419" s="13">
        <f t="shared" si="105"/>
        <v>1</v>
      </c>
      <c r="F419" s="599"/>
      <c r="G419" s="13">
        <f t="shared" si="106"/>
        <v>1</v>
      </c>
      <c r="H419" s="599"/>
      <c r="I419" s="13">
        <f t="shared" si="107"/>
        <v>1</v>
      </c>
      <c r="J419" s="599"/>
      <c r="K419" s="13">
        <f t="shared" si="108"/>
        <v>1</v>
      </c>
      <c r="L419" s="599"/>
      <c r="M419" s="13">
        <f t="shared" si="109"/>
        <v>1</v>
      </c>
      <c r="N419" s="599"/>
      <c r="O419" s="13">
        <f t="shared" si="110"/>
        <v>1</v>
      </c>
      <c r="P419" s="599"/>
      <c r="Q419" s="13">
        <f t="shared" si="111"/>
        <v>0</v>
      </c>
      <c r="R419" s="596">
        <f t="shared" si="116"/>
        <v>0</v>
      </c>
      <c r="S419" s="250">
        <f t="shared" si="117"/>
        <v>0</v>
      </c>
      <c r="T419" s="899">
        <f t="shared" si="118"/>
        <v>0</v>
      </c>
      <c r="U419" s="2988">
        <f t="shared" si="112"/>
        <v>0</v>
      </c>
      <c r="V419" s="2988">
        <f t="shared" si="113"/>
        <v>0</v>
      </c>
      <c r="W419" s="996"/>
      <c r="X419" s="2988">
        <f t="shared" si="114"/>
        <v>0</v>
      </c>
      <c r="Y419" s="2988">
        <f t="shared" si="115"/>
        <v>0</v>
      </c>
      <c r="Z419" s="996"/>
    </row>
    <row r="420" spans="1:26">
      <c r="A420" s="35"/>
      <c r="B420" s="20"/>
      <c r="C420" s="13">
        <f t="shared" si="104"/>
        <v>1</v>
      </c>
      <c r="D420" s="599"/>
      <c r="E420" s="13">
        <f t="shared" si="105"/>
        <v>1</v>
      </c>
      <c r="F420" s="599"/>
      <c r="G420" s="13">
        <f t="shared" si="106"/>
        <v>1</v>
      </c>
      <c r="H420" s="599"/>
      <c r="I420" s="13">
        <f t="shared" si="107"/>
        <v>1</v>
      </c>
      <c r="J420" s="599"/>
      <c r="K420" s="13">
        <f t="shared" si="108"/>
        <v>1</v>
      </c>
      <c r="L420" s="599"/>
      <c r="M420" s="13">
        <f t="shared" si="109"/>
        <v>1</v>
      </c>
      <c r="N420" s="599"/>
      <c r="O420" s="13">
        <f t="shared" si="110"/>
        <v>1</v>
      </c>
      <c r="P420" s="599"/>
      <c r="Q420" s="13">
        <f t="shared" si="111"/>
        <v>0</v>
      </c>
      <c r="R420" s="596">
        <f t="shared" si="116"/>
        <v>0</v>
      </c>
      <c r="S420" s="250">
        <f t="shared" si="117"/>
        <v>0</v>
      </c>
      <c r="T420" s="899">
        <f t="shared" si="118"/>
        <v>0</v>
      </c>
      <c r="U420" s="2988">
        <f t="shared" si="112"/>
        <v>0</v>
      </c>
      <c r="V420" s="2988">
        <f t="shared" si="113"/>
        <v>0</v>
      </c>
      <c r="W420" s="996"/>
      <c r="X420" s="2988">
        <f t="shared" si="114"/>
        <v>0</v>
      </c>
      <c r="Y420" s="2988">
        <f t="shared" si="115"/>
        <v>0</v>
      </c>
      <c r="Z420" s="996"/>
    </row>
    <row r="421" spans="1:26">
      <c r="A421" s="35"/>
      <c r="B421" s="20"/>
      <c r="C421" s="13">
        <f t="shared" si="104"/>
        <v>1</v>
      </c>
      <c r="D421" s="599"/>
      <c r="E421" s="13">
        <f t="shared" si="105"/>
        <v>1</v>
      </c>
      <c r="F421" s="599"/>
      <c r="G421" s="13">
        <f t="shared" si="106"/>
        <v>1</v>
      </c>
      <c r="H421" s="599"/>
      <c r="I421" s="13">
        <f t="shared" si="107"/>
        <v>1</v>
      </c>
      <c r="J421" s="599"/>
      <c r="K421" s="13">
        <f t="shared" si="108"/>
        <v>1</v>
      </c>
      <c r="L421" s="599"/>
      <c r="M421" s="13">
        <f t="shared" si="109"/>
        <v>1</v>
      </c>
      <c r="N421" s="599"/>
      <c r="O421" s="13">
        <f t="shared" si="110"/>
        <v>1</v>
      </c>
      <c r="P421" s="599"/>
      <c r="Q421" s="13">
        <f t="shared" si="111"/>
        <v>0</v>
      </c>
      <c r="R421" s="596">
        <f t="shared" si="116"/>
        <v>0</v>
      </c>
      <c r="S421" s="250">
        <f t="shared" si="117"/>
        <v>0</v>
      </c>
      <c r="T421" s="899">
        <f t="shared" si="118"/>
        <v>0</v>
      </c>
      <c r="U421" s="2988">
        <f t="shared" si="112"/>
        <v>0</v>
      </c>
      <c r="V421" s="2988">
        <f t="shared" si="113"/>
        <v>0</v>
      </c>
      <c r="W421" s="996"/>
      <c r="X421" s="2988">
        <f t="shared" si="114"/>
        <v>0</v>
      </c>
      <c r="Y421" s="2988">
        <f t="shared" si="115"/>
        <v>0</v>
      </c>
      <c r="Z421" s="996"/>
    </row>
    <row r="422" spans="1:26">
      <c r="A422" s="35"/>
      <c r="B422" s="20"/>
      <c r="C422" s="13">
        <f t="shared" si="104"/>
        <v>1</v>
      </c>
      <c r="D422" s="599"/>
      <c r="E422" s="13">
        <f t="shared" si="105"/>
        <v>1</v>
      </c>
      <c r="F422" s="599"/>
      <c r="G422" s="13">
        <f t="shared" si="106"/>
        <v>1</v>
      </c>
      <c r="H422" s="599"/>
      <c r="I422" s="13">
        <f t="shared" si="107"/>
        <v>1</v>
      </c>
      <c r="J422" s="599"/>
      <c r="K422" s="13">
        <f t="shared" si="108"/>
        <v>1</v>
      </c>
      <c r="L422" s="599"/>
      <c r="M422" s="13">
        <f t="shared" si="109"/>
        <v>1</v>
      </c>
      <c r="N422" s="599"/>
      <c r="O422" s="13">
        <f t="shared" si="110"/>
        <v>1</v>
      </c>
      <c r="P422" s="599"/>
      <c r="Q422" s="13">
        <f t="shared" si="111"/>
        <v>0</v>
      </c>
      <c r="R422" s="596">
        <f t="shared" si="116"/>
        <v>0</v>
      </c>
      <c r="S422" s="250">
        <f t="shared" si="117"/>
        <v>0</v>
      </c>
      <c r="T422" s="899">
        <f t="shared" si="118"/>
        <v>0</v>
      </c>
      <c r="U422" s="2988">
        <f t="shared" si="112"/>
        <v>0</v>
      </c>
      <c r="V422" s="2988">
        <f t="shared" si="113"/>
        <v>0</v>
      </c>
      <c r="W422" s="996"/>
      <c r="X422" s="2988">
        <f t="shared" si="114"/>
        <v>0</v>
      </c>
      <c r="Y422" s="2988">
        <f t="shared" si="115"/>
        <v>0</v>
      </c>
      <c r="Z422" s="996"/>
    </row>
    <row r="423" spans="1:26">
      <c r="A423" s="35"/>
      <c r="B423" s="20"/>
      <c r="C423" s="13">
        <f t="shared" si="104"/>
        <v>1</v>
      </c>
      <c r="D423" s="599"/>
      <c r="E423" s="13">
        <f t="shared" si="105"/>
        <v>1</v>
      </c>
      <c r="F423" s="599"/>
      <c r="G423" s="13">
        <f t="shared" si="106"/>
        <v>1</v>
      </c>
      <c r="H423" s="599"/>
      <c r="I423" s="13">
        <f t="shared" si="107"/>
        <v>1</v>
      </c>
      <c r="J423" s="599"/>
      <c r="K423" s="13">
        <f t="shared" si="108"/>
        <v>1</v>
      </c>
      <c r="L423" s="599"/>
      <c r="M423" s="13">
        <f t="shared" si="109"/>
        <v>1</v>
      </c>
      <c r="N423" s="599"/>
      <c r="O423" s="13">
        <f t="shared" si="110"/>
        <v>1</v>
      </c>
      <c r="P423" s="599"/>
      <c r="Q423" s="13">
        <f t="shared" si="111"/>
        <v>0</v>
      </c>
      <c r="R423" s="596">
        <f t="shared" si="116"/>
        <v>0</v>
      </c>
      <c r="S423" s="250">
        <f t="shared" si="117"/>
        <v>0</v>
      </c>
      <c r="T423" s="899">
        <f t="shared" si="118"/>
        <v>0</v>
      </c>
      <c r="U423" s="2988">
        <f t="shared" si="112"/>
        <v>0</v>
      </c>
      <c r="V423" s="2988">
        <f t="shared" si="113"/>
        <v>0</v>
      </c>
      <c r="W423" s="996"/>
      <c r="X423" s="2988">
        <f t="shared" si="114"/>
        <v>0</v>
      </c>
      <c r="Y423" s="2988">
        <f t="shared" si="115"/>
        <v>0</v>
      </c>
      <c r="Z423" s="996"/>
    </row>
    <row r="424" spans="1:26">
      <c r="A424" s="35"/>
      <c r="B424" s="20"/>
      <c r="C424" s="13">
        <f t="shared" si="104"/>
        <v>1</v>
      </c>
      <c r="D424" s="599"/>
      <c r="E424" s="13">
        <f t="shared" si="105"/>
        <v>1</v>
      </c>
      <c r="F424" s="599"/>
      <c r="G424" s="13">
        <f t="shared" si="106"/>
        <v>1</v>
      </c>
      <c r="H424" s="599"/>
      <c r="I424" s="13">
        <f t="shared" si="107"/>
        <v>1</v>
      </c>
      <c r="J424" s="599"/>
      <c r="K424" s="13">
        <f t="shared" si="108"/>
        <v>1</v>
      </c>
      <c r="L424" s="599"/>
      <c r="M424" s="13">
        <f t="shared" si="109"/>
        <v>1</v>
      </c>
      <c r="N424" s="599"/>
      <c r="O424" s="13">
        <f t="shared" si="110"/>
        <v>1</v>
      </c>
      <c r="P424" s="599"/>
      <c r="Q424" s="13">
        <f t="shared" si="111"/>
        <v>0</v>
      </c>
      <c r="R424" s="596">
        <f t="shared" si="116"/>
        <v>0</v>
      </c>
      <c r="S424" s="250">
        <f t="shared" si="117"/>
        <v>0</v>
      </c>
      <c r="T424" s="899">
        <f t="shared" si="118"/>
        <v>0</v>
      </c>
      <c r="U424" s="2988">
        <f t="shared" si="112"/>
        <v>0</v>
      </c>
      <c r="V424" s="2988">
        <f t="shared" si="113"/>
        <v>0</v>
      </c>
      <c r="W424" s="996"/>
      <c r="X424" s="2988">
        <f t="shared" si="114"/>
        <v>0</v>
      </c>
      <c r="Y424" s="2988">
        <f t="shared" si="115"/>
        <v>0</v>
      </c>
      <c r="Z424" s="996"/>
    </row>
    <row r="425" spans="1:26">
      <c r="A425" s="35"/>
      <c r="B425" s="20"/>
      <c r="C425" s="13">
        <f t="shared" si="104"/>
        <v>1</v>
      </c>
      <c r="D425" s="599"/>
      <c r="E425" s="13">
        <f t="shared" si="105"/>
        <v>1</v>
      </c>
      <c r="F425" s="599"/>
      <c r="G425" s="13">
        <f t="shared" si="106"/>
        <v>1</v>
      </c>
      <c r="H425" s="599"/>
      <c r="I425" s="13">
        <f t="shared" si="107"/>
        <v>1</v>
      </c>
      <c r="J425" s="599"/>
      <c r="K425" s="13">
        <f t="shared" si="108"/>
        <v>1</v>
      </c>
      <c r="L425" s="599"/>
      <c r="M425" s="13">
        <f t="shared" si="109"/>
        <v>1</v>
      </c>
      <c r="N425" s="599"/>
      <c r="O425" s="13">
        <f t="shared" si="110"/>
        <v>1</v>
      </c>
      <c r="P425" s="599"/>
      <c r="Q425" s="13">
        <f t="shared" si="111"/>
        <v>0</v>
      </c>
      <c r="R425" s="596">
        <f t="shared" si="116"/>
        <v>0</v>
      </c>
      <c r="S425" s="250">
        <f t="shared" si="117"/>
        <v>0</v>
      </c>
      <c r="T425" s="899">
        <f t="shared" si="118"/>
        <v>0</v>
      </c>
      <c r="U425" s="2988">
        <f t="shared" si="112"/>
        <v>0</v>
      </c>
      <c r="V425" s="2988">
        <f t="shared" si="113"/>
        <v>0</v>
      </c>
      <c r="W425" s="996"/>
      <c r="X425" s="2988">
        <f t="shared" si="114"/>
        <v>0</v>
      </c>
      <c r="Y425" s="2988">
        <f t="shared" si="115"/>
        <v>0</v>
      </c>
      <c r="Z425" s="996"/>
    </row>
    <row r="426" spans="1:26">
      <c r="A426" s="35"/>
      <c r="B426" s="20"/>
      <c r="C426" s="13">
        <f t="shared" si="104"/>
        <v>1</v>
      </c>
      <c r="D426" s="599"/>
      <c r="E426" s="13">
        <f t="shared" si="105"/>
        <v>1</v>
      </c>
      <c r="F426" s="599"/>
      <c r="G426" s="13">
        <f t="shared" si="106"/>
        <v>1</v>
      </c>
      <c r="H426" s="599"/>
      <c r="I426" s="13">
        <f t="shared" si="107"/>
        <v>1</v>
      </c>
      <c r="J426" s="599"/>
      <c r="K426" s="13">
        <f t="shared" si="108"/>
        <v>1</v>
      </c>
      <c r="L426" s="599"/>
      <c r="M426" s="13">
        <f t="shared" si="109"/>
        <v>1</v>
      </c>
      <c r="N426" s="599"/>
      <c r="O426" s="13">
        <f t="shared" si="110"/>
        <v>1</v>
      </c>
      <c r="P426" s="599"/>
      <c r="Q426" s="13">
        <f t="shared" si="111"/>
        <v>0</v>
      </c>
      <c r="R426" s="596">
        <f t="shared" si="116"/>
        <v>0</v>
      </c>
      <c r="S426" s="250">
        <f t="shared" si="117"/>
        <v>0</v>
      </c>
      <c r="T426" s="899">
        <f t="shared" si="118"/>
        <v>0</v>
      </c>
      <c r="U426" s="2988">
        <f t="shared" si="112"/>
        <v>0</v>
      </c>
      <c r="V426" s="2988">
        <f t="shared" si="113"/>
        <v>0</v>
      </c>
      <c r="W426" s="996"/>
      <c r="X426" s="2988">
        <f t="shared" si="114"/>
        <v>0</v>
      </c>
      <c r="Y426" s="2988">
        <f t="shared" si="115"/>
        <v>0</v>
      </c>
      <c r="Z426" s="996"/>
    </row>
    <row r="427" spans="1:26">
      <c r="A427" s="35"/>
      <c r="B427" s="20"/>
      <c r="C427" s="13">
        <f t="shared" si="104"/>
        <v>1</v>
      </c>
      <c r="D427" s="599"/>
      <c r="E427" s="13">
        <f t="shared" si="105"/>
        <v>1</v>
      </c>
      <c r="F427" s="599"/>
      <c r="G427" s="13">
        <f t="shared" si="106"/>
        <v>1</v>
      </c>
      <c r="H427" s="599"/>
      <c r="I427" s="13">
        <f t="shared" si="107"/>
        <v>1</v>
      </c>
      <c r="J427" s="599"/>
      <c r="K427" s="13">
        <f t="shared" si="108"/>
        <v>1</v>
      </c>
      <c r="L427" s="599"/>
      <c r="M427" s="13">
        <f t="shared" si="109"/>
        <v>1</v>
      </c>
      <c r="N427" s="599"/>
      <c r="O427" s="13">
        <f t="shared" si="110"/>
        <v>1</v>
      </c>
      <c r="P427" s="599"/>
      <c r="Q427" s="13">
        <f t="shared" si="111"/>
        <v>0</v>
      </c>
      <c r="R427" s="596">
        <f t="shared" si="116"/>
        <v>0</v>
      </c>
      <c r="S427" s="250">
        <f t="shared" si="117"/>
        <v>0</v>
      </c>
      <c r="T427" s="899">
        <f t="shared" si="118"/>
        <v>0</v>
      </c>
      <c r="U427" s="2988">
        <f t="shared" si="112"/>
        <v>0</v>
      </c>
      <c r="V427" s="2988">
        <f t="shared" si="113"/>
        <v>0</v>
      </c>
      <c r="W427" s="996"/>
      <c r="X427" s="2988">
        <f t="shared" si="114"/>
        <v>0</v>
      </c>
      <c r="Y427" s="2988">
        <f t="shared" si="115"/>
        <v>0</v>
      </c>
      <c r="Z427" s="996"/>
    </row>
    <row r="428" spans="1:26">
      <c r="A428" s="35"/>
      <c r="B428" s="20"/>
      <c r="C428" s="13">
        <f t="shared" si="104"/>
        <v>1</v>
      </c>
      <c r="D428" s="599"/>
      <c r="E428" s="13">
        <f t="shared" si="105"/>
        <v>1</v>
      </c>
      <c r="F428" s="599"/>
      <c r="G428" s="13">
        <f t="shared" si="106"/>
        <v>1</v>
      </c>
      <c r="H428" s="599"/>
      <c r="I428" s="13">
        <f t="shared" si="107"/>
        <v>1</v>
      </c>
      <c r="J428" s="599"/>
      <c r="K428" s="13">
        <f t="shared" si="108"/>
        <v>1</v>
      </c>
      <c r="L428" s="599"/>
      <c r="M428" s="13">
        <f t="shared" si="109"/>
        <v>1</v>
      </c>
      <c r="N428" s="599"/>
      <c r="O428" s="13">
        <f t="shared" si="110"/>
        <v>1</v>
      </c>
      <c r="P428" s="599"/>
      <c r="Q428" s="13">
        <f t="shared" si="111"/>
        <v>0</v>
      </c>
      <c r="R428" s="596">
        <f t="shared" si="116"/>
        <v>0</v>
      </c>
      <c r="S428" s="250">
        <f t="shared" si="117"/>
        <v>0</v>
      </c>
      <c r="T428" s="899">
        <f t="shared" si="118"/>
        <v>0</v>
      </c>
      <c r="U428" s="2988">
        <f t="shared" si="112"/>
        <v>0</v>
      </c>
      <c r="V428" s="2988">
        <f t="shared" si="113"/>
        <v>0</v>
      </c>
      <c r="W428" s="996"/>
      <c r="X428" s="2988">
        <f t="shared" si="114"/>
        <v>0</v>
      </c>
      <c r="Y428" s="2988">
        <f t="shared" si="115"/>
        <v>0</v>
      </c>
      <c r="Z428" s="996"/>
    </row>
    <row r="429" spans="1:26">
      <c r="A429" s="35"/>
      <c r="B429" s="20"/>
      <c r="C429" s="13">
        <f t="shared" si="104"/>
        <v>1</v>
      </c>
      <c r="D429" s="599"/>
      <c r="E429" s="13">
        <f t="shared" si="105"/>
        <v>1</v>
      </c>
      <c r="F429" s="599"/>
      <c r="G429" s="13">
        <f t="shared" si="106"/>
        <v>1</v>
      </c>
      <c r="H429" s="599"/>
      <c r="I429" s="13">
        <f t="shared" si="107"/>
        <v>1</v>
      </c>
      <c r="J429" s="599"/>
      <c r="K429" s="13">
        <f t="shared" si="108"/>
        <v>1</v>
      </c>
      <c r="L429" s="599"/>
      <c r="M429" s="13">
        <f t="shared" si="109"/>
        <v>1</v>
      </c>
      <c r="N429" s="599"/>
      <c r="O429" s="13">
        <f t="shared" si="110"/>
        <v>1</v>
      </c>
      <c r="P429" s="599"/>
      <c r="Q429" s="13">
        <f t="shared" si="111"/>
        <v>0</v>
      </c>
      <c r="R429" s="596">
        <f t="shared" si="116"/>
        <v>0</v>
      </c>
      <c r="S429" s="250">
        <f t="shared" si="117"/>
        <v>0</v>
      </c>
      <c r="T429" s="899">
        <f t="shared" si="118"/>
        <v>0</v>
      </c>
      <c r="U429" s="2988">
        <f t="shared" si="112"/>
        <v>0</v>
      </c>
      <c r="V429" s="2988">
        <f t="shared" si="113"/>
        <v>0</v>
      </c>
      <c r="W429" s="996"/>
      <c r="X429" s="2988">
        <f t="shared" si="114"/>
        <v>0</v>
      </c>
      <c r="Y429" s="2988">
        <f t="shared" si="115"/>
        <v>0</v>
      </c>
      <c r="Z429" s="996"/>
    </row>
    <row r="430" spans="1:26">
      <c r="A430" s="35"/>
      <c r="B430" s="20"/>
      <c r="C430" s="13">
        <f t="shared" si="104"/>
        <v>1</v>
      </c>
      <c r="D430" s="599"/>
      <c r="E430" s="13">
        <f t="shared" si="105"/>
        <v>1</v>
      </c>
      <c r="F430" s="599"/>
      <c r="G430" s="13">
        <f t="shared" si="106"/>
        <v>1</v>
      </c>
      <c r="H430" s="599"/>
      <c r="I430" s="13">
        <f t="shared" si="107"/>
        <v>1</v>
      </c>
      <c r="J430" s="599"/>
      <c r="K430" s="13">
        <f t="shared" si="108"/>
        <v>1</v>
      </c>
      <c r="L430" s="599"/>
      <c r="M430" s="13">
        <f t="shared" si="109"/>
        <v>1</v>
      </c>
      <c r="N430" s="599"/>
      <c r="O430" s="13">
        <f t="shared" si="110"/>
        <v>1</v>
      </c>
      <c r="P430" s="599"/>
      <c r="Q430" s="13">
        <f t="shared" si="111"/>
        <v>0</v>
      </c>
      <c r="R430" s="596">
        <f t="shared" si="116"/>
        <v>0</v>
      </c>
      <c r="S430" s="250">
        <f t="shared" si="117"/>
        <v>0</v>
      </c>
      <c r="T430" s="899">
        <f t="shared" si="118"/>
        <v>0</v>
      </c>
      <c r="U430" s="2988">
        <f t="shared" si="112"/>
        <v>0</v>
      </c>
      <c r="V430" s="2988">
        <f t="shared" si="113"/>
        <v>0</v>
      </c>
      <c r="W430" s="996"/>
      <c r="X430" s="2988">
        <f t="shared" si="114"/>
        <v>0</v>
      </c>
      <c r="Y430" s="2988">
        <f t="shared" si="115"/>
        <v>0</v>
      </c>
      <c r="Z430" s="996"/>
    </row>
    <row r="431" spans="1:26">
      <c r="A431" s="35"/>
      <c r="B431" s="20"/>
      <c r="C431" s="13">
        <f t="shared" si="104"/>
        <v>1</v>
      </c>
      <c r="D431" s="599"/>
      <c r="E431" s="13">
        <f t="shared" si="105"/>
        <v>1</v>
      </c>
      <c r="F431" s="599"/>
      <c r="G431" s="13">
        <f t="shared" si="106"/>
        <v>1</v>
      </c>
      <c r="H431" s="599"/>
      <c r="I431" s="13">
        <f t="shared" si="107"/>
        <v>1</v>
      </c>
      <c r="J431" s="599"/>
      <c r="K431" s="13">
        <f t="shared" si="108"/>
        <v>1</v>
      </c>
      <c r="L431" s="599"/>
      <c r="M431" s="13">
        <f t="shared" si="109"/>
        <v>1</v>
      </c>
      <c r="N431" s="599"/>
      <c r="O431" s="13">
        <f t="shared" si="110"/>
        <v>1</v>
      </c>
      <c r="P431" s="599"/>
      <c r="Q431" s="13">
        <f t="shared" si="111"/>
        <v>0</v>
      </c>
      <c r="R431" s="596">
        <f t="shared" si="116"/>
        <v>0</v>
      </c>
      <c r="S431" s="250">
        <f t="shared" si="117"/>
        <v>0</v>
      </c>
      <c r="T431" s="899">
        <f t="shared" si="118"/>
        <v>0</v>
      </c>
      <c r="U431" s="2988">
        <f t="shared" si="112"/>
        <v>0</v>
      </c>
      <c r="V431" s="2988">
        <f t="shared" si="113"/>
        <v>0</v>
      </c>
      <c r="W431" s="996"/>
      <c r="X431" s="2988">
        <f t="shared" si="114"/>
        <v>0</v>
      </c>
      <c r="Y431" s="2988">
        <f t="shared" si="115"/>
        <v>0</v>
      </c>
      <c r="Z431" s="996"/>
    </row>
    <row r="432" spans="1:26">
      <c r="A432" s="35"/>
      <c r="B432" s="20"/>
      <c r="C432" s="13">
        <f t="shared" si="104"/>
        <v>1</v>
      </c>
      <c r="D432" s="599"/>
      <c r="E432" s="13">
        <f t="shared" si="105"/>
        <v>1</v>
      </c>
      <c r="F432" s="599"/>
      <c r="G432" s="13">
        <f t="shared" si="106"/>
        <v>1</v>
      </c>
      <c r="H432" s="599"/>
      <c r="I432" s="13">
        <f t="shared" si="107"/>
        <v>1</v>
      </c>
      <c r="J432" s="599"/>
      <c r="K432" s="13">
        <f t="shared" si="108"/>
        <v>1</v>
      </c>
      <c r="L432" s="599"/>
      <c r="M432" s="13">
        <f t="shared" si="109"/>
        <v>1</v>
      </c>
      <c r="N432" s="599"/>
      <c r="O432" s="13">
        <f t="shared" si="110"/>
        <v>1</v>
      </c>
      <c r="P432" s="599"/>
      <c r="Q432" s="13">
        <f t="shared" si="111"/>
        <v>0</v>
      </c>
      <c r="R432" s="596">
        <f t="shared" si="116"/>
        <v>0</v>
      </c>
      <c r="S432" s="250">
        <f t="shared" si="117"/>
        <v>0</v>
      </c>
      <c r="T432" s="899">
        <f t="shared" si="118"/>
        <v>0</v>
      </c>
      <c r="U432" s="2988">
        <f t="shared" si="112"/>
        <v>0</v>
      </c>
      <c r="V432" s="2988">
        <f t="shared" si="113"/>
        <v>0</v>
      </c>
      <c r="W432" s="996"/>
      <c r="X432" s="2988">
        <f t="shared" si="114"/>
        <v>0</v>
      </c>
      <c r="Y432" s="2988">
        <f t="shared" si="115"/>
        <v>0</v>
      </c>
      <c r="Z432" s="996"/>
    </row>
    <row r="433" spans="1:26">
      <c r="A433" s="35"/>
      <c r="B433" s="20"/>
      <c r="C433" s="13">
        <f t="shared" si="104"/>
        <v>1</v>
      </c>
      <c r="D433" s="599"/>
      <c r="E433" s="13">
        <f t="shared" si="105"/>
        <v>1</v>
      </c>
      <c r="F433" s="599"/>
      <c r="G433" s="13">
        <f t="shared" si="106"/>
        <v>1</v>
      </c>
      <c r="H433" s="599"/>
      <c r="I433" s="13">
        <f t="shared" si="107"/>
        <v>1</v>
      </c>
      <c r="J433" s="599"/>
      <c r="K433" s="13">
        <f t="shared" si="108"/>
        <v>1</v>
      </c>
      <c r="L433" s="599"/>
      <c r="M433" s="13">
        <f t="shared" si="109"/>
        <v>1</v>
      </c>
      <c r="N433" s="599"/>
      <c r="O433" s="13">
        <f t="shared" si="110"/>
        <v>1</v>
      </c>
      <c r="P433" s="599"/>
      <c r="Q433" s="13">
        <f t="shared" si="111"/>
        <v>0</v>
      </c>
      <c r="R433" s="596">
        <f t="shared" si="116"/>
        <v>0</v>
      </c>
      <c r="S433" s="250">
        <f t="shared" si="117"/>
        <v>0</v>
      </c>
      <c r="T433" s="899">
        <f t="shared" si="118"/>
        <v>0</v>
      </c>
      <c r="U433" s="2988">
        <f t="shared" si="112"/>
        <v>0</v>
      </c>
      <c r="V433" s="2988">
        <f t="shared" si="113"/>
        <v>0</v>
      </c>
      <c r="W433" s="996"/>
      <c r="X433" s="2988">
        <f t="shared" si="114"/>
        <v>0</v>
      </c>
      <c r="Y433" s="2988">
        <f t="shared" si="115"/>
        <v>0</v>
      </c>
      <c r="Z433" s="996"/>
    </row>
    <row r="434" spans="1:26">
      <c r="A434" s="35"/>
      <c r="B434" s="20"/>
      <c r="C434" s="13">
        <f t="shared" si="104"/>
        <v>1</v>
      </c>
      <c r="D434" s="599"/>
      <c r="E434" s="13">
        <f t="shared" si="105"/>
        <v>1</v>
      </c>
      <c r="F434" s="599"/>
      <c r="G434" s="13">
        <f t="shared" si="106"/>
        <v>1</v>
      </c>
      <c r="H434" s="599"/>
      <c r="I434" s="13">
        <f t="shared" si="107"/>
        <v>1</v>
      </c>
      <c r="J434" s="599"/>
      <c r="K434" s="13">
        <f t="shared" si="108"/>
        <v>1</v>
      </c>
      <c r="L434" s="599"/>
      <c r="M434" s="13">
        <f t="shared" si="109"/>
        <v>1</v>
      </c>
      <c r="N434" s="599"/>
      <c r="O434" s="13">
        <f t="shared" si="110"/>
        <v>1</v>
      </c>
      <c r="P434" s="599"/>
      <c r="Q434" s="13">
        <f t="shared" si="111"/>
        <v>0</v>
      </c>
      <c r="R434" s="596">
        <f t="shared" si="116"/>
        <v>0</v>
      </c>
      <c r="S434" s="250">
        <f t="shared" si="117"/>
        <v>0</v>
      </c>
      <c r="T434" s="899">
        <f t="shared" si="118"/>
        <v>0</v>
      </c>
      <c r="U434" s="2988">
        <f t="shared" si="112"/>
        <v>0</v>
      </c>
      <c r="V434" s="2988">
        <f t="shared" si="113"/>
        <v>0</v>
      </c>
      <c r="W434" s="996"/>
      <c r="X434" s="2988">
        <f t="shared" si="114"/>
        <v>0</v>
      </c>
      <c r="Y434" s="2988">
        <f t="shared" si="115"/>
        <v>0</v>
      </c>
      <c r="Z434" s="996"/>
    </row>
    <row r="435" spans="1:26">
      <c r="A435" s="35"/>
      <c r="B435" s="20"/>
      <c r="C435" s="13">
        <f t="shared" si="104"/>
        <v>1</v>
      </c>
      <c r="D435" s="599"/>
      <c r="E435" s="13">
        <f t="shared" si="105"/>
        <v>1</v>
      </c>
      <c r="F435" s="599"/>
      <c r="G435" s="13">
        <f t="shared" si="106"/>
        <v>1</v>
      </c>
      <c r="H435" s="599"/>
      <c r="I435" s="13">
        <f t="shared" si="107"/>
        <v>1</v>
      </c>
      <c r="J435" s="599"/>
      <c r="K435" s="13">
        <f t="shared" si="108"/>
        <v>1</v>
      </c>
      <c r="L435" s="599"/>
      <c r="M435" s="13">
        <f t="shared" si="109"/>
        <v>1</v>
      </c>
      <c r="N435" s="599"/>
      <c r="O435" s="13">
        <f t="shared" si="110"/>
        <v>1</v>
      </c>
      <c r="P435" s="599"/>
      <c r="Q435" s="13">
        <f t="shared" si="111"/>
        <v>0</v>
      </c>
      <c r="R435" s="596">
        <f t="shared" si="116"/>
        <v>0</v>
      </c>
      <c r="S435" s="250">
        <f t="shared" si="117"/>
        <v>0</v>
      </c>
      <c r="T435" s="899">
        <f t="shared" si="118"/>
        <v>0</v>
      </c>
      <c r="U435" s="2988">
        <f t="shared" si="112"/>
        <v>0</v>
      </c>
      <c r="V435" s="2988">
        <f t="shared" si="113"/>
        <v>0</v>
      </c>
      <c r="W435" s="996"/>
      <c r="X435" s="2988">
        <f t="shared" si="114"/>
        <v>0</v>
      </c>
      <c r="Y435" s="2988">
        <f t="shared" si="115"/>
        <v>0</v>
      </c>
      <c r="Z435" s="996"/>
    </row>
    <row r="436" spans="1:26">
      <c r="A436" s="35"/>
      <c r="B436" s="20"/>
      <c r="C436" s="13">
        <f t="shared" si="104"/>
        <v>1</v>
      </c>
      <c r="D436" s="599"/>
      <c r="E436" s="13">
        <f t="shared" si="105"/>
        <v>1</v>
      </c>
      <c r="F436" s="599"/>
      <c r="G436" s="13">
        <f t="shared" si="106"/>
        <v>1</v>
      </c>
      <c r="H436" s="599"/>
      <c r="I436" s="13">
        <f t="shared" si="107"/>
        <v>1</v>
      </c>
      <c r="J436" s="599"/>
      <c r="K436" s="13">
        <f t="shared" si="108"/>
        <v>1</v>
      </c>
      <c r="L436" s="599"/>
      <c r="M436" s="13">
        <f t="shared" si="109"/>
        <v>1</v>
      </c>
      <c r="N436" s="599"/>
      <c r="O436" s="13">
        <f t="shared" si="110"/>
        <v>1</v>
      </c>
      <c r="P436" s="599"/>
      <c r="Q436" s="13">
        <f t="shared" si="111"/>
        <v>0</v>
      </c>
      <c r="R436" s="596">
        <f t="shared" si="116"/>
        <v>0</v>
      </c>
      <c r="S436" s="250">
        <f t="shared" si="117"/>
        <v>0</v>
      </c>
      <c r="T436" s="899">
        <f t="shared" si="118"/>
        <v>0</v>
      </c>
      <c r="U436" s="2988">
        <f t="shared" si="112"/>
        <v>0</v>
      </c>
      <c r="V436" s="2988">
        <f t="shared" si="113"/>
        <v>0</v>
      </c>
      <c r="W436" s="996"/>
      <c r="X436" s="2988">
        <f t="shared" si="114"/>
        <v>0</v>
      </c>
      <c r="Y436" s="2988">
        <f t="shared" si="115"/>
        <v>0</v>
      </c>
      <c r="Z436" s="996"/>
    </row>
    <row r="437" spans="1:26">
      <c r="A437" s="35"/>
      <c r="B437" s="20"/>
      <c r="C437" s="13">
        <f t="shared" si="104"/>
        <v>1</v>
      </c>
      <c r="D437" s="599"/>
      <c r="E437" s="13">
        <f t="shared" si="105"/>
        <v>1</v>
      </c>
      <c r="F437" s="599"/>
      <c r="G437" s="13">
        <f t="shared" si="106"/>
        <v>1</v>
      </c>
      <c r="H437" s="599"/>
      <c r="I437" s="13">
        <f t="shared" si="107"/>
        <v>1</v>
      </c>
      <c r="J437" s="599"/>
      <c r="K437" s="13">
        <f t="shared" si="108"/>
        <v>1</v>
      </c>
      <c r="L437" s="599"/>
      <c r="M437" s="13">
        <f t="shared" si="109"/>
        <v>1</v>
      </c>
      <c r="N437" s="599"/>
      <c r="O437" s="13">
        <f t="shared" si="110"/>
        <v>1</v>
      </c>
      <c r="P437" s="599"/>
      <c r="Q437" s="13">
        <f t="shared" si="111"/>
        <v>0</v>
      </c>
      <c r="R437" s="596">
        <f t="shared" si="116"/>
        <v>0</v>
      </c>
      <c r="S437" s="250">
        <f t="shared" si="117"/>
        <v>0</v>
      </c>
      <c r="T437" s="899">
        <f t="shared" si="118"/>
        <v>0</v>
      </c>
      <c r="U437" s="2988">
        <f t="shared" si="112"/>
        <v>0</v>
      </c>
      <c r="V437" s="2988">
        <f t="shared" si="113"/>
        <v>0</v>
      </c>
      <c r="W437" s="996"/>
      <c r="X437" s="2988">
        <f t="shared" si="114"/>
        <v>0</v>
      </c>
      <c r="Y437" s="2988">
        <f t="shared" si="115"/>
        <v>0</v>
      </c>
      <c r="Z437" s="996"/>
    </row>
    <row r="438" spans="1:26">
      <c r="A438" s="35"/>
      <c r="B438" s="20"/>
      <c r="C438" s="13">
        <f t="shared" si="104"/>
        <v>1</v>
      </c>
      <c r="D438" s="599"/>
      <c r="E438" s="13">
        <f t="shared" si="105"/>
        <v>1</v>
      </c>
      <c r="F438" s="599"/>
      <c r="G438" s="13">
        <f t="shared" si="106"/>
        <v>1</v>
      </c>
      <c r="H438" s="599"/>
      <c r="I438" s="13">
        <f t="shared" si="107"/>
        <v>1</v>
      </c>
      <c r="J438" s="599"/>
      <c r="K438" s="13">
        <f t="shared" si="108"/>
        <v>1</v>
      </c>
      <c r="L438" s="599"/>
      <c r="M438" s="13">
        <f t="shared" si="109"/>
        <v>1</v>
      </c>
      <c r="N438" s="599"/>
      <c r="O438" s="13">
        <f t="shared" si="110"/>
        <v>1</v>
      </c>
      <c r="P438" s="599"/>
      <c r="Q438" s="13">
        <f t="shared" si="111"/>
        <v>0</v>
      </c>
      <c r="R438" s="596">
        <f t="shared" si="116"/>
        <v>0</v>
      </c>
      <c r="S438" s="250">
        <f t="shared" si="117"/>
        <v>0</v>
      </c>
      <c r="T438" s="899">
        <f t="shared" si="118"/>
        <v>0</v>
      </c>
      <c r="U438" s="2988">
        <f t="shared" si="112"/>
        <v>0</v>
      </c>
      <c r="V438" s="2988">
        <f t="shared" si="113"/>
        <v>0</v>
      </c>
      <c r="W438" s="996"/>
      <c r="X438" s="2988">
        <f t="shared" si="114"/>
        <v>0</v>
      </c>
      <c r="Y438" s="2988">
        <f t="shared" si="115"/>
        <v>0</v>
      </c>
      <c r="Z438" s="996"/>
    </row>
    <row r="439" spans="1:26">
      <c r="A439" s="35"/>
      <c r="B439" s="20"/>
      <c r="C439" s="13">
        <f t="shared" si="104"/>
        <v>1</v>
      </c>
      <c r="D439" s="599"/>
      <c r="E439" s="13">
        <f t="shared" si="105"/>
        <v>1</v>
      </c>
      <c r="F439" s="599"/>
      <c r="G439" s="13">
        <f t="shared" si="106"/>
        <v>1</v>
      </c>
      <c r="H439" s="599"/>
      <c r="I439" s="13">
        <f t="shared" si="107"/>
        <v>1</v>
      </c>
      <c r="J439" s="599"/>
      <c r="K439" s="13">
        <f t="shared" si="108"/>
        <v>1</v>
      </c>
      <c r="L439" s="599"/>
      <c r="M439" s="13">
        <f t="shared" si="109"/>
        <v>1</v>
      </c>
      <c r="N439" s="599"/>
      <c r="O439" s="13">
        <f t="shared" si="110"/>
        <v>1</v>
      </c>
      <c r="P439" s="599"/>
      <c r="Q439" s="13">
        <f t="shared" si="111"/>
        <v>0</v>
      </c>
      <c r="R439" s="596">
        <f t="shared" si="116"/>
        <v>0</v>
      </c>
      <c r="S439" s="250">
        <f t="shared" si="117"/>
        <v>0</v>
      </c>
      <c r="T439" s="899">
        <f t="shared" si="118"/>
        <v>0</v>
      </c>
      <c r="U439" s="2988">
        <f t="shared" si="112"/>
        <v>0</v>
      </c>
      <c r="V439" s="2988">
        <f t="shared" si="113"/>
        <v>0</v>
      </c>
      <c r="W439" s="996"/>
      <c r="X439" s="2988">
        <f t="shared" si="114"/>
        <v>0</v>
      </c>
      <c r="Y439" s="2988">
        <f t="shared" si="115"/>
        <v>0</v>
      </c>
      <c r="Z439" s="996"/>
    </row>
    <row r="440" spans="1:26">
      <c r="A440" s="35"/>
      <c r="B440" s="20"/>
      <c r="C440" s="13">
        <f t="shared" si="104"/>
        <v>1</v>
      </c>
      <c r="D440" s="599"/>
      <c r="E440" s="13">
        <f t="shared" si="105"/>
        <v>1</v>
      </c>
      <c r="F440" s="599"/>
      <c r="G440" s="13">
        <f t="shared" si="106"/>
        <v>1</v>
      </c>
      <c r="H440" s="599"/>
      <c r="I440" s="13">
        <f t="shared" si="107"/>
        <v>1</v>
      </c>
      <c r="J440" s="599"/>
      <c r="K440" s="13">
        <f t="shared" si="108"/>
        <v>1</v>
      </c>
      <c r="L440" s="599"/>
      <c r="M440" s="13">
        <f t="shared" si="109"/>
        <v>1</v>
      </c>
      <c r="N440" s="599"/>
      <c r="O440" s="13">
        <f t="shared" si="110"/>
        <v>1</v>
      </c>
      <c r="P440" s="599"/>
      <c r="Q440" s="13">
        <f t="shared" si="111"/>
        <v>0</v>
      </c>
      <c r="R440" s="596">
        <f t="shared" si="116"/>
        <v>0</v>
      </c>
      <c r="S440" s="250">
        <f t="shared" si="117"/>
        <v>0</v>
      </c>
      <c r="T440" s="899">
        <f t="shared" si="118"/>
        <v>0</v>
      </c>
      <c r="U440" s="2988">
        <f t="shared" si="112"/>
        <v>0</v>
      </c>
      <c r="V440" s="2988">
        <f t="shared" si="113"/>
        <v>0</v>
      </c>
      <c r="W440" s="996"/>
      <c r="X440" s="2988">
        <f t="shared" si="114"/>
        <v>0</v>
      </c>
      <c r="Y440" s="2988">
        <f t="shared" si="115"/>
        <v>0</v>
      </c>
      <c r="Z440" s="996"/>
    </row>
    <row r="441" spans="1:26">
      <c r="A441" s="35"/>
      <c r="B441" s="20"/>
      <c r="C441" s="13">
        <f t="shared" si="104"/>
        <v>1</v>
      </c>
      <c r="D441" s="599"/>
      <c r="E441" s="13">
        <f t="shared" si="105"/>
        <v>1</v>
      </c>
      <c r="F441" s="599"/>
      <c r="G441" s="13">
        <f t="shared" si="106"/>
        <v>1</v>
      </c>
      <c r="H441" s="599"/>
      <c r="I441" s="13">
        <f t="shared" si="107"/>
        <v>1</v>
      </c>
      <c r="J441" s="599"/>
      <c r="K441" s="13">
        <f t="shared" si="108"/>
        <v>1</v>
      </c>
      <c r="L441" s="599"/>
      <c r="M441" s="13">
        <f t="shared" si="109"/>
        <v>1</v>
      </c>
      <c r="N441" s="599"/>
      <c r="O441" s="13">
        <f t="shared" si="110"/>
        <v>1</v>
      </c>
      <c r="P441" s="599"/>
      <c r="Q441" s="13">
        <f t="shared" si="111"/>
        <v>0</v>
      </c>
      <c r="R441" s="596">
        <f t="shared" si="116"/>
        <v>0</v>
      </c>
      <c r="S441" s="250">
        <f t="shared" si="117"/>
        <v>0</v>
      </c>
      <c r="T441" s="899">
        <f t="shared" si="118"/>
        <v>0</v>
      </c>
      <c r="U441" s="2988">
        <f t="shared" si="112"/>
        <v>0</v>
      </c>
      <c r="V441" s="2988">
        <f t="shared" si="113"/>
        <v>0</v>
      </c>
      <c r="W441" s="996"/>
      <c r="X441" s="2988">
        <f t="shared" si="114"/>
        <v>0</v>
      </c>
      <c r="Y441" s="2988">
        <f t="shared" si="115"/>
        <v>0</v>
      </c>
      <c r="Z441" s="996"/>
    </row>
    <row r="442" spans="1:26">
      <c r="A442" s="35"/>
      <c r="B442" s="20"/>
      <c r="C442" s="13">
        <f t="shared" si="104"/>
        <v>1</v>
      </c>
      <c r="D442" s="599"/>
      <c r="E442" s="13">
        <f t="shared" si="105"/>
        <v>1</v>
      </c>
      <c r="F442" s="599"/>
      <c r="G442" s="13">
        <f t="shared" si="106"/>
        <v>1</v>
      </c>
      <c r="H442" s="599"/>
      <c r="I442" s="13">
        <f t="shared" si="107"/>
        <v>1</v>
      </c>
      <c r="J442" s="599"/>
      <c r="K442" s="13">
        <f t="shared" si="108"/>
        <v>1</v>
      </c>
      <c r="L442" s="599"/>
      <c r="M442" s="13">
        <f t="shared" si="109"/>
        <v>1</v>
      </c>
      <c r="N442" s="599"/>
      <c r="O442" s="13">
        <f t="shared" si="110"/>
        <v>1</v>
      </c>
      <c r="P442" s="599"/>
      <c r="Q442" s="13">
        <f t="shared" si="111"/>
        <v>0</v>
      </c>
      <c r="R442" s="596">
        <f t="shared" si="116"/>
        <v>0</v>
      </c>
      <c r="S442" s="250">
        <f t="shared" si="117"/>
        <v>0</v>
      </c>
      <c r="T442" s="899">
        <f t="shared" si="118"/>
        <v>0</v>
      </c>
      <c r="U442" s="2988">
        <f t="shared" si="112"/>
        <v>0</v>
      </c>
      <c r="V442" s="2988">
        <f t="shared" si="113"/>
        <v>0</v>
      </c>
      <c r="W442" s="996"/>
      <c r="X442" s="2988">
        <f t="shared" si="114"/>
        <v>0</v>
      </c>
      <c r="Y442" s="2988">
        <f t="shared" si="115"/>
        <v>0</v>
      </c>
      <c r="Z442" s="996"/>
    </row>
    <row r="443" spans="1:26">
      <c r="A443" s="35"/>
      <c r="B443" s="20"/>
      <c r="C443" s="13">
        <f t="shared" si="104"/>
        <v>1</v>
      </c>
      <c r="D443" s="599"/>
      <c r="E443" s="13">
        <f t="shared" si="105"/>
        <v>1</v>
      </c>
      <c r="F443" s="599"/>
      <c r="G443" s="13">
        <f t="shared" si="106"/>
        <v>1</v>
      </c>
      <c r="H443" s="599"/>
      <c r="I443" s="13">
        <f t="shared" si="107"/>
        <v>1</v>
      </c>
      <c r="J443" s="599"/>
      <c r="K443" s="13">
        <f t="shared" si="108"/>
        <v>1</v>
      </c>
      <c r="L443" s="599"/>
      <c r="M443" s="13">
        <f t="shared" si="109"/>
        <v>1</v>
      </c>
      <c r="N443" s="599"/>
      <c r="O443" s="13">
        <f t="shared" si="110"/>
        <v>1</v>
      </c>
      <c r="P443" s="599"/>
      <c r="Q443" s="13">
        <f t="shared" si="111"/>
        <v>0</v>
      </c>
      <c r="R443" s="596">
        <f t="shared" si="116"/>
        <v>0</v>
      </c>
      <c r="S443" s="250">
        <f t="shared" si="117"/>
        <v>0</v>
      </c>
      <c r="T443" s="899">
        <f t="shared" si="118"/>
        <v>0</v>
      </c>
      <c r="U443" s="2988">
        <f t="shared" si="112"/>
        <v>0</v>
      </c>
      <c r="V443" s="2988">
        <f t="shared" si="113"/>
        <v>0</v>
      </c>
      <c r="W443" s="996"/>
      <c r="X443" s="2988">
        <f t="shared" si="114"/>
        <v>0</v>
      </c>
      <c r="Y443" s="2988">
        <f t="shared" si="115"/>
        <v>0</v>
      </c>
      <c r="Z443" s="996"/>
    </row>
    <row r="444" spans="1:26">
      <c r="A444" s="35"/>
      <c r="B444" s="20"/>
      <c r="C444" s="13">
        <f t="shared" si="104"/>
        <v>1</v>
      </c>
      <c r="D444" s="599"/>
      <c r="E444" s="13">
        <f t="shared" si="105"/>
        <v>1</v>
      </c>
      <c r="F444" s="599"/>
      <c r="G444" s="13">
        <f t="shared" si="106"/>
        <v>1</v>
      </c>
      <c r="H444" s="599"/>
      <c r="I444" s="13">
        <f t="shared" si="107"/>
        <v>1</v>
      </c>
      <c r="J444" s="599"/>
      <c r="K444" s="13">
        <f t="shared" si="108"/>
        <v>1</v>
      </c>
      <c r="L444" s="599"/>
      <c r="M444" s="13">
        <f t="shared" si="109"/>
        <v>1</v>
      </c>
      <c r="N444" s="599"/>
      <c r="O444" s="13">
        <f t="shared" si="110"/>
        <v>1</v>
      </c>
      <c r="P444" s="599"/>
      <c r="Q444" s="13">
        <f t="shared" si="111"/>
        <v>0</v>
      </c>
      <c r="R444" s="596">
        <f t="shared" si="116"/>
        <v>0</v>
      </c>
      <c r="S444" s="250">
        <f t="shared" si="117"/>
        <v>0</v>
      </c>
      <c r="T444" s="899">
        <f t="shared" si="118"/>
        <v>0</v>
      </c>
      <c r="U444" s="2988">
        <f t="shared" si="112"/>
        <v>0</v>
      </c>
      <c r="V444" s="2988">
        <f t="shared" si="113"/>
        <v>0</v>
      </c>
      <c r="W444" s="996"/>
      <c r="X444" s="2988">
        <f t="shared" si="114"/>
        <v>0</v>
      </c>
      <c r="Y444" s="2988">
        <f t="shared" si="115"/>
        <v>0</v>
      </c>
      <c r="Z444" s="996"/>
    </row>
    <row r="445" spans="1:26">
      <c r="A445" s="35"/>
      <c r="B445" s="20"/>
      <c r="C445" s="13">
        <f t="shared" si="104"/>
        <v>1</v>
      </c>
      <c r="D445" s="599"/>
      <c r="E445" s="13">
        <f t="shared" si="105"/>
        <v>1</v>
      </c>
      <c r="F445" s="599"/>
      <c r="G445" s="13">
        <f t="shared" si="106"/>
        <v>1</v>
      </c>
      <c r="H445" s="599"/>
      <c r="I445" s="13">
        <f t="shared" si="107"/>
        <v>1</v>
      </c>
      <c r="J445" s="599"/>
      <c r="K445" s="13">
        <f t="shared" si="108"/>
        <v>1</v>
      </c>
      <c r="L445" s="599"/>
      <c r="M445" s="13">
        <f t="shared" si="109"/>
        <v>1</v>
      </c>
      <c r="N445" s="599"/>
      <c r="O445" s="13">
        <f t="shared" si="110"/>
        <v>1</v>
      </c>
      <c r="P445" s="599"/>
      <c r="Q445" s="13">
        <f t="shared" si="111"/>
        <v>0</v>
      </c>
      <c r="R445" s="596">
        <f t="shared" si="116"/>
        <v>0</v>
      </c>
      <c r="S445" s="250">
        <f t="shared" si="117"/>
        <v>0</v>
      </c>
      <c r="T445" s="899">
        <f t="shared" si="118"/>
        <v>0</v>
      </c>
      <c r="U445" s="2988">
        <f t="shared" si="112"/>
        <v>0</v>
      </c>
      <c r="V445" s="2988">
        <f t="shared" si="113"/>
        <v>0</v>
      </c>
      <c r="W445" s="996"/>
      <c r="X445" s="2988">
        <f t="shared" si="114"/>
        <v>0</v>
      </c>
      <c r="Y445" s="2988">
        <f t="shared" si="115"/>
        <v>0</v>
      </c>
      <c r="Z445" s="996"/>
    </row>
    <row r="446" spans="1:26">
      <c r="A446" s="35"/>
      <c r="B446" s="20"/>
      <c r="C446" s="13">
        <f t="shared" si="104"/>
        <v>1</v>
      </c>
      <c r="D446" s="599"/>
      <c r="E446" s="13">
        <f t="shared" si="105"/>
        <v>1</v>
      </c>
      <c r="F446" s="599"/>
      <c r="G446" s="13">
        <f t="shared" si="106"/>
        <v>1</v>
      </c>
      <c r="H446" s="599"/>
      <c r="I446" s="13">
        <f t="shared" si="107"/>
        <v>1</v>
      </c>
      <c r="J446" s="599"/>
      <c r="K446" s="13">
        <f t="shared" si="108"/>
        <v>1</v>
      </c>
      <c r="L446" s="599"/>
      <c r="M446" s="13">
        <f t="shared" si="109"/>
        <v>1</v>
      </c>
      <c r="N446" s="599"/>
      <c r="O446" s="13">
        <f t="shared" si="110"/>
        <v>1</v>
      </c>
      <c r="P446" s="599"/>
      <c r="Q446" s="13">
        <f t="shared" si="111"/>
        <v>0</v>
      </c>
      <c r="R446" s="596">
        <f t="shared" si="116"/>
        <v>0</v>
      </c>
      <c r="S446" s="250">
        <f t="shared" si="117"/>
        <v>0</v>
      </c>
      <c r="T446" s="899">
        <f t="shared" si="118"/>
        <v>0</v>
      </c>
      <c r="U446" s="2988">
        <f t="shared" si="112"/>
        <v>0</v>
      </c>
      <c r="V446" s="2988">
        <f t="shared" si="113"/>
        <v>0</v>
      </c>
      <c r="W446" s="996"/>
      <c r="X446" s="2988">
        <f t="shared" si="114"/>
        <v>0</v>
      </c>
      <c r="Y446" s="2988">
        <f t="shared" si="115"/>
        <v>0</v>
      </c>
      <c r="Z446" s="996"/>
    </row>
    <row r="447" spans="1:26">
      <c r="A447" s="35"/>
      <c r="B447" s="20"/>
      <c r="C447" s="13">
        <f t="shared" si="104"/>
        <v>1</v>
      </c>
      <c r="D447" s="599"/>
      <c r="E447" s="13">
        <f t="shared" si="105"/>
        <v>1</v>
      </c>
      <c r="F447" s="599"/>
      <c r="G447" s="13">
        <f t="shared" si="106"/>
        <v>1</v>
      </c>
      <c r="H447" s="599"/>
      <c r="I447" s="13">
        <f t="shared" si="107"/>
        <v>1</v>
      </c>
      <c r="J447" s="599"/>
      <c r="K447" s="13">
        <f t="shared" si="108"/>
        <v>1</v>
      </c>
      <c r="L447" s="599"/>
      <c r="M447" s="13">
        <f t="shared" si="109"/>
        <v>1</v>
      </c>
      <c r="N447" s="599"/>
      <c r="O447" s="13">
        <f t="shared" si="110"/>
        <v>1</v>
      </c>
      <c r="P447" s="599"/>
      <c r="Q447" s="13">
        <f t="shared" si="111"/>
        <v>0</v>
      </c>
      <c r="R447" s="596">
        <f t="shared" si="116"/>
        <v>0</v>
      </c>
      <c r="S447" s="250">
        <f t="shared" si="117"/>
        <v>0</v>
      </c>
      <c r="T447" s="899">
        <f t="shared" si="118"/>
        <v>0</v>
      </c>
      <c r="U447" s="2988">
        <f t="shared" si="112"/>
        <v>0</v>
      </c>
      <c r="V447" s="2988">
        <f t="shared" si="113"/>
        <v>0</v>
      </c>
      <c r="W447" s="996"/>
      <c r="X447" s="2988">
        <f t="shared" si="114"/>
        <v>0</v>
      </c>
      <c r="Y447" s="2988">
        <f t="shared" si="115"/>
        <v>0</v>
      </c>
      <c r="Z447" s="996"/>
    </row>
    <row r="448" spans="1:26">
      <c r="A448" s="35"/>
      <c r="B448" s="20"/>
      <c r="C448" s="13">
        <f t="shared" si="104"/>
        <v>1</v>
      </c>
      <c r="D448" s="599"/>
      <c r="E448" s="13">
        <f t="shared" si="105"/>
        <v>1</v>
      </c>
      <c r="F448" s="599"/>
      <c r="G448" s="13">
        <f t="shared" si="106"/>
        <v>1</v>
      </c>
      <c r="H448" s="599"/>
      <c r="I448" s="13">
        <f t="shared" si="107"/>
        <v>1</v>
      </c>
      <c r="J448" s="599"/>
      <c r="K448" s="13">
        <f t="shared" si="108"/>
        <v>1</v>
      </c>
      <c r="L448" s="599"/>
      <c r="M448" s="13">
        <f t="shared" si="109"/>
        <v>1</v>
      </c>
      <c r="N448" s="599"/>
      <c r="O448" s="13">
        <f t="shared" si="110"/>
        <v>1</v>
      </c>
      <c r="P448" s="599"/>
      <c r="Q448" s="13">
        <f t="shared" si="111"/>
        <v>0</v>
      </c>
      <c r="R448" s="596">
        <f t="shared" si="116"/>
        <v>0</v>
      </c>
      <c r="S448" s="250">
        <f t="shared" si="117"/>
        <v>0</v>
      </c>
      <c r="T448" s="899">
        <f t="shared" si="118"/>
        <v>0</v>
      </c>
      <c r="U448" s="2988">
        <f t="shared" si="112"/>
        <v>0</v>
      </c>
      <c r="V448" s="2988">
        <f t="shared" si="113"/>
        <v>0</v>
      </c>
      <c r="W448" s="996"/>
      <c r="X448" s="2988">
        <f t="shared" si="114"/>
        <v>0</v>
      </c>
      <c r="Y448" s="2988">
        <f t="shared" si="115"/>
        <v>0</v>
      </c>
      <c r="Z448" s="996"/>
    </row>
    <row r="449" spans="1:26">
      <c r="A449" s="35"/>
      <c r="B449" s="20"/>
      <c r="C449" s="13">
        <f t="shared" si="104"/>
        <v>1</v>
      </c>
      <c r="D449" s="599"/>
      <c r="E449" s="13">
        <f t="shared" si="105"/>
        <v>1</v>
      </c>
      <c r="F449" s="599"/>
      <c r="G449" s="13">
        <f t="shared" si="106"/>
        <v>1</v>
      </c>
      <c r="H449" s="599"/>
      <c r="I449" s="13">
        <f t="shared" si="107"/>
        <v>1</v>
      </c>
      <c r="J449" s="599"/>
      <c r="K449" s="13">
        <f t="shared" si="108"/>
        <v>1</v>
      </c>
      <c r="L449" s="599"/>
      <c r="M449" s="13">
        <f t="shared" si="109"/>
        <v>1</v>
      </c>
      <c r="N449" s="599"/>
      <c r="O449" s="13">
        <f t="shared" si="110"/>
        <v>1</v>
      </c>
      <c r="P449" s="599"/>
      <c r="Q449" s="13">
        <f t="shared" si="111"/>
        <v>0</v>
      </c>
      <c r="R449" s="596">
        <f t="shared" si="116"/>
        <v>0</v>
      </c>
      <c r="S449" s="250">
        <f t="shared" si="117"/>
        <v>0</v>
      </c>
      <c r="T449" s="899">
        <f t="shared" si="118"/>
        <v>0</v>
      </c>
      <c r="U449" s="2988">
        <f t="shared" si="112"/>
        <v>0</v>
      </c>
      <c r="V449" s="2988">
        <f t="shared" si="113"/>
        <v>0</v>
      </c>
      <c r="W449" s="996"/>
      <c r="X449" s="2988">
        <f t="shared" si="114"/>
        <v>0</v>
      </c>
      <c r="Y449" s="2988">
        <f t="shared" si="115"/>
        <v>0</v>
      </c>
      <c r="Z449" s="996"/>
    </row>
    <row r="450" spans="1:26">
      <c r="A450" s="35"/>
      <c r="B450" s="20"/>
      <c r="C450" s="13">
        <f t="shared" si="104"/>
        <v>1</v>
      </c>
      <c r="D450" s="599"/>
      <c r="E450" s="13">
        <f t="shared" si="105"/>
        <v>1</v>
      </c>
      <c r="F450" s="599"/>
      <c r="G450" s="13">
        <f t="shared" si="106"/>
        <v>1</v>
      </c>
      <c r="H450" s="599"/>
      <c r="I450" s="13">
        <f t="shared" si="107"/>
        <v>1</v>
      </c>
      <c r="J450" s="599"/>
      <c r="K450" s="13">
        <f t="shared" si="108"/>
        <v>1</v>
      </c>
      <c r="L450" s="599"/>
      <c r="M450" s="13">
        <f t="shared" si="109"/>
        <v>1</v>
      </c>
      <c r="N450" s="599"/>
      <c r="O450" s="13">
        <f t="shared" si="110"/>
        <v>1</v>
      </c>
      <c r="P450" s="599"/>
      <c r="Q450" s="13">
        <f t="shared" si="111"/>
        <v>0</v>
      </c>
      <c r="R450" s="596">
        <f t="shared" si="116"/>
        <v>0</v>
      </c>
      <c r="S450" s="250">
        <f t="shared" si="117"/>
        <v>0</v>
      </c>
      <c r="T450" s="899">
        <f t="shared" si="118"/>
        <v>0</v>
      </c>
      <c r="U450" s="2988">
        <f t="shared" si="112"/>
        <v>0</v>
      </c>
      <c r="V450" s="2988">
        <f t="shared" si="113"/>
        <v>0</v>
      </c>
      <c r="W450" s="996"/>
      <c r="X450" s="2988">
        <f t="shared" si="114"/>
        <v>0</v>
      </c>
      <c r="Y450" s="2988">
        <f t="shared" si="115"/>
        <v>0</v>
      </c>
      <c r="Z450" s="996"/>
    </row>
    <row r="451" spans="1:26">
      <c r="A451" s="35"/>
      <c r="B451" s="20"/>
      <c r="C451" s="13">
        <f t="shared" si="104"/>
        <v>1</v>
      </c>
      <c r="D451" s="599"/>
      <c r="E451" s="13">
        <f t="shared" si="105"/>
        <v>1</v>
      </c>
      <c r="F451" s="599"/>
      <c r="G451" s="13">
        <f t="shared" si="106"/>
        <v>1</v>
      </c>
      <c r="H451" s="599"/>
      <c r="I451" s="13">
        <f t="shared" si="107"/>
        <v>1</v>
      </c>
      <c r="J451" s="599"/>
      <c r="K451" s="13">
        <f t="shared" si="108"/>
        <v>1</v>
      </c>
      <c r="L451" s="599"/>
      <c r="M451" s="13">
        <f t="shared" si="109"/>
        <v>1</v>
      </c>
      <c r="N451" s="599"/>
      <c r="O451" s="13">
        <f t="shared" si="110"/>
        <v>1</v>
      </c>
      <c r="P451" s="599"/>
      <c r="Q451" s="13">
        <f t="shared" si="111"/>
        <v>0</v>
      </c>
      <c r="R451" s="596">
        <f t="shared" si="116"/>
        <v>0</v>
      </c>
      <c r="S451" s="250">
        <f t="shared" si="117"/>
        <v>0</v>
      </c>
      <c r="T451" s="899">
        <f t="shared" si="118"/>
        <v>0</v>
      </c>
      <c r="U451" s="2988">
        <f t="shared" si="112"/>
        <v>0</v>
      </c>
      <c r="V451" s="2988">
        <f t="shared" si="113"/>
        <v>0</v>
      </c>
      <c r="W451" s="996"/>
      <c r="X451" s="2988">
        <f t="shared" si="114"/>
        <v>0</v>
      </c>
      <c r="Y451" s="2988">
        <f t="shared" si="115"/>
        <v>0</v>
      </c>
      <c r="Z451" s="996"/>
    </row>
    <row r="452" spans="1:26">
      <c r="A452" s="35"/>
      <c r="B452" s="20"/>
      <c r="C452" s="13">
        <f t="shared" si="104"/>
        <v>1</v>
      </c>
      <c r="D452" s="599"/>
      <c r="E452" s="13">
        <f t="shared" si="105"/>
        <v>1</v>
      </c>
      <c r="F452" s="599"/>
      <c r="G452" s="13">
        <f t="shared" si="106"/>
        <v>1</v>
      </c>
      <c r="H452" s="599"/>
      <c r="I452" s="13">
        <f t="shared" si="107"/>
        <v>1</v>
      </c>
      <c r="J452" s="599"/>
      <c r="K452" s="13">
        <f t="shared" si="108"/>
        <v>1</v>
      </c>
      <c r="L452" s="599"/>
      <c r="M452" s="13">
        <f t="shared" si="109"/>
        <v>1</v>
      </c>
      <c r="N452" s="599"/>
      <c r="O452" s="13">
        <f t="shared" si="110"/>
        <v>1</v>
      </c>
      <c r="P452" s="599"/>
      <c r="Q452" s="13">
        <f t="shared" si="111"/>
        <v>0</v>
      </c>
      <c r="R452" s="596">
        <f t="shared" si="116"/>
        <v>0</v>
      </c>
      <c r="S452" s="250">
        <f t="shared" si="117"/>
        <v>0</v>
      </c>
      <c r="T452" s="899">
        <f t="shared" si="118"/>
        <v>0</v>
      </c>
      <c r="U452" s="2988">
        <f t="shared" si="112"/>
        <v>0</v>
      </c>
      <c r="V452" s="2988">
        <f t="shared" si="113"/>
        <v>0</v>
      </c>
      <c r="W452" s="996"/>
      <c r="X452" s="2988">
        <f t="shared" si="114"/>
        <v>0</v>
      </c>
      <c r="Y452" s="2988">
        <f t="shared" si="115"/>
        <v>0</v>
      </c>
      <c r="Z452" s="996"/>
    </row>
    <row r="453" spans="1:26">
      <c r="A453" s="35"/>
      <c r="B453" s="20"/>
      <c r="C453" s="13">
        <f t="shared" si="104"/>
        <v>1</v>
      </c>
      <c r="D453" s="599"/>
      <c r="E453" s="13">
        <f t="shared" si="105"/>
        <v>1</v>
      </c>
      <c r="F453" s="599"/>
      <c r="G453" s="13">
        <f t="shared" si="106"/>
        <v>1</v>
      </c>
      <c r="H453" s="599"/>
      <c r="I453" s="13">
        <f t="shared" si="107"/>
        <v>1</v>
      </c>
      <c r="J453" s="599"/>
      <c r="K453" s="13">
        <f t="shared" si="108"/>
        <v>1</v>
      </c>
      <c r="L453" s="599"/>
      <c r="M453" s="13">
        <f t="shared" si="109"/>
        <v>1</v>
      </c>
      <c r="N453" s="599"/>
      <c r="O453" s="13">
        <f t="shared" si="110"/>
        <v>1</v>
      </c>
      <c r="P453" s="599"/>
      <c r="Q453" s="13">
        <f t="shared" si="111"/>
        <v>0</v>
      </c>
      <c r="R453" s="596">
        <f t="shared" si="116"/>
        <v>0</v>
      </c>
      <c r="S453" s="250">
        <f t="shared" si="117"/>
        <v>0</v>
      </c>
      <c r="T453" s="899">
        <f t="shared" si="118"/>
        <v>0</v>
      </c>
      <c r="U453" s="2988">
        <f t="shared" si="112"/>
        <v>0</v>
      </c>
      <c r="V453" s="2988">
        <f t="shared" si="113"/>
        <v>0</v>
      </c>
      <c r="W453" s="996"/>
      <c r="X453" s="2988">
        <f t="shared" si="114"/>
        <v>0</v>
      </c>
      <c r="Y453" s="2988">
        <f t="shared" si="115"/>
        <v>0</v>
      </c>
      <c r="Z453" s="996"/>
    </row>
    <row r="454" spans="1:26">
      <c r="A454" s="35"/>
      <c r="B454" s="20"/>
      <c r="C454" s="13">
        <f t="shared" si="104"/>
        <v>1</v>
      </c>
      <c r="D454" s="599"/>
      <c r="E454" s="13">
        <f t="shared" si="105"/>
        <v>1</v>
      </c>
      <c r="F454" s="599"/>
      <c r="G454" s="13">
        <f t="shared" si="106"/>
        <v>1</v>
      </c>
      <c r="H454" s="599"/>
      <c r="I454" s="13">
        <f t="shared" si="107"/>
        <v>1</v>
      </c>
      <c r="J454" s="599"/>
      <c r="K454" s="13">
        <f t="shared" si="108"/>
        <v>1</v>
      </c>
      <c r="L454" s="599"/>
      <c r="M454" s="13">
        <f t="shared" si="109"/>
        <v>1</v>
      </c>
      <c r="N454" s="599"/>
      <c r="O454" s="13">
        <f t="shared" si="110"/>
        <v>1</v>
      </c>
      <c r="P454" s="599"/>
      <c r="Q454" s="13">
        <f t="shared" si="111"/>
        <v>0</v>
      </c>
      <c r="R454" s="596">
        <f t="shared" si="116"/>
        <v>0</v>
      </c>
      <c r="S454" s="250">
        <f t="shared" si="117"/>
        <v>0</v>
      </c>
      <c r="T454" s="899">
        <f t="shared" si="118"/>
        <v>0</v>
      </c>
      <c r="U454" s="2988">
        <f t="shared" si="112"/>
        <v>0</v>
      </c>
      <c r="V454" s="2988">
        <f t="shared" si="113"/>
        <v>0</v>
      </c>
      <c r="W454" s="996"/>
      <c r="X454" s="2988">
        <f t="shared" si="114"/>
        <v>0</v>
      </c>
      <c r="Y454" s="2988">
        <f t="shared" si="115"/>
        <v>0</v>
      </c>
      <c r="Z454" s="996"/>
    </row>
    <row r="455" spans="1:26">
      <c r="A455" s="35"/>
      <c r="B455" s="20"/>
      <c r="C455" s="13">
        <f t="shared" si="104"/>
        <v>1</v>
      </c>
      <c r="D455" s="599"/>
      <c r="E455" s="13">
        <f t="shared" si="105"/>
        <v>1</v>
      </c>
      <c r="F455" s="599"/>
      <c r="G455" s="13">
        <f t="shared" si="106"/>
        <v>1</v>
      </c>
      <c r="H455" s="599"/>
      <c r="I455" s="13">
        <f t="shared" si="107"/>
        <v>1</v>
      </c>
      <c r="J455" s="599"/>
      <c r="K455" s="13">
        <f t="shared" si="108"/>
        <v>1</v>
      </c>
      <c r="L455" s="599"/>
      <c r="M455" s="13">
        <f t="shared" si="109"/>
        <v>1</v>
      </c>
      <c r="N455" s="599"/>
      <c r="O455" s="13">
        <f t="shared" si="110"/>
        <v>1</v>
      </c>
      <c r="P455" s="599"/>
      <c r="Q455" s="13">
        <f t="shared" si="111"/>
        <v>0</v>
      </c>
      <c r="R455" s="596">
        <f t="shared" si="116"/>
        <v>0</v>
      </c>
      <c r="S455" s="250">
        <f t="shared" si="117"/>
        <v>0</v>
      </c>
      <c r="T455" s="899">
        <f t="shared" si="118"/>
        <v>0</v>
      </c>
      <c r="U455" s="2988">
        <f t="shared" si="112"/>
        <v>0</v>
      </c>
      <c r="V455" s="2988">
        <f t="shared" si="113"/>
        <v>0</v>
      </c>
      <c r="W455" s="996"/>
      <c r="X455" s="2988">
        <f t="shared" si="114"/>
        <v>0</v>
      </c>
      <c r="Y455" s="2988">
        <f t="shared" si="115"/>
        <v>0</v>
      </c>
      <c r="Z455" s="996"/>
    </row>
    <row r="456" spans="1:26">
      <c r="A456" s="35"/>
      <c r="B456" s="20"/>
      <c r="C456" s="13">
        <f t="shared" si="104"/>
        <v>1</v>
      </c>
      <c r="D456" s="599"/>
      <c r="E456" s="13">
        <f t="shared" si="105"/>
        <v>1</v>
      </c>
      <c r="F456" s="599"/>
      <c r="G456" s="13">
        <f t="shared" si="106"/>
        <v>1</v>
      </c>
      <c r="H456" s="599"/>
      <c r="I456" s="13">
        <f t="shared" si="107"/>
        <v>1</v>
      </c>
      <c r="J456" s="599"/>
      <c r="K456" s="13">
        <f t="shared" si="108"/>
        <v>1</v>
      </c>
      <c r="L456" s="599"/>
      <c r="M456" s="13">
        <f t="shared" si="109"/>
        <v>1</v>
      </c>
      <c r="N456" s="599"/>
      <c r="O456" s="13">
        <f t="shared" si="110"/>
        <v>1</v>
      </c>
      <c r="P456" s="599"/>
      <c r="Q456" s="13">
        <f t="shared" si="111"/>
        <v>0</v>
      </c>
      <c r="R456" s="596">
        <f t="shared" si="116"/>
        <v>0</v>
      </c>
      <c r="S456" s="250">
        <f t="shared" si="117"/>
        <v>0</v>
      </c>
      <c r="T456" s="899">
        <f t="shared" si="118"/>
        <v>0</v>
      </c>
      <c r="U456" s="2988">
        <f t="shared" si="112"/>
        <v>0</v>
      </c>
      <c r="V456" s="2988">
        <f t="shared" si="113"/>
        <v>0</v>
      </c>
      <c r="W456" s="996"/>
      <c r="X456" s="2988">
        <f t="shared" si="114"/>
        <v>0</v>
      </c>
      <c r="Y456" s="2988">
        <f t="shared" si="115"/>
        <v>0</v>
      </c>
      <c r="Z456" s="996"/>
    </row>
    <row r="457" spans="1:26">
      <c r="A457" s="35"/>
      <c r="B457" s="20"/>
      <c r="C457" s="13">
        <f t="shared" si="104"/>
        <v>1</v>
      </c>
      <c r="D457" s="599"/>
      <c r="E457" s="13">
        <f t="shared" si="105"/>
        <v>1</v>
      </c>
      <c r="F457" s="599"/>
      <c r="G457" s="13">
        <f t="shared" si="106"/>
        <v>1</v>
      </c>
      <c r="H457" s="599"/>
      <c r="I457" s="13">
        <f t="shared" si="107"/>
        <v>1</v>
      </c>
      <c r="J457" s="599"/>
      <c r="K457" s="13">
        <f t="shared" si="108"/>
        <v>1</v>
      </c>
      <c r="L457" s="599"/>
      <c r="M457" s="13">
        <f t="shared" si="109"/>
        <v>1</v>
      </c>
      <c r="N457" s="599"/>
      <c r="O457" s="13">
        <f t="shared" si="110"/>
        <v>1</v>
      </c>
      <c r="P457" s="599"/>
      <c r="Q457" s="13">
        <f t="shared" si="111"/>
        <v>0</v>
      </c>
      <c r="R457" s="596">
        <f t="shared" si="116"/>
        <v>0</v>
      </c>
      <c r="S457" s="250">
        <f t="shared" si="117"/>
        <v>0</v>
      </c>
      <c r="T457" s="899">
        <f t="shared" si="118"/>
        <v>0</v>
      </c>
      <c r="U457" s="2988">
        <f t="shared" si="112"/>
        <v>0</v>
      </c>
      <c r="V457" s="2988">
        <f t="shared" si="113"/>
        <v>0</v>
      </c>
      <c r="W457" s="996"/>
      <c r="X457" s="2988">
        <f t="shared" si="114"/>
        <v>0</v>
      </c>
      <c r="Y457" s="2988">
        <f t="shared" si="115"/>
        <v>0</v>
      </c>
      <c r="Z457" s="996"/>
    </row>
    <row r="458" spans="1:26">
      <c r="A458" s="35"/>
      <c r="B458" s="20"/>
      <c r="C458" s="13">
        <f t="shared" si="104"/>
        <v>1</v>
      </c>
      <c r="D458" s="599"/>
      <c r="E458" s="13">
        <f t="shared" si="105"/>
        <v>1</v>
      </c>
      <c r="F458" s="599"/>
      <c r="G458" s="13">
        <f t="shared" si="106"/>
        <v>1</v>
      </c>
      <c r="H458" s="599"/>
      <c r="I458" s="13">
        <f t="shared" si="107"/>
        <v>1</v>
      </c>
      <c r="J458" s="599"/>
      <c r="K458" s="13">
        <f t="shared" si="108"/>
        <v>1</v>
      </c>
      <c r="L458" s="599"/>
      <c r="M458" s="13">
        <f t="shared" si="109"/>
        <v>1</v>
      </c>
      <c r="N458" s="599"/>
      <c r="O458" s="13">
        <f t="shared" si="110"/>
        <v>1</v>
      </c>
      <c r="P458" s="599"/>
      <c r="Q458" s="13">
        <f t="shared" si="111"/>
        <v>0</v>
      </c>
      <c r="R458" s="596">
        <f t="shared" si="116"/>
        <v>0</v>
      </c>
      <c r="S458" s="250">
        <f t="shared" si="117"/>
        <v>0</v>
      </c>
      <c r="T458" s="899">
        <f t="shared" si="118"/>
        <v>0</v>
      </c>
      <c r="U458" s="2988">
        <f t="shared" si="112"/>
        <v>0</v>
      </c>
      <c r="V458" s="2988">
        <f t="shared" si="113"/>
        <v>0</v>
      </c>
      <c r="W458" s="996"/>
      <c r="X458" s="2988">
        <f t="shared" si="114"/>
        <v>0</v>
      </c>
      <c r="Y458" s="2988">
        <f t="shared" si="115"/>
        <v>0</v>
      </c>
      <c r="Z458" s="996"/>
    </row>
    <row r="459" spans="1:26">
      <c r="A459" s="35"/>
      <c r="B459" s="20"/>
      <c r="C459" s="13">
        <f t="shared" si="104"/>
        <v>1</v>
      </c>
      <c r="D459" s="599"/>
      <c r="E459" s="13">
        <f t="shared" si="105"/>
        <v>1</v>
      </c>
      <c r="F459" s="599"/>
      <c r="G459" s="13">
        <f t="shared" si="106"/>
        <v>1</v>
      </c>
      <c r="H459" s="599"/>
      <c r="I459" s="13">
        <f t="shared" si="107"/>
        <v>1</v>
      </c>
      <c r="J459" s="599"/>
      <c r="K459" s="13">
        <f t="shared" si="108"/>
        <v>1</v>
      </c>
      <c r="L459" s="599"/>
      <c r="M459" s="13">
        <f t="shared" si="109"/>
        <v>1</v>
      </c>
      <c r="N459" s="599"/>
      <c r="O459" s="13">
        <f t="shared" si="110"/>
        <v>1</v>
      </c>
      <c r="P459" s="599"/>
      <c r="Q459" s="13">
        <f t="shared" si="111"/>
        <v>0</v>
      </c>
      <c r="R459" s="596">
        <f t="shared" si="116"/>
        <v>0</v>
      </c>
      <c r="S459" s="250">
        <f t="shared" si="117"/>
        <v>0</v>
      </c>
      <c r="T459" s="899">
        <f t="shared" si="118"/>
        <v>0</v>
      </c>
      <c r="U459" s="2988">
        <f t="shared" si="112"/>
        <v>0</v>
      </c>
      <c r="V459" s="2988">
        <f t="shared" si="113"/>
        <v>0</v>
      </c>
      <c r="W459" s="996"/>
      <c r="X459" s="2988">
        <f t="shared" si="114"/>
        <v>0</v>
      </c>
      <c r="Y459" s="2988">
        <f t="shared" si="115"/>
        <v>0</v>
      </c>
      <c r="Z459" s="996"/>
    </row>
    <row r="460" spans="1:26">
      <c r="A460" s="35"/>
      <c r="B460" s="20"/>
      <c r="C460" s="13">
        <f t="shared" si="104"/>
        <v>1</v>
      </c>
      <c r="D460" s="599"/>
      <c r="E460" s="13">
        <f t="shared" si="105"/>
        <v>1</v>
      </c>
      <c r="F460" s="599"/>
      <c r="G460" s="13">
        <f t="shared" si="106"/>
        <v>1</v>
      </c>
      <c r="H460" s="599"/>
      <c r="I460" s="13">
        <f t="shared" si="107"/>
        <v>1</v>
      </c>
      <c r="J460" s="599"/>
      <c r="K460" s="13">
        <f t="shared" si="108"/>
        <v>1</v>
      </c>
      <c r="L460" s="599"/>
      <c r="M460" s="13">
        <f t="shared" si="109"/>
        <v>1</v>
      </c>
      <c r="N460" s="599"/>
      <c r="O460" s="13">
        <f t="shared" si="110"/>
        <v>1</v>
      </c>
      <c r="P460" s="599"/>
      <c r="Q460" s="13">
        <f t="shared" si="111"/>
        <v>0</v>
      </c>
      <c r="R460" s="596">
        <f t="shared" si="116"/>
        <v>0</v>
      </c>
      <c r="S460" s="250">
        <f t="shared" si="117"/>
        <v>0</v>
      </c>
      <c r="T460" s="899">
        <f t="shared" si="118"/>
        <v>0</v>
      </c>
      <c r="U460" s="2988">
        <f t="shared" si="112"/>
        <v>0</v>
      </c>
      <c r="V460" s="2988">
        <f t="shared" si="113"/>
        <v>0</v>
      </c>
      <c r="W460" s="996"/>
      <c r="X460" s="2988">
        <f t="shared" si="114"/>
        <v>0</v>
      </c>
      <c r="Y460" s="2988">
        <f t="shared" si="115"/>
        <v>0</v>
      </c>
      <c r="Z460" s="996"/>
    </row>
    <row r="461" spans="1:26">
      <c r="A461" s="35"/>
      <c r="B461" s="20"/>
      <c r="C461" s="13">
        <f t="shared" si="104"/>
        <v>1</v>
      </c>
      <c r="D461" s="599"/>
      <c r="E461" s="13">
        <f t="shared" si="105"/>
        <v>1</v>
      </c>
      <c r="F461" s="599"/>
      <c r="G461" s="13">
        <f t="shared" si="106"/>
        <v>1</v>
      </c>
      <c r="H461" s="599"/>
      <c r="I461" s="13">
        <f t="shared" si="107"/>
        <v>1</v>
      </c>
      <c r="J461" s="599"/>
      <c r="K461" s="13">
        <f t="shared" si="108"/>
        <v>1</v>
      </c>
      <c r="L461" s="599"/>
      <c r="M461" s="13">
        <f t="shared" si="109"/>
        <v>1</v>
      </c>
      <c r="N461" s="599"/>
      <c r="O461" s="13">
        <f t="shared" si="110"/>
        <v>1</v>
      </c>
      <c r="P461" s="599"/>
      <c r="Q461" s="13">
        <f t="shared" si="111"/>
        <v>0</v>
      </c>
      <c r="R461" s="596">
        <f t="shared" si="116"/>
        <v>0</v>
      </c>
      <c r="S461" s="250">
        <f t="shared" si="117"/>
        <v>0</v>
      </c>
      <c r="T461" s="899">
        <f t="shared" si="118"/>
        <v>0</v>
      </c>
      <c r="U461" s="2988">
        <f t="shared" si="112"/>
        <v>0</v>
      </c>
      <c r="V461" s="2988">
        <f t="shared" si="113"/>
        <v>0</v>
      </c>
      <c r="W461" s="996"/>
      <c r="X461" s="2988">
        <f t="shared" si="114"/>
        <v>0</v>
      </c>
      <c r="Y461" s="2988">
        <f t="shared" si="115"/>
        <v>0</v>
      </c>
      <c r="Z461" s="996"/>
    </row>
    <row r="462" spans="1:26">
      <c r="A462" s="35"/>
      <c r="B462" s="20"/>
      <c r="C462" s="13">
        <f t="shared" si="104"/>
        <v>1</v>
      </c>
      <c r="D462" s="599"/>
      <c r="E462" s="13">
        <f t="shared" si="105"/>
        <v>1</v>
      </c>
      <c r="F462" s="599"/>
      <c r="G462" s="13">
        <f t="shared" si="106"/>
        <v>1</v>
      </c>
      <c r="H462" s="599"/>
      <c r="I462" s="13">
        <f t="shared" si="107"/>
        <v>1</v>
      </c>
      <c r="J462" s="599"/>
      <c r="K462" s="13">
        <f t="shared" si="108"/>
        <v>1</v>
      </c>
      <c r="L462" s="599"/>
      <c r="M462" s="13">
        <f t="shared" si="109"/>
        <v>1</v>
      </c>
      <c r="N462" s="599"/>
      <c r="O462" s="13">
        <f t="shared" si="110"/>
        <v>1</v>
      </c>
      <c r="P462" s="599"/>
      <c r="Q462" s="13">
        <f t="shared" si="111"/>
        <v>0</v>
      </c>
      <c r="R462" s="596">
        <f t="shared" si="116"/>
        <v>0</v>
      </c>
      <c r="S462" s="250">
        <f t="shared" si="117"/>
        <v>0</v>
      </c>
      <c r="T462" s="899">
        <f t="shared" si="118"/>
        <v>0</v>
      </c>
      <c r="U462" s="2988">
        <f t="shared" si="112"/>
        <v>0</v>
      </c>
      <c r="V462" s="2988">
        <f t="shared" si="113"/>
        <v>0</v>
      </c>
      <c r="W462" s="996"/>
      <c r="X462" s="2988">
        <f t="shared" si="114"/>
        <v>0</v>
      </c>
      <c r="Y462" s="2988">
        <f t="shared" si="115"/>
        <v>0</v>
      </c>
      <c r="Z462" s="996"/>
    </row>
    <row r="463" spans="1:26">
      <c r="A463" s="35"/>
      <c r="B463" s="20"/>
      <c r="C463" s="13">
        <f t="shared" si="104"/>
        <v>1</v>
      </c>
      <c r="D463" s="599"/>
      <c r="E463" s="13">
        <f t="shared" si="105"/>
        <v>1</v>
      </c>
      <c r="F463" s="599"/>
      <c r="G463" s="13">
        <f t="shared" si="106"/>
        <v>1</v>
      </c>
      <c r="H463" s="599"/>
      <c r="I463" s="13">
        <f t="shared" si="107"/>
        <v>1</v>
      </c>
      <c r="J463" s="599"/>
      <c r="K463" s="13">
        <f t="shared" si="108"/>
        <v>1</v>
      </c>
      <c r="L463" s="599"/>
      <c r="M463" s="13">
        <f t="shared" si="109"/>
        <v>1</v>
      </c>
      <c r="N463" s="599"/>
      <c r="O463" s="13">
        <f t="shared" si="110"/>
        <v>1</v>
      </c>
      <c r="P463" s="599"/>
      <c r="Q463" s="13">
        <f t="shared" si="111"/>
        <v>0</v>
      </c>
      <c r="R463" s="596">
        <f t="shared" si="116"/>
        <v>0</v>
      </c>
      <c r="S463" s="250">
        <f t="shared" si="117"/>
        <v>0</v>
      </c>
      <c r="T463" s="899">
        <f t="shared" si="118"/>
        <v>0</v>
      </c>
      <c r="U463" s="2988">
        <f t="shared" si="112"/>
        <v>0</v>
      </c>
      <c r="V463" s="2988">
        <f t="shared" si="113"/>
        <v>0</v>
      </c>
      <c r="W463" s="996"/>
      <c r="X463" s="2988">
        <f t="shared" si="114"/>
        <v>0</v>
      </c>
      <c r="Y463" s="2988">
        <f t="shared" si="115"/>
        <v>0</v>
      </c>
      <c r="Z463" s="996"/>
    </row>
    <row r="464" spans="1:26">
      <c r="A464" s="35"/>
      <c r="B464" s="20"/>
      <c r="C464" s="13">
        <f t="shared" si="104"/>
        <v>1</v>
      </c>
      <c r="D464" s="599"/>
      <c r="E464" s="13">
        <f t="shared" si="105"/>
        <v>1</v>
      </c>
      <c r="F464" s="599"/>
      <c r="G464" s="13">
        <f t="shared" si="106"/>
        <v>1</v>
      </c>
      <c r="H464" s="599"/>
      <c r="I464" s="13">
        <f t="shared" si="107"/>
        <v>1</v>
      </c>
      <c r="J464" s="599"/>
      <c r="K464" s="13">
        <f t="shared" si="108"/>
        <v>1</v>
      </c>
      <c r="L464" s="599"/>
      <c r="M464" s="13">
        <f t="shared" si="109"/>
        <v>1</v>
      </c>
      <c r="N464" s="599"/>
      <c r="O464" s="13">
        <f t="shared" si="110"/>
        <v>1</v>
      </c>
      <c r="P464" s="599"/>
      <c r="Q464" s="13">
        <f t="shared" si="111"/>
        <v>0</v>
      </c>
      <c r="R464" s="596">
        <f t="shared" si="116"/>
        <v>0</v>
      </c>
      <c r="S464" s="250">
        <f t="shared" si="117"/>
        <v>0</v>
      </c>
      <c r="T464" s="899">
        <f t="shared" si="118"/>
        <v>0</v>
      </c>
      <c r="U464" s="2988">
        <f t="shared" si="112"/>
        <v>0</v>
      </c>
      <c r="V464" s="2988">
        <f t="shared" si="113"/>
        <v>0</v>
      </c>
      <c r="W464" s="996"/>
      <c r="X464" s="2988">
        <f t="shared" si="114"/>
        <v>0</v>
      </c>
      <c r="Y464" s="2988">
        <f t="shared" si="115"/>
        <v>0</v>
      </c>
      <c r="Z464" s="996"/>
    </row>
    <row r="465" spans="1:26">
      <c r="A465" s="35"/>
      <c r="B465" s="20"/>
      <c r="C465" s="13">
        <f t="shared" si="104"/>
        <v>1</v>
      </c>
      <c r="D465" s="599"/>
      <c r="E465" s="13">
        <f t="shared" si="105"/>
        <v>1</v>
      </c>
      <c r="F465" s="599"/>
      <c r="G465" s="13">
        <f t="shared" si="106"/>
        <v>1</v>
      </c>
      <c r="H465" s="599"/>
      <c r="I465" s="13">
        <f t="shared" si="107"/>
        <v>1</v>
      </c>
      <c r="J465" s="599"/>
      <c r="K465" s="13">
        <f t="shared" si="108"/>
        <v>1</v>
      </c>
      <c r="L465" s="599"/>
      <c r="M465" s="13">
        <f t="shared" si="109"/>
        <v>1</v>
      </c>
      <c r="N465" s="599"/>
      <c r="O465" s="13">
        <f t="shared" si="110"/>
        <v>1</v>
      </c>
      <c r="P465" s="599"/>
      <c r="Q465" s="13">
        <f t="shared" si="111"/>
        <v>0</v>
      </c>
      <c r="R465" s="596">
        <f t="shared" si="116"/>
        <v>0</v>
      </c>
      <c r="S465" s="250">
        <f t="shared" si="117"/>
        <v>0</v>
      </c>
      <c r="T465" s="899">
        <f t="shared" si="118"/>
        <v>0</v>
      </c>
      <c r="U465" s="2988">
        <f t="shared" si="112"/>
        <v>0</v>
      </c>
      <c r="V465" s="2988">
        <f t="shared" si="113"/>
        <v>0</v>
      </c>
      <c r="W465" s="996"/>
      <c r="X465" s="2988">
        <f t="shared" si="114"/>
        <v>0</v>
      </c>
      <c r="Y465" s="2988">
        <f t="shared" si="115"/>
        <v>0</v>
      </c>
      <c r="Z465" s="996"/>
    </row>
    <row r="466" spans="1:26">
      <c r="A466" s="35"/>
      <c r="B466" s="20"/>
      <c r="C466" s="13">
        <f t="shared" si="104"/>
        <v>1</v>
      </c>
      <c r="D466" s="599"/>
      <c r="E466" s="13">
        <f t="shared" si="105"/>
        <v>1</v>
      </c>
      <c r="F466" s="599"/>
      <c r="G466" s="13">
        <f t="shared" si="106"/>
        <v>1</v>
      </c>
      <c r="H466" s="599"/>
      <c r="I466" s="13">
        <f t="shared" si="107"/>
        <v>1</v>
      </c>
      <c r="J466" s="599"/>
      <c r="K466" s="13">
        <f t="shared" si="108"/>
        <v>1</v>
      </c>
      <c r="L466" s="599"/>
      <c r="M466" s="13">
        <f t="shared" si="109"/>
        <v>1</v>
      </c>
      <c r="N466" s="599"/>
      <c r="O466" s="13">
        <f t="shared" si="110"/>
        <v>1</v>
      </c>
      <c r="P466" s="599"/>
      <c r="Q466" s="13">
        <f t="shared" si="111"/>
        <v>0</v>
      </c>
      <c r="R466" s="596">
        <f t="shared" si="116"/>
        <v>0</v>
      </c>
      <c r="S466" s="250">
        <f t="shared" si="117"/>
        <v>0</v>
      </c>
      <c r="T466" s="899">
        <f t="shared" si="118"/>
        <v>0</v>
      </c>
      <c r="U466" s="2988">
        <f t="shared" si="112"/>
        <v>0</v>
      </c>
      <c r="V466" s="2988">
        <f t="shared" si="113"/>
        <v>0</v>
      </c>
      <c r="W466" s="996"/>
      <c r="X466" s="2988">
        <f t="shared" si="114"/>
        <v>0</v>
      </c>
      <c r="Y466" s="2988">
        <f t="shared" si="115"/>
        <v>0</v>
      </c>
      <c r="Z466" s="996"/>
    </row>
    <row r="467" spans="1:26">
      <c r="A467" s="35"/>
      <c r="B467" s="20"/>
      <c r="C467" s="13">
        <f t="shared" si="104"/>
        <v>1</v>
      </c>
      <c r="D467" s="599"/>
      <c r="E467" s="13">
        <f t="shared" si="105"/>
        <v>1</v>
      </c>
      <c r="F467" s="599"/>
      <c r="G467" s="13">
        <f t="shared" si="106"/>
        <v>1</v>
      </c>
      <c r="H467" s="599"/>
      <c r="I467" s="13">
        <f t="shared" si="107"/>
        <v>1</v>
      </c>
      <c r="J467" s="599"/>
      <c r="K467" s="13">
        <f t="shared" si="108"/>
        <v>1</v>
      </c>
      <c r="L467" s="599"/>
      <c r="M467" s="13">
        <f t="shared" si="109"/>
        <v>1</v>
      </c>
      <c r="N467" s="599"/>
      <c r="O467" s="13">
        <f t="shared" si="110"/>
        <v>1</v>
      </c>
      <c r="P467" s="599"/>
      <c r="Q467" s="13">
        <f t="shared" si="111"/>
        <v>0</v>
      </c>
      <c r="R467" s="596">
        <f t="shared" si="116"/>
        <v>0</v>
      </c>
      <c r="S467" s="250">
        <f t="shared" si="117"/>
        <v>0</v>
      </c>
      <c r="T467" s="899">
        <f t="shared" si="118"/>
        <v>0</v>
      </c>
      <c r="U467" s="2988">
        <f t="shared" si="112"/>
        <v>0</v>
      </c>
      <c r="V467" s="2988">
        <f t="shared" si="113"/>
        <v>0</v>
      </c>
      <c r="W467" s="996"/>
      <c r="X467" s="2988">
        <f t="shared" si="114"/>
        <v>0</v>
      </c>
      <c r="Y467" s="2988">
        <f t="shared" si="115"/>
        <v>0</v>
      </c>
      <c r="Z467" s="996"/>
    </row>
    <row r="468" spans="1:26">
      <c r="A468" s="35"/>
      <c r="B468" s="20"/>
      <c r="C468" s="13">
        <f t="shared" si="104"/>
        <v>1</v>
      </c>
      <c r="D468" s="599"/>
      <c r="E468" s="13">
        <f t="shared" si="105"/>
        <v>1</v>
      </c>
      <c r="F468" s="599"/>
      <c r="G468" s="13">
        <f t="shared" si="106"/>
        <v>1</v>
      </c>
      <c r="H468" s="599"/>
      <c r="I468" s="13">
        <f t="shared" si="107"/>
        <v>1</v>
      </c>
      <c r="J468" s="599"/>
      <c r="K468" s="13">
        <f t="shared" si="108"/>
        <v>1</v>
      </c>
      <c r="L468" s="599"/>
      <c r="M468" s="13">
        <f t="shared" si="109"/>
        <v>1</v>
      </c>
      <c r="N468" s="599"/>
      <c r="O468" s="13">
        <f t="shared" si="110"/>
        <v>1</v>
      </c>
      <c r="P468" s="599"/>
      <c r="Q468" s="13">
        <f t="shared" si="111"/>
        <v>0</v>
      </c>
      <c r="R468" s="596">
        <f t="shared" si="116"/>
        <v>0</v>
      </c>
      <c r="S468" s="250">
        <f t="shared" si="117"/>
        <v>0</v>
      </c>
      <c r="T468" s="899">
        <f t="shared" si="118"/>
        <v>0</v>
      </c>
      <c r="U468" s="2988">
        <f t="shared" si="112"/>
        <v>0</v>
      </c>
      <c r="V468" s="2988">
        <f t="shared" si="113"/>
        <v>0</v>
      </c>
      <c r="W468" s="996"/>
      <c r="X468" s="2988">
        <f t="shared" si="114"/>
        <v>0</v>
      </c>
      <c r="Y468" s="2988">
        <f t="shared" si="115"/>
        <v>0</v>
      </c>
      <c r="Z468" s="996"/>
    </row>
    <row r="469" spans="1:26">
      <c r="A469" s="35"/>
      <c r="B469" s="20"/>
      <c r="C469" s="13">
        <f t="shared" si="104"/>
        <v>1</v>
      </c>
      <c r="D469" s="599"/>
      <c r="E469" s="13">
        <f t="shared" si="105"/>
        <v>1</v>
      </c>
      <c r="F469" s="599"/>
      <c r="G469" s="13">
        <f t="shared" si="106"/>
        <v>1</v>
      </c>
      <c r="H469" s="599"/>
      <c r="I469" s="13">
        <f t="shared" si="107"/>
        <v>1</v>
      </c>
      <c r="J469" s="599"/>
      <c r="K469" s="13">
        <f t="shared" si="108"/>
        <v>1</v>
      </c>
      <c r="L469" s="599"/>
      <c r="M469" s="13">
        <f t="shared" si="109"/>
        <v>1</v>
      </c>
      <c r="N469" s="599"/>
      <c r="O469" s="13">
        <f t="shared" si="110"/>
        <v>1</v>
      </c>
      <c r="P469" s="599"/>
      <c r="Q469" s="13">
        <f t="shared" si="111"/>
        <v>0</v>
      </c>
      <c r="R469" s="596">
        <f t="shared" si="116"/>
        <v>0</v>
      </c>
      <c r="S469" s="250">
        <f t="shared" si="117"/>
        <v>0</v>
      </c>
      <c r="T469" s="899">
        <f t="shared" si="118"/>
        <v>0</v>
      </c>
      <c r="U469" s="2988">
        <f t="shared" si="112"/>
        <v>0</v>
      </c>
      <c r="V469" s="2988">
        <f t="shared" si="113"/>
        <v>0</v>
      </c>
      <c r="W469" s="996"/>
      <c r="X469" s="2988">
        <f t="shared" si="114"/>
        <v>0</v>
      </c>
      <c r="Y469" s="2988">
        <f t="shared" si="115"/>
        <v>0</v>
      </c>
      <c r="Z469" s="996"/>
    </row>
    <row r="470" spans="1:26">
      <c r="A470" s="35"/>
      <c r="B470" s="20"/>
      <c r="C470" s="13">
        <f t="shared" si="104"/>
        <v>1</v>
      </c>
      <c r="D470" s="599"/>
      <c r="E470" s="13">
        <f t="shared" si="105"/>
        <v>1</v>
      </c>
      <c r="F470" s="599"/>
      <c r="G470" s="13">
        <f t="shared" si="106"/>
        <v>1</v>
      </c>
      <c r="H470" s="599"/>
      <c r="I470" s="13">
        <f t="shared" si="107"/>
        <v>1</v>
      </c>
      <c r="J470" s="599"/>
      <c r="K470" s="13">
        <f t="shared" si="108"/>
        <v>1</v>
      </c>
      <c r="L470" s="599"/>
      <c r="M470" s="13">
        <f t="shared" si="109"/>
        <v>1</v>
      </c>
      <c r="N470" s="599"/>
      <c r="O470" s="13">
        <f t="shared" si="110"/>
        <v>1</v>
      </c>
      <c r="P470" s="599"/>
      <c r="Q470" s="13">
        <f t="shared" si="111"/>
        <v>0</v>
      </c>
      <c r="R470" s="596">
        <f t="shared" si="116"/>
        <v>0</v>
      </c>
      <c r="S470" s="250">
        <f t="shared" si="117"/>
        <v>0</v>
      </c>
      <c r="T470" s="899">
        <f t="shared" si="118"/>
        <v>0</v>
      </c>
      <c r="U470" s="2988">
        <f t="shared" si="112"/>
        <v>0</v>
      </c>
      <c r="V470" s="2988">
        <f t="shared" si="113"/>
        <v>0</v>
      </c>
      <c r="W470" s="996"/>
      <c r="X470" s="2988">
        <f t="shared" si="114"/>
        <v>0</v>
      </c>
      <c r="Y470" s="2988">
        <f t="shared" si="115"/>
        <v>0</v>
      </c>
      <c r="Z470" s="996"/>
    </row>
    <row r="471" spans="1:26">
      <c r="A471" s="35"/>
      <c r="B471" s="20"/>
      <c r="C471" s="13">
        <f t="shared" si="104"/>
        <v>1</v>
      </c>
      <c r="D471" s="599"/>
      <c r="E471" s="13">
        <f t="shared" si="105"/>
        <v>1</v>
      </c>
      <c r="F471" s="599"/>
      <c r="G471" s="13">
        <f t="shared" si="106"/>
        <v>1</v>
      </c>
      <c r="H471" s="599"/>
      <c r="I471" s="13">
        <f t="shared" si="107"/>
        <v>1</v>
      </c>
      <c r="J471" s="599"/>
      <c r="K471" s="13">
        <f t="shared" si="108"/>
        <v>1</v>
      </c>
      <c r="L471" s="599"/>
      <c r="M471" s="13">
        <f t="shared" si="109"/>
        <v>1</v>
      </c>
      <c r="N471" s="599"/>
      <c r="O471" s="13">
        <f t="shared" si="110"/>
        <v>1</v>
      </c>
      <c r="P471" s="599"/>
      <c r="Q471" s="13">
        <f t="shared" si="111"/>
        <v>0</v>
      </c>
      <c r="R471" s="596">
        <f t="shared" si="116"/>
        <v>0</v>
      </c>
      <c r="S471" s="250">
        <f t="shared" si="117"/>
        <v>0</v>
      </c>
      <c r="T471" s="899">
        <f t="shared" si="118"/>
        <v>0</v>
      </c>
      <c r="U471" s="2988">
        <f t="shared" si="112"/>
        <v>0</v>
      </c>
      <c r="V471" s="2988">
        <f t="shared" si="113"/>
        <v>0</v>
      </c>
      <c r="W471" s="996"/>
      <c r="X471" s="2988">
        <f t="shared" si="114"/>
        <v>0</v>
      </c>
      <c r="Y471" s="2988">
        <f t="shared" si="115"/>
        <v>0</v>
      </c>
      <c r="Z471" s="996"/>
    </row>
    <row r="472" spans="1:26">
      <c r="A472" s="35"/>
      <c r="B472" s="20"/>
      <c r="C472" s="13">
        <f t="shared" si="104"/>
        <v>1</v>
      </c>
      <c r="D472" s="599"/>
      <c r="E472" s="13">
        <f t="shared" si="105"/>
        <v>1</v>
      </c>
      <c r="F472" s="599"/>
      <c r="G472" s="13">
        <f t="shared" si="106"/>
        <v>1</v>
      </c>
      <c r="H472" s="599"/>
      <c r="I472" s="13">
        <f t="shared" si="107"/>
        <v>1</v>
      </c>
      <c r="J472" s="599"/>
      <c r="K472" s="13">
        <f t="shared" si="108"/>
        <v>1</v>
      </c>
      <c r="L472" s="599"/>
      <c r="M472" s="13">
        <f t="shared" si="109"/>
        <v>1</v>
      </c>
      <c r="N472" s="599"/>
      <c r="O472" s="13">
        <f t="shared" si="110"/>
        <v>1</v>
      </c>
      <c r="P472" s="599"/>
      <c r="Q472" s="13">
        <f t="shared" si="111"/>
        <v>0</v>
      </c>
      <c r="R472" s="596">
        <f t="shared" si="116"/>
        <v>0</v>
      </c>
      <c r="S472" s="250">
        <f t="shared" si="117"/>
        <v>0</v>
      </c>
      <c r="T472" s="899">
        <f t="shared" si="118"/>
        <v>0</v>
      </c>
      <c r="U472" s="2988">
        <f t="shared" si="112"/>
        <v>0</v>
      </c>
      <c r="V472" s="2988">
        <f t="shared" si="113"/>
        <v>0</v>
      </c>
      <c r="W472" s="996"/>
      <c r="X472" s="2988">
        <f t="shared" si="114"/>
        <v>0</v>
      </c>
      <c r="Y472" s="2988">
        <f t="shared" si="115"/>
        <v>0</v>
      </c>
      <c r="Z472" s="996"/>
    </row>
    <row r="473" spans="1:26">
      <c r="A473" s="35"/>
      <c r="B473" s="20"/>
      <c r="C473" s="13">
        <f t="shared" si="104"/>
        <v>1</v>
      </c>
      <c r="D473" s="599"/>
      <c r="E473" s="13">
        <f t="shared" si="105"/>
        <v>1</v>
      </c>
      <c r="F473" s="599"/>
      <c r="G473" s="13">
        <f t="shared" si="106"/>
        <v>1</v>
      </c>
      <c r="H473" s="599"/>
      <c r="I473" s="13">
        <f t="shared" si="107"/>
        <v>1</v>
      </c>
      <c r="J473" s="599"/>
      <c r="K473" s="13">
        <f t="shared" si="108"/>
        <v>1</v>
      </c>
      <c r="L473" s="599"/>
      <c r="M473" s="13">
        <f t="shared" si="109"/>
        <v>1</v>
      </c>
      <c r="N473" s="599"/>
      <c r="O473" s="13">
        <f t="shared" si="110"/>
        <v>1</v>
      </c>
      <c r="P473" s="599"/>
      <c r="Q473" s="13">
        <f t="shared" si="111"/>
        <v>0</v>
      </c>
      <c r="R473" s="596">
        <f t="shared" si="116"/>
        <v>0</v>
      </c>
      <c r="S473" s="250">
        <f t="shared" si="117"/>
        <v>0</v>
      </c>
      <c r="T473" s="899">
        <f t="shared" si="118"/>
        <v>0</v>
      </c>
      <c r="U473" s="2988">
        <f t="shared" si="112"/>
        <v>0</v>
      </c>
      <c r="V473" s="2988">
        <f t="shared" si="113"/>
        <v>0</v>
      </c>
      <c r="W473" s="996"/>
      <c r="X473" s="2988">
        <f t="shared" si="114"/>
        <v>0</v>
      </c>
      <c r="Y473" s="2988">
        <f t="shared" si="115"/>
        <v>0</v>
      </c>
      <c r="Z473" s="996"/>
    </row>
    <row r="474" spans="1:26">
      <c r="A474" s="35"/>
      <c r="B474" s="20"/>
      <c r="C474" s="13">
        <f t="shared" si="104"/>
        <v>1</v>
      </c>
      <c r="D474" s="599"/>
      <c r="E474" s="13">
        <f t="shared" si="105"/>
        <v>1</v>
      </c>
      <c r="F474" s="599"/>
      <c r="G474" s="13">
        <f t="shared" si="106"/>
        <v>1</v>
      </c>
      <c r="H474" s="599"/>
      <c r="I474" s="13">
        <f t="shared" si="107"/>
        <v>1</v>
      </c>
      <c r="J474" s="599"/>
      <c r="K474" s="13">
        <f t="shared" si="108"/>
        <v>1</v>
      </c>
      <c r="L474" s="599"/>
      <c r="M474" s="13">
        <f t="shared" si="109"/>
        <v>1</v>
      </c>
      <c r="N474" s="599"/>
      <c r="O474" s="13">
        <f t="shared" si="110"/>
        <v>1</v>
      </c>
      <c r="P474" s="599"/>
      <c r="Q474" s="13">
        <f t="shared" si="111"/>
        <v>0</v>
      </c>
      <c r="R474" s="596">
        <f t="shared" si="116"/>
        <v>0</v>
      </c>
      <c r="S474" s="250">
        <f t="shared" si="117"/>
        <v>0</v>
      </c>
      <c r="T474" s="899">
        <f t="shared" si="118"/>
        <v>0</v>
      </c>
      <c r="U474" s="2988">
        <f t="shared" si="112"/>
        <v>0</v>
      </c>
      <c r="V474" s="2988">
        <f t="shared" si="113"/>
        <v>0</v>
      </c>
      <c r="W474" s="996"/>
      <c r="X474" s="2988">
        <f t="shared" si="114"/>
        <v>0</v>
      </c>
      <c r="Y474" s="2988">
        <f t="shared" si="115"/>
        <v>0</v>
      </c>
      <c r="Z474" s="996"/>
    </row>
    <row r="475" spans="1:26">
      <c r="A475" s="35"/>
      <c r="B475" s="20"/>
      <c r="C475" s="13">
        <f t="shared" si="104"/>
        <v>1</v>
      </c>
      <c r="D475" s="599"/>
      <c r="E475" s="13">
        <f t="shared" si="105"/>
        <v>1</v>
      </c>
      <c r="F475" s="599"/>
      <c r="G475" s="13">
        <f t="shared" si="106"/>
        <v>1</v>
      </c>
      <c r="H475" s="599"/>
      <c r="I475" s="13">
        <f t="shared" si="107"/>
        <v>1</v>
      </c>
      <c r="J475" s="599"/>
      <c r="K475" s="13">
        <f t="shared" si="108"/>
        <v>1</v>
      </c>
      <c r="L475" s="599"/>
      <c r="M475" s="13">
        <f t="shared" si="109"/>
        <v>1</v>
      </c>
      <c r="N475" s="599"/>
      <c r="O475" s="13">
        <f t="shared" si="110"/>
        <v>1</v>
      </c>
      <c r="P475" s="599"/>
      <c r="Q475" s="13">
        <f t="shared" si="111"/>
        <v>0</v>
      </c>
      <c r="R475" s="596">
        <f t="shared" si="116"/>
        <v>0</v>
      </c>
      <c r="S475" s="250">
        <f t="shared" si="117"/>
        <v>0</v>
      </c>
      <c r="T475" s="899">
        <f t="shared" si="118"/>
        <v>0</v>
      </c>
      <c r="U475" s="2988">
        <f t="shared" si="112"/>
        <v>0</v>
      </c>
      <c r="V475" s="2988">
        <f t="shared" si="113"/>
        <v>0</v>
      </c>
      <c r="W475" s="996"/>
      <c r="X475" s="2988">
        <f t="shared" si="114"/>
        <v>0</v>
      </c>
      <c r="Y475" s="2988">
        <f t="shared" si="115"/>
        <v>0</v>
      </c>
      <c r="Z475" s="996"/>
    </row>
    <row r="476" spans="1:26">
      <c r="A476" s="35"/>
      <c r="B476" s="20"/>
      <c r="C476" s="13">
        <f t="shared" ref="C476:C527" si="119">IF(B476="",1,(LOOKUP(B476,$6:$6,$7:$7)-LOOKUP($B$27,$6:$6,$7:$7)+100)/100)</f>
        <v>1</v>
      </c>
      <c r="D476" s="599"/>
      <c r="E476" s="13">
        <f t="shared" ref="E476:E527" si="120">(SUMIF($8:$8,D476,$9:$9)-SUMIF($8:$8,$D$27,$9:$9)+100)/100</f>
        <v>1</v>
      </c>
      <c r="F476" s="599"/>
      <c r="G476" s="13">
        <f t="shared" ref="G476:G527" si="121">(SUMIF($10:$10,F476,$11:$11)-SUMIF($10:$10,$F$27,$11:$11)+100)/100</f>
        <v>1</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v>
      </c>
      <c r="R476" s="596">
        <f t="shared" si="116"/>
        <v>0</v>
      </c>
      <c r="S476" s="250">
        <f t="shared" si="117"/>
        <v>0</v>
      </c>
      <c r="T476" s="899">
        <f t="shared" si="118"/>
        <v>0</v>
      </c>
      <c r="U476" s="2988">
        <f t="shared" ref="U476:U527" si="127">ROUND(W476*B476,0)</f>
        <v>0</v>
      </c>
      <c r="V476" s="2988">
        <f t="shared" ref="V476:V527" si="128">ROUND(W476*B476/10000,0)</f>
        <v>0</v>
      </c>
      <c r="W476" s="996"/>
      <c r="X476" s="2988">
        <f t="shared" ref="X476:X527" si="129">ROUND(Z476*B476,0)</f>
        <v>0</v>
      </c>
      <c r="Y476" s="2988">
        <f t="shared" ref="Y476:Y527" si="130">ROUND(Z476*B476/10000,0)</f>
        <v>0</v>
      </c>
      <c r="Z476" s="996"/>
    </row>
    <row r="477" spans="1:26">
      <c r="A477" s="35"/>
      <c r="B477" s="20"/>
      <c r="C477" s="13">
        <f t="shared" si="119"/>
        <v>1</v>
      </c>
      <c r="D477" s="599"/>
      <c r="E477" s="13">
        <f t="shared" si="120"/>
        <v>1</v>
      </c>
      <c r="F477" s="599"/>
      <c r="G477" s="13">
        <f t="shared" si="121"/>
        <v>1</v>
      </c>
      <c r="H477" s="599"/>
      <c r="I477" s="13">
        <f t="shared" si="122"/>
        <v>1</v>
      </c>
      <c r="J477" s="599"/>
      <c r="K477" s="13">
        <f t="shared" si="123"/>
        <v>1</v>
      </c>
      <c r="L477" s="599"/>
      <c r="M477" s="13">
        <f t="shared" si="124"/>
        <v>1</v>
      </c>
      <c r="N477" s="599"/>
      <c r="O477" s="13">
        <f t="shared" si="125"/>
        <v>1</v>
      </c>
      <c r="P477" s="599"/>
      <c r="Q477" s="13">
        <f t="shared" si="126"/>
        <v>0</v>
      </c>
      <c r="R477" s="596">
        <f t="shared" ref="R477:R527" si="131">IF(B477="",0,ROUND($R$27*C477*E477*G477*I477*K477*M477*O477*Q477,0))</f>
        <v>0</v>
      </c>
      <c r="S477" s="250">
        <f t="shared" ref="S477:S527" si="132">ROUND(R477*B477,0)</f>
        <v>0</v>
      </c>
      <c r="T477" s="899">
        <f t="shared" ref="T477:T527" si="133">ROUND(R477*B477/10000,0)</f>
        <v>0</v>
      </c>
      <c r="U477" s="2988">
        <f t="shared" si="127"/>
        <v>0</v>
      </c>
      <c r="V477" s="2988">
        <f t="shared" si="128"/>
        <v>0</v>
      </c>
      <c r="W477" s="996"/>
      <c r="X477" s="2988">
        <f t="shared" si="129"/>
        <v>0</v>
      </c>
      <c r="Y477" s="2988">
        <f t="shared" si="130"/>
        <v>0</v>
      </c>
      <c r="Z477" s="996"/>
    </row>
    <row r="478" spans="1:26">
      <c r="A478" s="35"/>
      <c r="B478" s="20"/>
      <c r="C478" s="13">
        <f t="shared" si="119"/>
        <v>1</v>
      </c>
      <c r="D478" s="599"/>
      <c r="E478" s="13">
        <f t="shared" si="120"/>
        <v>1</v>
      </c>
      <c r="F478" s="599"/>
      <c r="G478" s="13">
        <f t="shared" si="121"/>
        <v>1</v>
      </c>
      <c r="H478" s="599"/>
      <c r="I478" s="13">
        <f t="shared" si="122"/>
        <v>1</v>
      </c>
      <c r="J478" s="599"/>
      <c r="K478" s="13">
        <f t="shared" si="123"/>
        <v>1</v>
      </c>
      <c r="L478" s="599"/>
      <c r="M478" s="13">
        <f t="shared" si="124"/>
        <v>1</v>
      </c>
      <c r="N478" s="599"/>
      <c r="O478" s="13">
        <f t="shared" si="125"/>
        <v>1</v>
      </c>
      <c r="P478" s="599"/>
      <c r="Q478" s="13">
        <f t="shared" si="126"/>
        <v>0</v>
      </c>
      <c r="R478" s="596">
        <f t="shared" si="131"/>
        <v>0</v>
      </c>
      <c r="S478" s="250">
        <f t="shared" si="132"/>
        <v>0</v>
      </c>
      <c r="T478" s="899">
        <f t="shared" si="133"/>
        <v>0</v>
      </c>
      <c r="U478" s="2988">
        <f t="shared" si="127"/>
        <v>0</v>
      </c>
      <c r="V478" s="2988">
        <f t="shared" si="128"/>
        <v>0</v>
      </c>
      <c r="W478" s="996"/>
      <c r="X478" s="2988">
        <f t="shared" si="129"/>
        <v>0</v>
      </c>
      <c r="Y478" s="2988">
        <f t="shared" si="130"/>
        <v>0</v>
      </c>
      <c r="Z478" s="996"/>
    </row>
    <row r="479" spans="1:26">
      <c r="A479" s="35"/>
      <c r="B479" s="20"/>
      <c r="C479" s="13">
        <f t="shared" si="119"/>
        <v>1</v>
      </c>
      <c r="D479" s="599"/>
      <c r="E479" s="13">
        <f t="shared" si="120"/>
        <v>1</v>
      </c>
      <c r="F479" s="599"/>
      <c r="G479" s="13">
        <f t="shared" si="121"/>
        <v>1</v>
      </c>
      <c r="H479" s="599"/>
      <c r="I479" s="13">
        <f t="shared" si="122"/>
        <v>1</v>
      </c>
      <c r="J479" s="599"/>
      <c r="K479" s="13">
        <f t="shared" si="123"/>
        <v>1</v>
      </c>
      <c r="L479" s="599"/>
      <c r="M479" s="13">
        <f t="shared" si="124"/>
        <v>1</v>
      </c>
      <c r="N479" s="599"/>
      <c r="O479" s="13">
        <f t="shared" si="125"/>
        <v>1</v>
      </c>
      <c r="P479" s="599"/>
      <c r="Q479" s="13">
        <f t="shared" si="126"/>
        <v>0</v>
      </c>
      <c r="R479" s="596">
        <f t="shared" si="131"/>
        <v>0</v>
      </c>
      <c r="S479" s="250">
        <f t="shared" si="132"/>
        <v>0</v>
      </c>
      <c r="T479" s="899">
        <f t="shared" si="133"/>
        <v>0</v>
      </c>
      <c r="U479" s="2988">
        <f t="shared" si="127"/>
        <v>0</v>
      </c>
      <c r="V479" s="2988">
        <f t="shared" si="128"/>
        <v>0</v>
      </c>
      <c r="W479" s="996"/>
      <c r="X479" s="2988">
        <f t="shared" si="129"/>
        <v>0</v>
      </c>
      <c r="Y479" s="2988">
        <f t="shared" si="130"/>
        <v>0</v>
      </c>
      <c r="Z479" s="996"/>
    </row>
    <row r="480" spans="1:26">
      <c r="A480" s="35"/>
      <c r="B480" s="20"/>
      <c r="C480" s="13">
        <f t="shared" si="119"/>
        <v>1</v>
      </c>
      <c r="D480" s="599"/>
      <c r="E480" s="13">
        <f t="shared" si="120"/>
        <v>1</v>
      </c>
      <c r="F480" s="599"/>
      <c r="G480" s="13">
        <f t="shared" si="121"/>
        <v>1</v>
      </c>
      <c r="H480" s="599"/>
      <c r="I480" s="13">
        <f t="shared" si="122"/>
        <v>1</v>
      </c>
      <c r="J480" s="599"/>
      <c r="K480" s="13">
        <f t="shared" si="123"/>
        <v>1</v>
      </c>
      <c r="L480" s="599"/>
      <c r="M480" s="13">
        <f t="shared" si="124"/>
        <v>1</v>
      </c>
      <c r="N480" s="599"/>
      <c r="O480" s="13">
        <f t="shared" si="125"/>
        <v>1</v>
      </c>
      <c r="P480" s="599"/>
      <c r="Q480" s="13">
        <f t="shared" si="126"/>
        <v>0</v>
      </c>
      <c r="R480" s="596">
        <f t="shared" si="131"/>
        <v>0</v>
      </c>
      <c r="S480" s="250">
        <f t="shared" si="132"/>
        <v>0</v>
      </c>
      <c r="T480" s="899">
        <f t="shared" si="133"/>
        <v>0</v>
      </c>
      <c r="U480" s="2988">
        <f t="shared" si="127"/>
        <v>0</v>
      </c>
      <c r="V480" s="2988">
        <f t="shared" si="128"/>
        <v>0</v>
      </c>
      <c r="W480" s="996"/>
      <c r="X480" s="2988">
        <f t="shared" si="129"/>
        <v>0</v>
      </c>
      <c r="Y480" s="2988">
        <f t="shared" si="130"/>
        <v>0</v>
      </c>
      <c r="Z480" s="996"/>
    </row>
    <row r="481" spans="1:26">
      <c r="A481" s="35"/>
      <c r="B481" s="20"/>
      <c r="C481" s="13">
        <f t="shared" si="119"/>
        <v>1</v>
      </c>
      <c r="D481" s="599"/>
      <c r="E481" s="13">
        <f t="shared" si="120"/>
        <v>1</v>
      </c>
      <c r="F481" s="599"/>
      <c r="G481" s="13">
        <f t="shared" si="121"/>
        <v>1</v>
      </c>
      <c r="H481" s="599"/>
      <c r="I481" s="13">
        <f t="shared" si="122"/>
        <v>1</v>
      </c>
      <c r="J481" s="599"/>
      <c r="K481" s="13">
        <f t="shared" si="123"/>
        <v>1</v>
      </c>
      <c r="L481" s="599"/>
      <c r="M481" s="13">
        <f t="shared" si="124"/>
        <v>1</v>
      </c>
      <c r="N481" s="599"/>
      <c r="O481" s="13">
        <f t="shared" si="125"/>
        <v>1</v>
      </c>
      <c r="P481" s="599"/>
      <c r="Q481" s="13">
        <f t="shared" si="126"/>
        <v>0</v>
      </c>
      <c r="R481" s="596">
        <f t="shared" si="131"/>
        <v>0</v>
      </c>
      <c r="S481" s="250">
        <f t="shared" si="132"/>
        <v>0</v>
      </c>
      <c r="T481" s="899">
        <f t="shared" si="133"/>
        <v>0</v>
      </c>
      <c r="U481" s="2988">
        <f t="shared" si="127"/>
        <v>0</v>
      </c>
      <c r="V481" s="2988">
        <f t="shared" si="128"/>
        <v>0</v>
      </c>
      <c r="W481" s="996"/>
      <c r="X481" s="2988">
        <f t="shared" si="129"/>
        <v>0</v>
      </c>
      <c r="Y481" s="2988">
        <f t="shared" si="130"/>
        <v>0</v>
      </c>
      <c r="Z481" s="996"/>
    </row>
    <row r="482" spans="1:26">
      <c r="A482" s="35"/>
      <c r="B482" s="20"/>
      <c r="C482" s="13">
        <f t="shared" si="119"/>
        <v>1</v>
      </c>
      <c r="D482" s="599"/>
      <c r="E482" s="13">
        <f t="shared" si="120"/>
        <v>1</v>
      </c>
      <c r="F482" s="599"/>
      <c r="G482" s="13">
        <f t="shared" si="121"/>
        <v>1</v>
      </c>
      <c r="H482" s="599"/>
      <c r="I482" s="13">
        <f t="shared" si="122"/>
        <v>1</v>
      </c>
      <c r="J482" s="599"/>
      <c r="K482" s="13">
        <f t="shared" si="123"/>
        <v>1</v>
      </c>
      <c r="L482" s="599"/>
      <c r="M482" s="13">
        <f t="shared" si="124"/>
        <v>1</v>
      </c>
      <c r="N482" s="599"/>
      <c r="O482" s="13">
        <f t="shared" si="125"/>
        <v>1</v>
      </c>
      <c r="P482" s="599"/>
      <c r="Q482" s="13">
        <f t="shared" si="126"/>
        <v>0</v>
      </c>
      <c r="R482" s="596">
        <f t="shared" si="131"/>
        <v>0</v>
      </c>
      <c r="S482" s="250">
        <f t="shared" si="132"/>
        <v>0</v>
      </c>
      <c r="T482" s="899">
        <f t="shared" si="133"/>
        <v>0</v>
      </c>
      <c r="U482" s="2988">
        <f t="shared" si="127"/>
        <v>0</v>
      </c>
      <c r="V482" s="2988">
        <f t="shared" si="128"/>
        <v>0</v>
      </c>
      <c r="W482" s="996"/>
      <c r="X482" s="2988">
        <f t="shared" si="129"/>
        <v>0</v>
      </c>
      <c r="Y482" s="2988">
        <f t="shared" si="130"/>
        <v>0</v>
      </c>
      <c r="Z482" s="996"/>
    </row>
    <row r="483" spans="1:26">
      <c r="A483" s="35"/>
      <c r="B483" s="20"/>
      <c r="C483" s="13">
        <f t="shared" si="119"/>
        <v>1</v>
      </c>
      <c r="D483" s="599"/>
      <c r="E483" s="13">
        <f t="shared" si="120"/>
        <v>1</v>
      </c>
      <c r="F483" s="599"/>
      <c r="G483" s="13">
        <f t="shared" si="121"/>
        <v>1</v>
      </c>
      <c r="H483" s="599"/>
      <c r="I483" s="13">
        <f t="shared" si="122"/>
        <v>1</v>
      </c>
      <c r="J483" s="599"/>
      <c r="K483" s="13">
        <f t="shared" si="123"/>
        <v>1</v>
      </c>
      <c r="L483" s="599"/>
      <c r="M483" s="13">
        <f t="shared" si="124"/>
        <v>1</v>
      </c>
      <c r="N483" s="599"/>
      <c r="O483" s="13">
        <f t="shared" si="125"/>
        <v>1</v>
      </c>
      <c r="P483" s="599"/>
      <c r="Q483" s="13">
        <f t="shared" si="126"/>
        <v>0</v>
      </c>
      <c r="R483" s="596">
        <f t="shared" si="131"/>
        <v>0</v>
      </c>
      <c r="S483" s="250">
        <f t="shared" si="132"/>
        <v>0</v>
      </c>
      <c r="T483" s="899">
        <f t="shared" si="133"/>
        <v>0</v>
      </c>
      <c r="U483" s="2988">
        <f t="shared" si="127"/>
        <v>0</v>
      </c>
      <c r="V483" s="2988">
        <f t="shared" si="128"/>
        <v>0</v>
      </c>
      <c r="W483" s="996"/>
      <c r="X483" s="2988">
        <f t="shared" si="129"/>
        <v>0</v>
      </c>
      <c r="Y483" s="2988">
        <f t="shared" si="130"/>
        <v>0</v>
      </c>
      <c r="Z483" s="996"/>
    </row>
    <row r="484" spans="1:26">
      <c r="A484" s="35"/>
      <c r="B484" s="20"/>
      <c r="C484" s="13">
        <f t="shared" si="119"/>
        <v>1</v>
      </c>
      <c r="D484" s="599"/>
      <c r="E484" s="13">
        <f t="shared" si="120"/>
        <v>1</v>
      </c>
      <c r="F484" s="599"/>
      <c r="G484" s="13">
        <f t="shared" si="121"/>
        <v>1</v>
      </c>
      <c r="H484" s="599"/>
      <c r="I484" s="13">
        <f t="shared" si="122"/>
        <v>1</v>
      </c>
      <c r="J484" s="599"/>
      <c r="K484" s="13">
        <f t="shared" si="123"/>
        <v>1</v>
      </c>
      <c r="L484" s="599"/>
      <c r="M484" s="13">
        <f t="shared" si="124"/>
        <v>1</v>
      </c>
      <c r="N484" s="599"/>
      <c r="O484" s="13">
        <f t="shared" si="125"/>
        <v>1</v>
      </c>
      <c r="P484" s="599"/>
      <c r="Q484" s="13">
        <f t="shared" si="126"/>
        <v>0</v>
      </c>
      <c r="R484" s="596">
        <f t="shared" si="131"/>
        <v>0</v>
      </c>
      <c r="S484" s="250">
        <f t="shared" si="132"/>
        <v>0</v>
      </c>
      <c r="T484" s="899">
        <f t="shared" si="133"/>
        <v>0</v>
      </c>
      <c r="U484" s="2988">
        <f t="shared" si="127"/>
        <v>0</v>
      </c>
      <c r="V484" s="2988">
        <f t="shared" si="128"/>
        <v>0</v>
      </c>
      <c r="W484" s="996"/>
      <c r="X484" s="2988">
        <f t="shared" si="129"/>
        <v>0</v>
      </c>
      <c r="Y484" s="2988">
        <f t="shared" si="130"/>
        <v>0</v>
      </c>
      <c r="Z484" s="996"/>
    </row>
    <row r="485" spans="1:26">
      <c r="A485" s="35"/>
      <c r="B485" s="20"/>
      <c r="C485" s="13">
        <f t="shared" si="119"/>
        <v>1</v>
      </c>
      <c r="D485" s="599"/>
      <c r="E485" s="13">
        <f t="shared" si="120"/>
        <v>1</v>
      </c>
      <c r="F485" s="599"/>
      <c r="G485" s="13">
        <f t="shared" si="121"/>
        <v>1</v>
      </c>
      <c r="H485" s="599"/>
      <c r="I485" s="13">
        <f t="shared" si="122"/>
        <v>1</v>
      </c>
      <c r="J485" s="599"/>
      <c r="K485" s="13">
        <f t="shared" si="123"/>
        <v>1</v>
      </c>
      <c r="L485" s="599"/>
      <c r="M485" s="13">
        <f t="shared" si="124"/>
        <v>1</v>
      </c>
      <c r="N485" s="599"/>
      <c r="O485" s="13">
        <f t="shared" si="125"/>
        <v>1</v>
      </c>
      <c r="P485" s="599"/>
      <c r="Q485" s="13">
        <f t="shared" si="126"/>
        <v>0</v>
      </c>
      <c r="R485" s="596">
        <f t="shared" si="131"/>
        <v>0</v>
      </c>
      <c r="S485" s="250">
        <f t="shared" si="132"/>
        <v>0</v>
      </c>
      <c r="T485" s="899">
        <f t="shared" si="133"/>
        <v>0</v>
      </c>
      <c r="U485" s="2988">
        <f t="shared" si="127"/>
        <v>0</v>
      </c>
      <c r="V485" s="2988">
        <f t="shared" si="128"/>
        <v>0</v>
      </c>
      <c r="W485" s="996"/>
      <c r="X485" s="2988">
        <f t="shared" si="129"/>
        <v>0</v>
      </c>
      <c r="Y485" s="2988">
        <f t="shared" si="130"/>
        <v>0</v>
      </c>
      <c r="Z485" s="996"/>
    </row>
    <row r="486" spans="1:26">
      <c r="A486" s="35"/>
      <c r="B486" s="20"/>
      <c r="C486" s="13">
        <f t="shared" si="119"/>
        <v>1</v>
      </c>
      <c r="D486" s="599"/>
      <c r="E486" s="13">
        <f t="shared" si="120"/>
        <v>1</v>
      </c>
      <c r="F486" s="599"/>
      <c r="G486" s="13">
        <f t="shared" si="121"/>
        <v>1</v>
      </c>
      <c r="H486" s="599"/>
      <c r="I486" s="13">
        <f t="shared" si="122"/>
        <v>1</v>
      </c>
      <c r="J486" s="599"/>
      <c r="K486" s="13">
        <f t="shared" si="123"/>
        <v>1</v>
      </c>
      <c r="L486" s="599"/>
      <c r="M486" s="13">
        <f t="shared" si="124"/>
        <v>1</v>
      </c>
      <c r="N486" s="599"/>
      <c r="O486" s="13">
        <f t="shared" si="125"/>
        <v>1</v>
      </c>
      <c r="P486" s="599"/>
      <c r="Q486" s="13">
        <f t="shared" si="126"/>
        <v>0</v>
      </c>
      <c r="R486" s="596">
        <f t="shared" si="131"/>
        <v>0</v>
      </c>
      <c r="S486" s="250">
        <f t="shared" si="132"/>
        <v>0</v>
      </c>
      <c r="T486" s="899">
        <f t="shared" si="133"/>
        <v>0</v>
      </c>
      <c r="U486" s="2988">
        <f t="shared" si="127"/>
        <v>0</v>
      </c>
      <c r="V486" s="2988">
        <f t="shared" si="128"/>
        <v>0</v>
      </c>
      <c r="W486" s="996"/>
      <c r="X486" s="2988">
        <f t="shared" si="129"/>
        <v>0</v>
      </c>
      <c r="Y486" s="2988">
        <f t="shared" si="130"/>
        <v>0</v>
      </c>
      <c r="Z486" s="996"/>
    </row>
    <row r="487" spans="1:26">
      <c r="A487" s="35"/>
      <c r="B487" s="20"/>
      <c r="C487" s="13">
        <f t="shared" si="119"/>
        <v>1</v>
      </c>
      <c r="D487" s="599"/>
      <c r="E487" s="13">
        <f t="shared" si="120"/>
        <v>1</v>
      </c>
      <c r="F487" s="599"/>
      <c r="G487" s="13">
        <f t="shared" si="121"/>
        <v>1</v>
      </c>
      <c r="H487" s="599"/>
      <c r="I487" s="13">
        <f t="shared" si="122"/>
        <v>1</v>
      </c>
      <c r="J487" s="599"/>
      <c r="K487" s="13">
        <f t="shared" si="123"/>
        <v>1</v>
      </c>
      <c r="L487" s="599"/>
      <c r="M487" s="13">
        <f t="shared" si="124"/>
        <v>1</v>
      </c>
      <c r="N487" s="599"/>
      <c r="O487" s="13">
        <f t="shared" si="125"/>
        <v>1</v>
      </c>
      <c r="P487" s="599"/>
      <c r="Q487" s="13">
        <f t="shared" si="126"/>
        <v>0</v>
      </c>
      <c r="R487" s="596">
        <f t="shared" si="131"/>
        <v>0</v>
      </c>
      <c r="S487" s="250">
        <f t="shared" si="132"/>
        <v>0</v>
      </c>
      <c r="T487" s="899">
        <f t="shared" si="133"/>
        <v>0</v>
      </c>
      <c r="U487" s="2988">
        <f t="shared" si="127"/>
        <v>0</v>
      </c>
      <c r="V487" s="2988">
        <f t="shared" si="128"/>
        <v>0</v>
      </c>
      <c r="W487" s="996"/>
      <c r="X487" s="2988">
        <f t="shared" si="129"/>
        <v>0</v>
      </c>
      <c r="Y487" s="2988">
        <f t="shared" si="130"/>
        <v>0</v>
      </c>
      <c r="Z487" s="996"/>
    </row>
    <row r="488" spans="1:26">
      <c r="A488" s="35"/>
      <c r="B488" s="20"/>
      <c r="C488" s="13">
        <f t="shared" si="119"/>
        <v>1</v>
      </c>
      <c r="D488" s="599"/>
      <c r="E488" s="13">
        <f t="shared" si="120"/>
        <v>1</v>
      </c>
      <c r="F488" s="599"/>
      <c r="G488" s="13">
        <f t="shared" si="121"/>
        <v>1</v>
      </c>
      <c r="H488" s="599"/>
      <c r="I488" s="13">
        <f t="shared" si="122"/>
        <v>1</v>
      </c>
      <c r="J488" s="599"/>
      <c r="K488" s="13">
        <f t="shared" si="123"/>
        <v>1</v>
      </c>
      <c r="L488" s="599"/>
      <c r="M488" s="13">
        <f t="shared" si="124"/>
        <v>1</v>
      </c>
      <c r="N488" s="599"/>
      <c r="O488" s="13">
        <f t="shared" si="125"/>
        <v>1</v>
      </c>
      <c r="P488" s="599"/>
      <c r="Q488" s="13">
        <f t="shared" si="126"/>
        <v>0</v>
      </c>
      <c r="R488" s="596">
        <f t="shared" si="131"/>
        <v>0</v>
      </c>
      <c r="S488" s="250">
        <f t="shared" si="132"/>
        <v>0</v>
      </c>
      <c r="T488" s="899">
        <f t="shared" si="133"/>
        <v>0</v>
      </c>
      <c r="U488" s="2988">
        <f t="shared" si="127"/>
        <v>0</v>
      </c>
      <c r="V488" s="2988">
        <f t="shared" si="128"/>
        <v>0</v>
      </c>
      <c r="W488" s="996"/>
      <c r="X488" s="2988">
        <f t="shared" si="129"/>
        <v>0</v>
      </c>
      <c r="Y488" s="2988">
        <f t="shared" si="130"/>
        <v>0</v>
      </c>
      <c r="Z488" s="996"/>
    </row>
    <row r="489" spans="1:26">
      <c r="A489" s="35"/>
      <c r="B489" s="20"/>
      <c r="C489" s="13">
        <f t="shared" si="119"/>
        <v>1</v>
      </c>
      <c r="D489" s="599"/>
      <c r="E489" s="13">
        <f t="shared" si="120"/>
        <v>1</v>
      </c>
      <c r="F489" s="599"/>
      <c r="G489" s="13">
        <f t="shared" si="121"/>
        <v>1</v>
      </c>
      <c r="H489" s="599"/>
      <c r="I489" s="13">
        <f t="shared" si="122"/>
        <v>1</v>
      </c>
      <c r="J489" s="599"/>
      <c r="K489" s="13">
        <f t="shared" si="123"/>
        <v>1</v>
      </c>
      <c r="L489" s="599"/>
      <c r="M489" s="13">
        <f t="shared" si="124"/>
        <v>1</v>
      </c>
      <c r="N489" s="599"/>
      <c r="O489" s="13">
        <f t="shared" si="125"/>
        <v>1</v>
      </c>
      <c r="P489" s="599"/>
      <c r="Q489" s="13">
        <f t="shared" si="126"/>
        <v>0</v>
      </c>
      <c r="R489" s="596">
        <f t="shared" si="131"/>
        <v>0</v>
      </c>
      <c r="S489" s="250">
        <f t="shared" si="132"/>
        <v>0</v>
      </c>
      <c r="T489" s="899">
        <f t="shared" si="133"/>
        <v>0</v>
      </c>
      <c r="U489" s="2988">
        <f t="shared" si="127"/>
        <v>0</v>
      </c>
      <c r="V489" s="2988">
        <f t="shared" si="128"/>
        <v>0</v>
      </c>
      <c r="W489" s="996"/>
      <c r="X489" s="2988">
        <f t="shared" si="129"/>
        <v>0</v>
      </c>
      <c r="Y489" s="2988">
        <f t="shared" si="130"/>
        <v>0</v>
      </c>
      <c r="Z489" s="996"/>
    </row>
    <row r="490" spans="1:26">
      <c r="A490" s="35"/>
      <c r="B490" s="20"/>
      <c r="C490" s="13">
        <f t="shared" si="119"/>
        <v>1</v>
      </c>
      <c r="D490" s="599"/>
      <c r="E490" s="13">
        <f t="shared" si="120"/>
        <v>1</v>
      </c>
      <c r="F490" s="599"/>
      <c r="G490" s="13">
        <f t="shared" si="121"/>
        <v>1</v>
      </c>
      <c r="H490" s="599"/>
      <c r="I490" s="13">
        <f t="shared" si="122"/>
        <v>1</v>
      </c>
      <c r="J490" s="599"/>
      <c r="K490" s="13">
        <f t="shared" si="123"/>
        <v>1</v>
      </c>
      <c r="L490" s="599"/>
      <c r="M490" s="13">
        <f t="shared" si="124"/>
        <v>1</v>
      </c>
      <c r="N490" s="599"/>
      <c r="O490" s="13">
        <f t="shared" si="125"/>
        <v>1</v>
      </c>
      <c r="P490" s="599"/>
      <c r="Q490" s="13">
        <f t="shared" si="126"/>
        <v>0</v>
      </c>
      <c r="R490" s="596">
        <f t="shared" si="131"/>
        <v>0</v>
      </c>
      <c r="S490" s="250">
        <f t="shared" si="132"/>
        <v>0</v>
      </c>
      <c r="T490" s="899">
        <f t="shared" si="133"/>
        <v>0</v>
      </c>
      <c r="U490" s="2988">
        <f t="shared" si="127"/>
        <v>0</v>
      </c>
      <c r="V490" s="2988">
        <f t="shared" si="128"/>
        <v>0</v>
      </c>
      <c r="W490" s="996"/>
      <c r="X490" s="2988">
        <f t="shared" si="129"/>
        <v>0</v>
      </c>
      <c r="Y490" s="2988">
        <f t="shared" si="130"/>
        <v>0</v>
      </c>
      <c r="Z490" s="996"/>
    </row>
    <row r="491" spans="1:26">
      <c r="A491" s="35"/>
      <c r="B491" s="20"/>
      <c r="C491" s="13">
        <f t="shared" si="119"/>
        <v>1</v>
      </c>
      <c r="D491" s="599"/>
      <c r="E491" s="13">
        <f t="shared" si="120"/>
        <v>1</v>
      </c>
      <c r="F491" s="599"/>
      <c r="G491" s="13">
        <f t="shared" si="121"/>
        <v>1</v>
      </c>
      <c r="H491" s="599"/>
      <c r="I491" s="13">
        <f t="shared" si="122"/>
        <v>1</v>
      </c>
      <c r="J491" s="599"/>
      <c r="K491" s="13">
        <f t="shared" si="123"/>
        <v>1</v>
      </c>
      <c r="L491" s="599"/>
      <c r="M491" s="13">
        <f t="shared" si="124"/>
        <v>1</v>
      </c>
      <c r="N491" s="599"/>
      <c r="O491" s="13">
        <f t="shared" si="125"/>
        <v>1</v>
      </c>
      <c r="P491" s="599"/>
      <c r="Q491" s="13">
        <f t="shared" si="126"/>
        <v>0</v>
      </c>
      <c r="R491" s="596">
        <f t="shared" si="131"/>
        <v>0</v>
      </c>
      <c r="S491" s="250">
        <f t="shared" si="132"/>
        <v>0</v>
      </c>
      <c r="T491" s="899">
        <f t="shared" si="133"/>
        <v>0</v>
      </c>
      <c r="U491" s="2988">
        <f t="shared" si="127"/>
        <v>0</v>
      </c>
      <c r="V491" s="2988">
        <f t="shared" si="128"/>
        <v>0</v>
      </c>
      <c r="W491" s="996"/>
      <c r="X491" s="2988">
        <f t="shared" si="129"/>
        <v>0</v>
      </c>
      <c r="Y491" s="2988">
        <f t="shared" si="130"/>
        <v>0</v>
      </c>
      <c r="Z491" s="996"/>
    </row>
    <row r="492" spans="1:26">
      <c r="A492" s="35"/>
      <c r="B492" s="20"/>
      <c r="C492" s="13">
        <f t="shared" si="119"/>
        <v>1</v>
      </c>
      <c r="D492" s="599"/>
      <c r="E492" s="13">
        <f t="shared" si="120"/>
        <v>1</v>
      </c>
      <c r="F492" s="599"/>
      <c r="G492" s="13">
        <f t="shared" si="121"/>
        <v>1</v>
      </c>
      <c r="H492" s="599"/>
      <c r="I492" s="13">
        <f t="shared" si="122"/>
        <v>1</v>
      </c>
      <c r="J492" s="599"/>
      <c r="K492" s="13">
        <f t="shared" si="123"/>
        <v>1</v>
      </c>
      <c r="L492" s="599"/>
      <c r="M492" s="13">
        <f t="shared" si="124"/>
        <v>1</v>
      </c>
      <c r="N492" s="599"/>
      <c r="O492" s="13">
        <f t="shared" si="125"/>
        <v>1</v>
      </c>
      <c r="P492" s="599"/>
      <c r="Q492" s="13">
        <f t="shared" si="126"/>
        <v>0</v>
      </c>
      <c r="R492" s="596">
        <f t="shared" si="131"/>
        <v>0</v>
      </c>
      <c r="S492" s="250">
        <f t="shared" si="132"/>
        <v>0</v>
      </c>
      <c r="T492" s="899">
        <f t="shared" si="133"/>
        <v>0</v>
      </c>
      <c r="U492" s="2988">
        <f t="shared" si="127"/>
        <v>0</v>
      </c>
      <c r="V492" s="2988">
        <f t="shared" si="128"/>
        <v>0</v>
      </c>
      <c r="W492" s="996"/>
      <c r="X492" s="2988">
        <f t="shared" si="129"/>
        <v>0</v>
      </c>
      <c r="Y492" s="2988">
        <f t="shared" si="130"/>
        <v>0</v>
      </c>
      <c r="Z492" s="996"/>
    </row>
    <row r="493" spans="1:26">
      <c r="A493" s="35"/>
      <c r="B493" s="20"/>
      <c r="C493" s="13">
        <f t="shared" si="119"/>
        <v>1</v>
      </c>
      <c r="D493" s="599"/>
      <c r="E493" s="13">
        <f t="shared" si="120"/>
        <v>1</v>
      </c>
      <c r="F493" s="599"/>
      <c r="G493" s="13">
        <f t="shared" si="121"/>
        <v>1</v>
      </c>
      <c r="H493" s="599"/>
      <c r="I493" s="13">
        <f t="shared" si="122"/>
        <v>1</v>
      </c>
      <c r="J493" s="599"/>
      <c r="K493" s="13">
        <f t="shared" si="123"/>
        <v>1</v>
      </c>
      <c r="L493" s="599"/>
      <c r="M493" s="13">
        <f t="shared" si="124"/>
        <v>1</v>
      </c>
      <c r="N493" s="599"/>
      <c r="O493" s="13">
        <f t="shared" si="125"/>
        <v>1</v>
      </c>
      <c r="P493" s="599"/>
      <c r="Q493" s="13">
        <f t="shared" si="126"/>
        <v>0</v>
      </c>
      <c r="R493" s="596">
        <f t="shared" si="131"/>
        <v>0</v>
      </c>
      <c r="S493" s="250">
        <f t="shared" si="132"/>
        <v>0</v>
      </c>
      <c r="T493" s="899">
        <f t="shared" si="133"/>
        <v>0</v>
      </c>
      <c r="U493" s="2988">
        <f t="shared" si="127"/>
        <v>0</v>
      </c>
      <c r="V493" s="2988">
        <f t="shared" si="128"/>
        <v>0</v>
      </c>
      <c r="W493" s="996"/>
      <c r="X493" s="2988">
        <f t="shared" si="129"/>
        <v>0</v>
      </c>
      <c r="Y493" s="2988">
        <f t="shared" si="130"/>
        <v>0</v>
      </c>
      <c r="Z493" s="996"/>
    </row>
    <row r="494" spans="1:26">
      <c r="A494" s="35"/>
      <c r="B494" s="20"/>
      <c r="C494" s="13">
        <f t="shared" si="119"/>
        <v>1</v>
      </c>
      <c r="D494" s="599"/>
      <c r="E494" s="13">
        <f t="shared" si="120"/>
        <v>1</v>
      </c>
      <c r="F494" s="599"/>
      <c r="G494" s="13">
        <f t="shared" si="121"/>
        <v>1</v>
      </c>
      <c r="H494" s="599"/>
      <c r="I494" s="13">
        <f t="shared" si="122"/>
        <v>1</v>
      </c>
      <c r="J494" s="599"/>
      <c r="K494" s="13">
        <f t="shared" si="123"/>
        <v>1</v>
      </c>
      <c r="L494" s="599"/>
      <c r="M494" s="13">
        <f t="shared" si="124"/>
        <v>1</v>
      </c>
      <c r="N494" s="599"/>
      <c r="O494" s="13">
        <f t="shared" si="125"/>
        <v>1</v>
      </c>
      <c r="P494" s="599"/>
      <c r="Q494" s="13">
        <f t="shared" si="126"/>
        <v>0</v>
      </c>
      <c r="R494" s="596">
        <f t="shared" si="131"/>
        <v>0</v>
      </c>
      <c r="S494" s="250">
        <f t="shared" si="132"/>
        <v>0</v>
      </c>
      <c r="T494" s="899">
        <f t="shared" si="133"/>
        <v>0</v>
      </c>
      <c r="U494" s="2988">
        <f t="shared" si="127"/>
        <v>0</v>
      </c>
      <c r="V494" s="2988">
        <f t="shared" si="128"/>
        <v>0</v>
      </c>
      <c r="W494" s="996"/>
      <c r="X494" s="2988">
        <f t="shared" si="129"/>
        <v>0</v>
      </c>
      <c r="Y494" s="2988">
        <f t="shared" si="130"/>
        <v>0</v>
      </c>
      <c r="Z494" s="996"/>
    </row>
    <row r="495" spans="1:26">
      <c r="A495" s="35"/>
      <c r="B495" s="20"/>
      <c r="C495" s="13">
        <f t="shared" si="119"/>
        <v>1</v>
      </c>
      <c r="D495" s="599"/>
      <c r="E495" s="13">
        <f t="shared" si="120"/>
        <v>1</v>
      </c>
      <c r="F495" s="599"/>
      <c r="G495" s="13">
        <f t="shared" si="121"/>
        <v>1</v>
      </c>
      <c r="H495" s="599"/>
      <c r="I495" s="13">
        <f t="shared" si="122"/>
        <v>1</v>
      </c>
      <c r="J495" s="599"/>
      <c r="K495" s="13">
        <f t="shared" si="123"/>
        <v>1</v>
      </c>
      <c r="L495" s="599"/>
      <c r="M495" s="13">
        <f t="shared" si="124"/>
        <v>1</v>
      </c>
      <c r="N495" s="599"/>
      <c r="O495" s="13">
        <f t="shared" si="125"/>
        <v>1</v>
      </c>
      <c r="P495" s="599"/>
      <c r="Q495" s="13">
        <f t="shared" si="126"/>
        <v>0</v>
      </c>
      <c r="R495" s="596">
        <f t="shared" si="131"/>
        <v>0</v>
      </c>
      <c r="S495" s="250">
        <f t="shared" si="132"/>
        <v>0</v>
      </c>
      <c r="T495" s="899">
        <f t="shared" si="133"/>
        <v>0</v>
      </c>
      <c r="U495" s="2988">
        <f t="shared" si="127"/>
        <v>0</v>
      </c>
      <c r="V495" s="2988">
        <f t="shared" si="128"/>
        <v>0</v>
      </c>
      <c r="W495" s="996"/>
      <c r="X495" s="2988">
        <f t="shared" si="129"/>
        <v>0</v>
      </c>
      <c r="Y495" s="2988">
        <f t="shared" si="130"/>
        <v>0</v>
      </c>
      <c r="Z495" s="996"/>
    </row>
    <row r="496" spans="1:26">
      <c r="A496" s="35"/>
      <c r="B496" s="20"/>
      <c r="C496" s="13">
        <f t="shared" si="119"/>
        <v>1</v>
      </c>
      <c r="D496" s="599"/>
      <c r="E496" s="13">
        <f t="shared" si="120"/>
        <v>1</v>
      </c>
      <c r="F496" s="599"/>
      <c r="G496" s="13">
        <f t="shared" si="121"/>
        <v>1</v>
      </c>
      <c r="H496" s="599"/>
      <c r="I496" s="13">
        <f t="shared" si="122"/>
        <v>1</v>
      </c>
      <c r="J496" s="599"/>
      <c r="K496" s="13">
        <f t="shared" si="123"/>
        <v>1</v>
      </c>
      <c r="L496" s="599"/>
      <c r="M496" s="13">
        <f t="shared" si="124"/>
        <v>1</v>
      </c>
      <c r="N496" s="599"/>
      <c r="O496" s="13">
        <f t="shared" si="125"/>
        <v>1</v>
      </c>
      <c r="P496" s="599"/>
      <c r="Q496" s="13">
        <f t="shared" si="126"/>
        <v>0</v>
      </c>
      <c r="R496" s="596">
        <f t="shared" si="131"/>
        <v>0</v>
      </c>
      <c r="S496" s="250">
        <f t="shared" si="132"/>
        <v>0</v>
      </c>
      <c r="T496" s="899">
        <f t="shared" si="133"/>
        <v>0</v>
      </c>
      <c r="U496" s="2988">
        <f t="shared" si="127"/>
        <v>0</v>
      </c>
      <c r="V496" s="2988">
        <f t="shared" si="128"/>
        <v>0</v>
      </c>
      <c r="W496" s="996"/>
      <c r="X496" s="2988">
        <f t="shared" si="129"/>
        <v>0</v>
      </c>
      <c r="Y496" s="2988">
        <f t="shared" si="130"/>
        <v>0</v>
      </c>
      <c r="Z496" s="996"/>
    </row>
    <row r="497" spans="1:26">
      <c r="A497" s="35"/>
      <c r="B497" s="20"/>
      <c r="C497" s="13">
        <f t="shared" si="119"/>
        <v>1</v>
      </c>
      <c r="D497" s="599"/>
      <c r="E497" s="13">
        <f t="shared" si="120"/>
        <v>1</v>
      </c>
      <c r="F497" s="599"/>
      <c r="G497" s="13">
        <f t="shared" si="121"/>
        <v>1</v>
      </c>
      <c r="H497" s="599"/>
      <c r="I497" s="13">
        <f t="shared" si="122"/>
        <v>1</v>
      </c>
      <c r="J497" s="599"/>
      <c r="K497" s="13">
        <f t="shared" si="123"/>
        <v>1</v>
      </c>
      <c r="L497" s="599"/>
      <c r="M497" s="13">
        <f t="shared" si="124"/>
        <v>1</v>
      </c>
      <c r="N497" s="599"/>
      <c r="O497" s="13">
        <f t="shared" si="125"/>
        <v>1</v>
      </c>
      <c r="P497" s="599"/>
      <c r="Q497" s="13">
        <f t="shared" si="126"/>
        <v>0</v>
      </c>
      <c r="R497" s="596">
        <f t="shared" si="131"/>
        <v>0</v>
      </c>
      <c r="S497" s="250">
        <f t="shared" si="132"/>
        <v>0</v>
      </c>
      <c r="T497" s="899">
        <f t="shared" si="133"/>
        <v>0</v>
      </c>
      <c r="U497" s="2988">
        <f t="shared" si="127"/>
        <v>0</v>
      </c>
      <c r="V497" s="2988">
        <f t="shared" si="128"/>
        <v>0</v>
      </c>
      <c r="W497" s="996"/>
      <c r="X497" s="2988">
        <f t="shared" si="129"/>
        <v>0</v>
      </c>
      <c r="Y497" s="2988">
        <f t="shared" si="130"/>
        <v>0</v>
      </c>
      <c r="Z497" s="996"/>
    </row>
    <row r="498" spans="1:26">
      <c r="A498" s="35"/>
      <c r="B498" s="20"/>
      <c r="C498" s="13">
        <f t="shared" si="119"/>
        <v>1</v>
      </c>
      <c r="D498" s="599"/>
      <c r="E498" s="13">
        <f t="shared" si="120"/>
        <v>1</v>
      </c>
      <c r="F498" s="599"/>
      <c r="G498" s="13">
        <f t="shared" si="121"/>
        <v>1</v>
      </c>
      <c r="H498" s="599"/>
      <c r="I498" s="13">
        <f t="shared" si="122"/>
        <v>1</v>
      </c>
      <c r="J498" s="599"/>
      <c r="K498" s="13">
        <f t="shared" si="123"/>
        <v>1</v>
      </c>
      <c r="L498" s="599"/>
      <c r="M498" s="13">
        <f t="shared" si="124"/>
        <v>1</v>
      </c>
      <c r="N498" s="599"/>
      <c r="O498" s="13">
        <f t="shared" si="125"/>
        <v>1</v>
      </c>
      <c r="P498" s="599"/>
      <c r="Q498" s="13">
        <f t="shared" si="126"/>
        <v>0</v>
      </c>
      <c r="R498" s="596">
        <f t="shared" si="131"/>
        <v>0</v>
      </c>
      <c r="S498" s="250">
        <f t="shared" si="132"/>
        <v>0</v>
      </c>
      <c r="T498" s="899">
        <f t="shared" si="133"/>
        <v>0</v>
      </c>
      <c r="U498" s="2988">
        <f t="shared" si="127"/>
        <v>0</v>
      </c>
      <c r="V498" s="2988">
        <f t="shared" si="128"/>
        <v>0</v>
      </c>
      <c r="W498" s="996"/>
      <c r="X498" s="2988">
        <f t="shared" si="129"/>
        <v>0</v>
      </c>
      <c r="Y498" s="2988">
        <f t="shared" si="130"/>
        <v>0</v>
      </c>
      <c r="Z498" s="996"/>
    </row>
    <row r="499" spans="1:26">
      <c r="A499" s="35"/>
      <c r="B499" s="20"/>
      <c r="C499" s="13">
        <f t="shared" si="119"/>
        <v>1</v>
      </c>
      <c r="D499" s="599"/>
      <c r="E499" s="13">
        <f t="shared" si="120"/>
        <v>1</v>
      </c>
      <c r="F499" s="599"/>
      <c r="G499" s="13">
        <f t="shared" si="121"/>
        <v>1</v>
      </c>
      <c r="H499" s="599"/>
      <c r="I499" s="13">
        <f t="shared" si="122"/>
        <v>1</v>
      </c>
      <c r="J499" s="599"/>
      <c r="K499" s="13">
        <f t="shared" si="123"/>
        <v>1</v>
      </c>
      <c r="L499" s="599"/>
      <c r="M499" s="13">
        <f t="shared" si="124"/>
        <v>1</v>
      </c>
      <c r="N499" s="599"/>
      <c r="O499" s="13">
        <f t="shared" si="125"/>
        <v>1</v>
      </c>
      <c r="P499" s="599"/>
      <c r="Q499" s="13">
        <f t="shared" si="126"/>
        <v>0</v>
      </c>
      <c r="R499" s="596">
        <f t="shared" si="131"/>
        <v>0</v>
      </c>
      <c r="S499" s="250">
        <f t="shared" si="132"/>
        <v>0</v>
      </c>
      <c r="T499" s="899">
        <f t="shared" si="133"/>
        <v>0</v>
      </c>
      <c r="U499" s="2988">
        <f t="shared" si="127"/>
        <v>0</v>
      </c>
      <c r="V499" s="2988">
        <f t="shared" si="128"/>
        <v>0</v>
      </c>
      <c r="W499" s="996"/>
      <c r="X499" s="2988">
        <f t="shared" si="129"/>
        <v>0</v>
      </c>
      <c r="Y499" s="2988">
        <f t="shared" si="130"/>
        <v>0</v>
      </c>
      <c r="Z499" s="996"/>
    </row>
    <row r="500" spans="1:26">
      <c r="A500" s="35"/>
      <c r="B500" s="20"/>
      <c r="C500" s="13">
        <f t="shared" si="119"/>
        <v>1</v>
      </c>
      <c r="D500" s="599"/>
      <c r="E500" s="13">
        <f t="shared" si="120"/>
        <v>1</v>
      </c>
      <c r="F500" s="599"/>
      <c r="G500" s="13">
        <f t="shared" si="121"/>
        <v>1</v>
      </c>
      <c r="H500" s="599"/>
      <c r="I500" s="13">
        <f t="shared" si="122"/>
        <v>1</v>
      </c>
      <c r="J500" s="599"/>
      <c r="K500" s="13">
        <f t="shared" si="123"/>
        <v>1</v>
      </c>
      <c r="L500" s="599"/>
      <c r="M500" s="13">
        <f t="shared" si="124"/>
        <v>1</v>
      </c>
      <c r="N500" s="599"/>
      <c r="O500" s="13">
        <f t="shared" si="125"/>
        <v>1</v>
      </c>
      <c r="P500" s="599"/>
      <c r="Q500" s="13">
        <f t="shared" si="126"/>
        <v>0</v>
      </c>
      <c r="R500" s="596">
        <f t="shared" si="131"/>
        <v>0</v>
      </c>
      <c r="S500" s="250">
        <f t="shared" si="132"/>
        <v>0</v>
      </c>
      <c r="T500" s="899">
        <f t="shared" si="133"/>
        <v>0</v>
      </c>
      <c r="U500" s="2988">
        <f t="shared" si="127"/>
        <v>0</v>
      </c>
      <c r="V500" s="2988">
        <f t="shared" si="128"/>
        <v>0</v>
      </c>
      <c r="W500" s="996"/>
      <c r="X500" s="2988">
        <f t="shared" si="129"/>
        <v>0</v>
      </c>
      <c r="Y500" s="2988">
        <f t="shared" si="130"/>
        <v>0</v>
      </c>
      <c r="Z500" s="996"/>
    </row>
    <row r="501" spans="1:26">
      <c r="A501" s="35"/>
      <c r="B501" s="20"/>
      <c r="C501" s="13">
        <f t="shared" si="119"/>
        <v>1</v>
      </c>
      <c r="D501" s="599"/>
      <c r="E501" s="13">
        <f t="shared" si="120"/>
        <v>1</v>
      </c>
      <c r="F501" s="599"/>
      <c r="G501" s="13">
        <f t="shared" si="121"/>
        <v>1</v>
      </c>
      <c r="H501" s="599"/>
      <c r="I501" s="13">
        <f t="shared" si="122"/>
        <v>1</v>
      </c>
      <c r="J501" s="599"/>
      <c r="K501" s="13">
        <f t="shared" si="123"/>
        <v>1</v>
      </c>
      <c r="L501" s="599"/>
      <c r="M501" s="13">
        <f t="shared" si="124"/>
        <v>1</v>
      </c>
      <c r="N501" s="599"/>
      <c r="O501" s="13">
        <f t="shared" si="125"/>
        <v>1</v>
      </c>
      <c r="P501" s="599"/>
      <c r="Q501" s="13">
        <f t="shared" si="126"/>
        <v>0</v>
      </c>
      <c r="R501" s="596">
        <f t="shared" si="131"/>
        <v>0</v>
      </c>
      <c r="S501" s="250">
        <f t="shared" si="132"/>
        <v>0</v>
      </c>
      <c r="T501" s="899">
        <f t="shared" si="133"/>
        <v>0</v>
      </c>
      <c r="U501" s="2988">
        <f t="shared" si="127"/>
        <v>0</v>
      </c>
      <c r="V501" s="2988">
        <f t="shared" si="128"/>
        <v>0</v>
      </c>
      <c r="W501" s="996"/>
      <c r="X501" s="2988">
        <f t="shared" si="129"/>
        <v>0</v>
      </c>
      <c r="Y501" s="2988">
        <f t="shared" si="130"/>
        <v>0</v>
      </c>
      <c r="Z501" s="996"/>
    </row>
    <row r="502" spans="1:26">
      <c r="A502" s="35"/>
      <c r="B502" s="20"/>
      <c r="C502" s="13">
        <f t="shared" si="119"/>
        <v>1</v>
      </c>
      <c r="D502" s="599"/>
      <c r="E502" s="13">
        <f t="shared" si="120"/>
        <v>1</v>
      </c>
      <c r="F502" s="599"/>
      <c r="G502" s="13">
        <f t="shared" si="121"/>
        <v>1</v>
      </c>
      <c r="H502" s="599"/>
      <c r="I502" s="13">
        <f t="shared" si="122"/>
        <v>1</v>
      </c>
      <c r="J502" s="599"/>
      <c r="K502" s="13">
        <f t="shared" si="123"/>
        <v>1</v>
      </c>
      <c r="L502" s="599"/>
      <c r="M502" s="13">
        <f t="shared" si="124"/>
        <v>1</v>
      </c>
      <c r="N502" s="599"/>
      <c r="O502" s="13">
        <f t="shared" si="125"/>
        <v>1</v>
      </c>
      <c r="P502" s="599"/>
      <c r="Q502" s="13">
        <f t="shared" si="126"/>
        <v>0</v>
      </c>
      <c r="R502" s="596">
        <f t="shared" si="131"/>
        <v>0</v>
      </c>
      <c r="S502" s="250">
        <f t="shared" si="132"/>
        <v>0</v>
      </c>
      <c r="T502" s="899">
        <f t="shared" si="133"/>
        <v>0</v>
      </c>
      <c r="U502" s="2988">
        <f t="shared" si="127"/>
        <v>0</v>
      </c>
      <c r="V502" s="2988">
        <f t="shared" si="128"/>
        <v>0</v>
      </c>
      <c r="W502" s="996"/>
      <c r="X502" s="2988">
        <f t="shared" si="129"/>
        <v>0</v>
      </c>
      <c r="Y502" s="2988">
        <f t="shared" si="130"/>
        <v>0</v>
      </c>
      <c r="Z502" s="996"/>
    </row>
    <row r="503" spans="1:26">
      <c r="A503" s="35"/>
      <c r="B503" s="20"/>
      <c r="C503" s="13">
        <f t="shared" si="119"/>
        <v>1</v>
      </c>
      <c r="D503" s="599"/>
      <c r="E503" s="13">
        <f t="shared" si="120"/>
        <v>1</v>
      </c>
      <c r="F503" s="599"/>
      <c r="G503" s="13">
        <f t="shared" si="121"/>
        <v>1</v>
      </c>
      <c r="H503" s="599"/>
      <c r="I503" s="13">
        <f t="shared" si="122"/>
        <v>1</v>
      </c>
      <c r="J503" s="599"/>
      <c r="K503" s="13">
        <f t="shared" si="123"/>
        <v>1</v>
      </c>
      <c r="L503" s="599"/>
      <c r="M503" s="13">
        <f t="shared" si="124"/>
        <v>1</v>
      </c>
      <c r="N503" s="599"/>
      <c r="O503" s="13">
        <f t="shared" si="125"/>
        <v>1</v>
      </c>
      <c r="P503" s="599"/>
      <c r="Q503" s="13">
        <f t="shared" si="126"/>
        <v>0</v>
      </c>
      <c r="R503" s="596">
        <f t="shared" si="131"/>
        <v>0</v>
      </c>
      <c r="S503" s="250">
        <f t="shared" si="132"/>
        <v>0</v>
      </c>
      <c r="T503" s="899">
        <f t="shared" si="133"/>
        <v>0</v>
      </c>
      <c r="U503" s="2988">
        <f t="shared" si="127"/>
        <v>0</v>
      </c>
      <c r="V503" s="2988">
        <f t="shared" si="128"/>
        <v>0</v>
      </c>
      <c r="W503" s="996"/>
      <c r="X503" s="2988">
        <f t="shared" si="129"/>
        <v>0</v>
      </c>
      <c r="Y503" s="2988">
        <f t="shared" si="130"/>
        <v>0</v>
      </c>
      <c r="Z503" s="996"/>
    </row>
    <row r="504" spans="1:26">
      <c r="A504" s="35"/>
      <c r="B504" s="20"/>
      <c r="C504" s="13">
        <f t="shared" si="119"/>
        <v>1</v>
      </c>
      <c r="D504" s="599"/>
      <c r="E504" s="13">
        <f t="shared" si="120"/>
        <v>1</v>
      </c>
      <c r="F504" s="599"/>
      <c r="G504" s="13">
        <f t="shared" si="121"/>
        <v>1</v>
      </c>
      <c r="H504" s="599"/>
      <c r="I504" s="13">
        <f t="shared" si="122"/>
        <v>1</v>
      </c>
      <c r="J504" s="599"/>
      <c r="K504" s="13">
        <f t="shared" si="123"/>
        <v>1</v>
      </c>
      <c r="L504" s="599"/>
      <c r="M504" s="13">
        <f t="shared" si="124"/>
        <v>1</v>
      </c>
      <c r="N504" s="599"/>
      <c r="O504" s="13">
        <f t="shared" si="125"/>
        <v>1</v>
      </c>
      <c r="P504" s="599"/>
      <c r="Q504" s="13">
        <f t="shared" si="126"/>
        <v>0</v>
      </c>
      <c r="R504" s="596">
        <f t="shared" si="131"/>
        <v>0</v>
      </c>
      <c r="S504" s="250">
        <f t="shared" si="132"/>
        <v>0</v>
      </c>
      <c r="T504" s="899">
        <f t="shared" si="133"/>
        <v>0</v>
      </c>
      <c r="U504" s="2988">
        <f t="shared" si="127"/>
        <v>0</v>
      </c>
      <c r="V504" s="2988">
        <f t="shared" si="128"/>
        <v>0</v>
      </c>
      <c r="W504" s="996"/>
      <c r="X504" s="2988">
        <f t="shared" si="129"/>
        <v>0</v>
      </c>
      <c r="Y504" s="2988">
        <f t="shared" si="130"/>
        <v>0</v>
      </c>
      <c r="Z504" s="996"/>
    </row>
    <row r="505" spans="1:26">
      <c r="A505" s="35"/>
      <c r="B505" s="20"/>
      <c r="C505" s="13">
        <f t="shared" si="119"/>
        <v>1</v>
      </c>
      <c r="D505" s="599"/>
      <c r="E505" s="13">
        <f t="shared" si="120"/>
        <v>1</v>
      </c>
      <c r="F505" s="599"/>
      <c r="G505" s="13">
        <f t="shared" si="121"/>
        <v>1</v>
      </c>
      <c r="H505" s="599"/>
      <c r="I505" s="13">
        <f t="shared" si="122"/>
        <v>1</v>
      </c>
      <c r="J505" s="599"/>
      <c r="K505" s="13">
        <f t="shared" si="123"/>
        <v>1</v>
      </c>
      <c r="L505" s="599"/>
      <c r="M505" s="13">
        <f t="shared" si="124"/>
        <v>1</v>
      </c>
      <c r="N505" s="599"/>
      <c r="O505" s="13">
        <f t="shared" si="125"/>
        <v>1</v>
      </c>
      <c r="P505" s="599"/>
      <c r="Q505" s="13">
        <f t="shared" si="126"/>
        <v>0</v>
      </c>
      <c r="R505" s="596">
        <f t="shared" si="131"/>
        <v>0</v>
      </c>
      <c r="S505" s="250">
        <f t="shared" si="132"/>
        <v>0</v>
      </c>
      <c r="T505" s="899">
        <f t="shared" si="133"/>
        <v>0</v>
      </c>
      <c r="U505" s="2988">
        <f t="shared" si="127"/>
        <v>0</v>
      </c>
      <c r="V505" s="2988">
        <f t="shared" si="128"/>
        <v>0</v>
      </c>
      <c r="W505" s="996"/>
      <c r="X505" s="2988">
        <f t="shared" si="129"/>
        <v>0</v>
      </c>
      <c r="Y505" s="2988">
        <f t="shared" si="130"/>
        <v>0</v>
      </c>
      <c r="Z505" s="996"/>
    </row>
    <row r="506" spans="1:26">
      <c r="A506" s="35"/>
      <c r="B506" s="20"/>
      <c r="C506" s="13">
        <f t="shared" si="119"/>
        <v>1</v>
      </c>
      <c r="D506" s="599"/>
      <c r="E506" s="13">
        <f t="shared" si="120"/>
        <v>1</v>
      </c>
      <c r="F506" s="599"/>
      <c r="G506" s="13">
        <f t="shared" si="121"/>
        <v>1</v>
      </c>
      <c r="H506" s="599"/>
      <c r="I506" s="13">
        <f t="shared" si="122"/>
        <v>1</v>
      </c>
      <c r="J506" s="599"/>
      <c r="K506" s="13">
        <f t="shared" si="123"/>
        <v>1</v>
      </c>
      <c r="L506" s="599"/>
      <c r="M506" s="13">
        <f t="shared" si="124"/>
        <v>1</v>
      </c>
      <c r="N506" s="599"/>
      <c r="O506" s="13">
        <f t="shared" si="125"/>
        <v>1</v>
      </c>
      <c r="P506" s="599"/>
      <c r="Q506" s="13">
        <f t="shared" si="126"/>
        <v>0</v>
      </c>
      <c r="R506" s="596">
        <f t="shared" si="131"/>
        <v>0</v>
      </c>
      <c r="S506" s="250">
        <f t="shared" si="132"/>
        <v>0</v>
      </c>
      <c r="T506" s="899">
        <f t="shared" si="133"/>
        <v>0</v>
      </c>
      <c r="U506" s="2988">
        <f t="shared" si="127"/>
        <v>0</v>
      </c>
      <c r="V506" s="2988">
        <f t="shared" si="128"/>
        <v>0</v>
      </c>
      <c r="W506" s="996"/>
      <c r="X506" s="2988">
        <f t="shared" si="129"/>
        <v>0</v>
      </c>
      <c r="Y506" s="2988">
        <f t="shared" si="130"/>
        <v>0</v>
      </c>
      <c r="Z506" s="996"/>
    </row>
    <row r="507" spans="1:26">
      <c r="A507" s="35"/>
      <c r="B507" s="20"/>
      <c r="C507" s="13">
        <f t="shared" si="119"/>
        <v>1</v>
      </c>
      <c r="D507" s="599"/>
      <c r="E507" s="13">
        <f t="shared" si="120"/>
        <v>1</v>
      </c>
      <c r="F507" s="599"/>
      <c r="G507" s="13">
        <f t="shared" si="121"/>
        <v>1</v>
      </c>
      <c r="H507" s="599"/>
      <c r="I507" s="13">
        <f t="shared" si="122"/>
        <v>1</v>
      </c>
      <c r="J507" s="599"/>
      <c r="K507" s="13">
        <f t="shared" si="123"/>
        <v>1</v>
      </c>
      <c r="L507" s="599"/>
      <c r="M507" s="13">
        <f t="shared" si="124"/>
        <v>1</v>
      </c>
      <c r="N507" s="599"/>
      <c r="O507" s="13">
        <f t="shared" si="125"/>
        <v>1</v>
      </c>
      <c r="P507" s="599"/>
      <c r="Q507" s="13">
        <f t="shared" si="126"/>
        <v>0</v>
      </c>
      <c r="R507" s="596">
        <f t="shared" si="131"/>
        <v>0</v>
      </c>
      <c r="S507" s="250">
        <f t="shared" si="132"/>
        <v>0</v>
      </c>
      <c r="T507" s="899">
        <f t="shared" si="133"/>
        <v>0</v>
      </c>
      <c r="U507" s="2988">
        <f t="shared" si="127"/>
        <v>0</v>
      </c>
      <c r="V507" s="2988">
        <f t="shared" si="128"/>
        <v>0</v>
      </c>
      <c r="W507" s="996"/>
      <c r="X507" s="2988">
        <f t="shared" si="129"/>
        <v>0</v>
      </c>
      <c r="Y507" s="2988">
        <f t="shared" si="130"/>
        <v>0</v>
      </c>
      <c r="Z507" s="996"/>
    </row>
    <row r="508" spans="1:26">
      <c r="A508" s="35"/>
      <c r="B508" s="20"/>
      <c r="C508" s="13">
        <f t="shared" si="119"/>
        <v>1</v>
      </c>
      <c r="D508" s="599"/>
      <c r="E508" s="13">
        <f t="shared" si="120"/>
        <v>1</v>
      </c>
      <c r="F508" s="599"/>
      <c r="G508" s="13">
        <f t="shared" si="121"/>
        <v>1</v>
      </c>
      <c r="H508" s="599"/>
      <c r="I508" s="13">
        <f t="shared" si="122"/>
        <v>1</v>
      </c>
      <c r="J508" s="599"/>
      <c r="K508" s="13">
        <f t="shared" si="123"/>
        <v>1</v>
      </c>
      <c r="L508" s="599"/>
      <c r="M508" s="13">
        <f t="shared" si="124"/>
        <v>1</v>
      </c>
      <c r="N508" s="599"/>
      <c r="O508" s="13">
        <f t="shared" si="125"/>
        <v>1</v>
      </c>
      <c r="P508" s="599"/>
      <c r="Q508" s="13">
        <f t="shared" si="126"/>
        <v>0</v>
      </c>
      <c r="R508" s="596">
        <f t="shared" si="131"/>
        <v>0</v>
      </c>
      <c r="S508" s="250">
        <f t="shared" si="132"/>
        <v>0</v>
      </c>
      <c r="T508" s="899">
        <f t="shared" si="133"/>
        <v>0</v>
      </c>
      <c r="U508" s="2988">
        <f t="shared" si="127"/>
        <v>0</v>
      </c>
      <c r="V508" s="2988">
        <f t="shared" si="128"/>
        <v>0</v>
      </c>
      <c r="W508" s="996"/>
      <c r="X508" s="2988">
        <f t="shared" si="129"/>
        <v>0</v>
      </c>
      <c r="Y508" s="2988">
        <f t="shared" si="130"/>
        <v>0</v>
      </c>
      <c r="Z508" s="996"/>
    </row>
    <row r="509" spans="1:26">
      <c r="A509" s="35"/>
      <c r="B509" s="20"/>
      <c r="C509" s="13">
        <f t="shared" si="119"/>
        <v>1</v>
      </c>
      <c r="D509" s="599"/>
      <c r="E509" s="13">
        <f t="shared" si="120"/>
        <v>1</v>
      </c>
      <c r="F509" s="599"/>
      <c r="G509" s="13">
        <f t="shared" si="121"/>
        <v>1</v>
      </c>
      <c r="H509" s="599"/>
      <c r="I509" s="13">
        <f t="shared" si="122"/>
        <v>1</v>
      </c>
      <c r="J509" s="599"/>
      <c r="K509" s="13">
        <f t="shared" si="123"/>
        <v>1</v>
      </c>
      <c r="L509" s="599"/>
      <c r="M509" s="13">
        <f t="shared" si="124"/>
        <v>1</v>
      </c>
      <c r="N509" s="599"/>
      <c r="O509" s="13">
        <f t="shared" si="125"/>
        <v>1</v>
      </c>
      <c r="P509" s="599"/>
      <c r="Q509" s="13">
        <f t="shared" si="126"/>
        <v>0</v>
      </c>
      <c r="R509" s="596">
        <f t="shared" si="131"/>
        <v>0</v>
      </c>
      <c r="S509" s="250">
        <f t="shared" si="132"/>
        <v>0</v>
      </c>
      <c r="T509" s="899">
        <f t="shared" si="133"/>
        <v>0</v>
      </c>
      <c r="U509" s="2988">
        <f t="shared" si="127"/>
        <v>0</v>
      </c>
      <c r="V509" s="2988">
        <f t="shared" si="128"/>
        <v>0</v>
      </c>
      <c r="W509" s="996"/>
      <c r="X509" s="2988">
        <f t="shared" si="129"/>
        <v>0</v>
      </c>
      <c r="Y509" s="2988">
        <f t="shared" si="130"/>
        <v>0</v>
      </c>
      <c r="Z509" s="996"/>
    </row>
    <row r="510" spans="1:26">
      <c r="A510" s="35"/>
      <c r="B510" s="20"/>
      <c r="C510" s="13">
        <f t="shared" si="119"/>
        <v>1</v>
      </c>
      <c r="D510" s="599"/>
      <c r="E510" s="13">
        <f t="shared" si="120"/>
        <v>1</v>
      </c>
      <c r="F510" s="599"/>
      <c r="G510" s="13">
        <f t="shared" si="121"/>
        <v>1</v>
      </c>
      <c r="H510" s="599"/>
      <c r="I510" s="13">
        <f t="shared" si="122"/>
        <v>1</v>
      </c>
      <c r="J510" s="599"/>
      <c r="K510" s="13">
        <f t="shared" si="123"/>
        <v>1</v>
      </c>
      <c r="L510" s="599"/>
      <c r="M510" s="13">
        <f t="shared" si="124"/>
        <v>1</v>
      </c>
      <c r="N510" s="599"/>
      <c r="O510" s="13">
        <f t="shared" si="125"/>
        <v>1</v>
      </c>
      <c r="P510" s="599"/>
      <c r="Q510" s="13">
        <f t="shared" si="126"/>
        <v>0</v>
      </c>
      <c r="R510" s="596">
        <f t="shared" si="131"/>
        <v>0</v>
      </c>
      <c r="S510" s="250">
        <f t="shared" si="132"/>
        <v>0</v>
      </c>
      <c r="T510" s="899">
        <f t="shared" si="133"/>
        <v>0</v>
      </c>
      <c r="U510" s="2988">
        <f t="shared" si="127"/>
        <v>0</v>
      </c>
      <c r="V510" s="2988">
        <f t="shared" si="128"/>
        <v>0</v>
      </c>
      <c r="W510" s="996"/>
      <c r="X510" s="2988">
        <f t="shared" si="129"/>
        <v>0</v>
      </c>
      <c r="Y510" s="2988">
        <f t="shared" si="130"/>
        <v>0</v>
      </c>
      <c r="Z510" s="996"/>
    </row>
    <row r="511" spans="1:26">
      <c r="A511" s="35"/>
      <c r="B511" s="20"/>
      <c r="C511" s="13">
        <f t="shared" si="119"/>
        <v>1</v>
      </c>
      <c r="D511" s="599"/>
      <c r="E511" s="13">
        <f t="shared" si="120"/>
        <v>1</v>
      </c>
      <c r="F511" s="599"/>
      <c r="G511" s="13">
        <f t="shared" si="121"/>
        <v>1</v>
      </c>
      <c r="H511" s="599"/>
      <c r="I511" s="13">
        <f t="shared" si="122"/>
        <v>1</v>
      </c>
      <c r="J511" s="599"/>
      <c r="K511" s="13">
        <f t="shared" si="123"/>
        <v>1</v>
      </c>
      <c r="L511" s="599"/>
      <c r="M511" s="13">
        <f t="shared" si="124"/>
        <v>1</v>
      </c>
      <c r="N511" s="599"/>
      <c r="O511" s="13">
        <f t="shared" si="125"/>
        <v>1</v>
      </c>
      <c r="P511" s="599"/>
      <c r="Q511" s="13">
        <f t="shared" si="126"/>
        <v>0</v>
      </c>
      <c r="R511" s="596">
        <f t="shared" si="131"/>
        <v>0</v>
      </c>
      <c r="S511" s="250">
        <f t="shared" si="132"/>
        <v>0</v>
      </c>
      <c r="T511" s="899">
        <f t="shared" si="133"/>
        <v>0</v>
      </c>
      <c r="U511" s="2988">
        <f t="shared" si="127"/>
        <v>0</v>
      </c>
      <c r="V511" s="2988">
        <f t="shared" si="128"/>
        <v>0</v>
      </c>
      <c r="W511" s="996"/>
      <c r="X511" s="2988">
        <f t="shared" si="129"/>
        <v>0</v>
      </c>
      <c r="Y511" s="2988">
        <f t="shared" si="130"/>
        <v>0</v>
      </c>
      <c r="Z511" s="996"/>
    </row>
    <row r="512" spans="1:26">
      <c r="A512" s="35"/>
      <c r="B512" s="20"/>
      <c r="C512" s="13">
        <f t="shared" si="119"/>
        <v>1</v>
      </c>
      <c r="D512" s="599"/>
      <c r="E512" s="13">
        <f t="shared" si="120"/>
        <v>1</v>
      </c>
      <c r="F512" s="599"/>
      <c r="G512" s="13">
        <f t="shared" si="121"/>
        <v>1</v>
      </c>
      <c r="H512" s="599"/>
      <c r="I512" s="13">
        <f t="shared" si="122"/>
        <v>1</v>
      </c>
      <c r="J512" s="599"/>
      <c r="K512" s="13">
        <f t="shared" si="123"/>
        <v>1</v>
      </c>
      <c r="L512" s="599"/>
      <c r="M512" s="13">
        <f t="shared" si="124"/>
        <v>1</v>
      </c>
      <c r="N512" s="599"/>
      <c r="O512" s="13">
        <f t="shared" si="125"/>
        <v>1</v>
      </c>
      <c r="P512" s="599"/>
      <c r="Q512" s="13">
        <f t="shared" si="126"/>
        <v>0</v>
      </c>
      <c r="R512" s="596">
        <f t="shared" si="131"/>
        <v>0</v>
      </c>
      <c r="S512" s="250">
        <f t="shared" si="132"/>
        <v>0</v>
      </c>
      <c r="T512" s="899">
        <f t="shared" si="133"/>
        <v>0</v>
      </c>
      <c r="U512" s="2988">
        <f t="shared" si="127"/>
        <v>0</v>
      </c>
      <c r="V512" s="2988">
        <f t="shared" si="128"/>
        <v>0</v>
      </c>
      <c r="W512" s="996"/>
      <c r="X512" s="2988">
        <f t="shared" si="129"/>
        <v>0</v>
      </c>
      <c r="Y512" s="2988">
        <f t="shared" si="130"/>
        <v>0</v>
      </c>
      <c r="Z512" s="996"/>
    </row>
    <row r="513" spans="1:26">
      <c r="A513" s="35"/>
      <c r="B513" s="20"/>
      <c r="C513" s="13">
        <f t="shared" si="119"/>
        <v>1</v>
      </c>
      <c r="D513" s="599"/>
      <c r="E513" s="13">
        <f t="shared" si="120"/>
        <v>1</v>
      </c>
      <c r="F513" s="599"/>
      <c r="G513" s="13">
        <f t="shared" si="121"/>
        <v>1</v>
      </c>
      <c r="H513" s="599"/>
      <c r="I513" s="13">
        <f t="shared" si="122"/>
        <v>1</v>
      </c>
      <c r="J513" s="599"/>
      <c r="K513" s="13">
        <f t="shared" si="123"/>
        <v>1</v>
      </c>
      <c r="L513" s="599"/>
      <c r="M513" s="13">
        <f t="shared" si="124"/>
        <v>1</v>
      </c>
      <c r="N513" s="599"/>
      <c r="O513" s="13">
        <f t="shared" si="125"/>
        <v>1</v>
      </c>
      <c r="P513" s="599"/>
      <c r="Q513" s="13">
        <f t="shared" si="126"/>
        <v>0</v>
      </c>
      <c r="R513" s="596">
        <f t="shared" si="131"/>
        <v>0</v>
      </c>
      <c r="S513" s="250">
        <f t="shared" si="132"/>
        <v>0</v>
      </c>
      <c r="T513" s="899">
        <f t="shared" si="133"/>
        <v>0</v>
      </c>
      <c r="U513" s="2988">
        <f t="shared" si="127"/>
        <v>0</v>
      </c>
      <c r="V513" s="2988">
        <f t="shared" si="128"/>
        <v>0</v>
      </c>
      <c r="W513" s="996"/>
      <c r="X513" s="2988">
        <f t="shared" si="129"/>
        <v>0</v>
      </c>
      <c r="Y513" s="2988">
        <f t="shared" si="130"/>
        <v>0</v>
      </c>
      <c r="Z513" s="996"/>
    </row>
    <row r="514" spans="1:26">
      <c r="A514" s="35"/>
      <c r="B514" s="20"/>
      <c r="C514" s="13">
        <f t="shared" si="119"/>
        <v>1</v>
      </c>
      <c r="D514" s="599"/>
      <c r="E514" s="13">
        <f t="shared" si="120"/>
        <v>1</v>
      </c>
      <c r="F514" s="599"/>
      <c r="G514" s="13">
        <f t="shared" si="121"/>
        <v>1</v>
      </c>
      <c r="H514" s="599"/>
      <c r="I514" s="13">
        <f t="shared" si="122"/>
        <v>1</v>
      </c>
      <c r="J514" s="599"/>
      <c r="K514" s="13">
        <f t="shared" si="123"/>
        <v>1</v>
      </c>
      <c r="L514" s="599"/>
      <c r="M514" s="13">
        <f t="shared" si="124"/>
        <v>1</v>
      </c>
      <c r="N514" s="599"/>
      <c r="O514" s="13">
        <f t="shared" si="125"/>
        <v>1</v>
      </c>
      <c r="P514" s="599"/>
      <c r="Q514" s="13">
        <f t="shared" si="126"/>
        <v>0</v>
      </c>
      <c r="R514" s="596">
        <f t="shared" si="131"/>
        <v>0</v>
      </c>
      <c r="S514" s="250">
        <f t="shared" si="132"/>
        <v>0</v>
      </c>
      <c r="T514" s="899">
        <f t="shared" si="133"/>
        <v>0</v>
      </c>
      <c r="U514" s="2988">
        <f t="shared" si="127"/>
        <v>0</v>
      </c>
      <c r="V514" s="2988">
        <f t="shared" si="128"/>
        <v>0</v>
      </c>
      <c r="W514" s="996"/>
      <c r="X514" s="2988">
        <f t="shared" si="129"/>
        <v>0</v>
      </c>
      <c r="Y514" s="2988">
        <f t="shared" si="130"/>
        <v>0</v>
      </c>
      <c r="Z514" s="996"/>
    </row>
    <row r="515" spans="1:26">
      <c r="A515" s="35"/>
      <c r="B515" s="20"/>
      <c r="C515" s="13">
        <f t="shared" si="119"/>
        <v>1</v>
      </c>
      <c r="D515" s="599"/>
      <c r="E515" s="13">
        <f t="shared" si="120"/>
        <v>1</v>
      </c>
      <c r="F515" s="599"/>
      <c r="G515" s="13">
        <f t="shared" si="121"/>
        <v>1</v>
      </c>
      <c r="H515" s="599"/>
      <c r="I515" s="13">
        <f t="shared" si="122"/>
        <v>1</v>
      </c>
      <c r="J515" s="599"/>
      <c r="K515" s="13">
        <f t="shared" si="123"/>
        <v>1</v>
      </c>
      <c r="L515" s="599"/>
      <c r="M515" s="13">
        <f t="shared" si="124"/>
        <v>1</v>
      </c>
      <c r="N515" s="599"/>
      <c r="O515" s="13">
        <f t="shared" si="125"/>
        <v>1</v>
      </c>
      <c r="P515" s="599"/>
      <c r="Q515" s="13">
        <f t="shared" si="126"/>
        <v>0</v>
      </c>
      <c r="R515" s="596">
        <f t="shared" si="131"/>
        <v>0</v>
      </c>
      <c r="S515" s="250">
        <f t="shared" si="132"/>
        <v>0</v>
      </c>
      <c r="T515" s="899">
        <f t="shared" si="133"/>
        <v>0</v>
      </c>
      <c r="U515" s="2988">
        <f t="shared" si="127"/>
        <v>0</v>
      </c>
      <c r="V515" s="2988">
        <f t="shared" si="128"/>
        <v>0</v>
      </c>
      <c r="W515" s="996"/>
      <c r="X515" s="2988">
        <f t="shared" si="129"/>
        <v>0</v>
      </c>
      <c r="Y515" s="2988">
        <f t="shared" si="130"/>
        <v>0</v>
      </c>
      <c r="Z515" s="996"/>
    </row>
    <row r="516" spans="1:26">
      <c r="A516" s="35"/>
      <c r="B516" s="20"/>
      <c r="C516" s="13">
        <f t="shared" si="119"/>
        <v>1</v>
      </c>
      <c r="D516" s="599"/>
      <c r="E516" s="13">
        <f t="shared" si="120"/>
        <v>1</v>
      </c>
      <c r="F516" s="599"/>
      <c r="G516" s="13">
        <f t="shared" si="121"/>
        <v>1</v>
      </c>
      <c r="H516" s="599"/>
      <c r="I516" s="13">
        <f t="shared" si="122"/>
        <v>1</v>
      </c>
      <c r="J516" s="599"/>
      <c r="K516" s="13">
        <f t="shared" si="123"/>
        <v>1</v>
      </c>
      <c r="L516" s="599"/>
      <c r="M516" s="13">
        <f t="shared" si="124"/>
        <v>1</v>
      </c>
      <c r="N516" s="599"/>
      <c r="O516" s="13">
        <f t="shared" si="125"/>
        <v>1</v>
      </c>
      <c r="P516" s="599"/>
      <c r="Q516" s="13">
        <f t="shared" si="126"/>
        <v>0</v>
      </c>
      <c r="R516" s="596">
        <f t="shared" si="131"/>
        <v>0</v>
      </c>
      <c r="S516" s="250">
        <f t="shared" si="132"/>
        <v>0</v>
      </c>
      <c r="T516" s="899">
        <f t="shared" si="133"/>
        <v>0</v>
      </c>
      <c r="U516" s="2988">
        <f t="shared" si="127"/>
        <v>0</v>
      </c>
      <c r="V516" s="2988">
        <f t="shared" si="128"/>
        <v>0</v>
      </c>
      <c r="W516" s="996"/>
      <c r="X516" s="2988">
        <f t="shared" si="129"/>
        <v>0</v>
      </c>
      <c r="Y516" s="2988">
        <f t="shared" si="130"/>
        <v>0</v>
      </c>
      <c r="Z516" s="996"/>
    </row>
    <row r="517" spans="1:26">
      <c r="A517" s="35"/>
      <c r="B517" s="20"/>
      <c r="C517" s="13">
        <f t="shared" si="119"/>
        <v>1</v>
      </c>
      <c r="D517" s="599"/>
      <c r="E517" s="13">
        <f t="shared" si="120"/>
        <v>1</v>
      </c>
      <c r="F517" s="599"/>
      <c r="G517" s="13">
        <f t="shared" si="121"/>
        <v>1</v>
      </c>
      <c r="H517" s="599"/>
      <c r="I517" s="13">
        <f t="shared" si="122"/>
        <v>1</v>
      </c>
      <c r="J517" s="599"/>
      <c r="K517" s="13">
        <f t="shared" si="123"/>
        <v>1</v>
      </c>
      <c r="L517" s="599"/>
      <c r="M517" s="13">
        <f t="shared" si="124"/>
        <v>1</v>
      </c>
      <c r="N517" s="599"/>
      <c r="O517" s="13">
        <f t="shared" si="125"/>
        <v>1</v>
      </c>
      <c r="P517" s="599"/>
      <c r="Q517" s="13">
        <f t="shared" si="126"/>
        <v>0</v>
      </c>
      <c r="R517" s="596">
        <f t="shared" si="131"/>
        <v>0</v>
      </c>
      <c r="S517" s="250">
        <f t="shared" si="132"/>
        <v>0</v>
      </c>
      <c r="T517" s="899">
        <f t="shared" si="133"/>
        <v>0</v>
      </c>
      <c r="U517" s="2988">
        <f t="shared" si="127"/>
        <v>0</v>
      </c>
      <c r="V517" s="2988">
        <f t="shared" si="128"/>
        <v>0</v>
      </c>
      <c r="W517" s="996"/>
      <c r="X517" s="2988">
        <f t="shared" si="129"/>
        <v>0</v>
      </c>
      <c r="Y517" s="2988">
        <f t="shared" si="130"/>
        <v>0</v>
      </c>
      <c r="Z517" s="996"/>
    </row>
    <row r="518" spans="1:26">
      <c r="A518" s="35"/>
      <c r="B518" s="20"/>
      <c r="C518" s="13">
        <f t="shared" si="119"/>
        <v>1</v>
      </c>
      <c r="D518" s="599"/>
      <c r="E518" s="13">
        <f t="shared" si="120"/>
        <v>1</v>
      </c>
      <c r="F518" s="599"/>
      <c r="G518" s="13">
        <f t="shared" si="121"/>
        <v>1</v>
      </c>
      <c r="H518" s="599"/>
      <c r="I518" s="13">
        <f t="shared" si="122"/>
        <v>1</v>
      </c>
      <c r="J518" s="599"/>
      <c r="K518" s="13">
        <f t="shared" si="123"/>
        <v>1</v>
      </c>
      <c r="L518" s="599"/>
      <c r="M518" s="13">
        <f t="shared" si="124"/>
        <v>1</v>
      </c>
      <c r="N518" s="599"/>
      <c r="O518" s="13">
        <f t="shared" si="125"/>
        <v>1</v>
      </c>
      <c r="P518" s="599"/>
      <c r="Q518" s="13">
        <f t="shared" si="126"/>
        <v>0</v>
      </c>
      <c r="R518" s="596">
        <f t="shared" si="131"/>
        <v>0</v>
      </c>
      <c r="S518" s="250">
        <f t="shared" si="132"/>
        <v>0</v>
      </c>
      <c r="T518" s="899">
        <f t="shared" si="133"/>
        <v>0</v>
      </c>
      <c r="U518" s="2988">
        <f t="shared" si="127"/>
        <v>0</v>
      </c>
      <c r="V518" s="2988">
        <f t="shared" si="128"/>
        <v>0</v>
      </c>
      <c r="W518" s="996"/>
      <c r="X518" s="2988">
        <f t="shared" si="129"/>
        <v>0</v>
      </c>
      <c r="Y518" s="2988">
        <f t="shared" si="130"/>
        <v>0</v>
      </c>
      <c r="Z518" s="996"/>
    </row>
    <row r="519" spans="1:26">
      <c r="A519" s="35"/>
      <c r="B519" s="20"/>
      <c r="C519" s="13">
        <f t="shared" si="119"/>
        <v>1</v>
      </c>
      <c r="D519" s="599"/>
      <c r="E519" s="13">
        <f t="shared" si="120"/>
        <v>1</v>
      </c>
      <c r="F519" s="599"/>
      <c r="G519" s="13">
        <f t="shared" si="121"/>
        <v>1</v>
      </c>
      <c r="H519" s="599"/>
      <c r="I519" s="13">
        <f t="shared" si="122"/>
        <v>1</v>
      </c>
      <c r="J519" s="599"/>
      <c r="K519" s="13">
        <f t="shared" si="123"/>
        <v>1</v>
      </c>
      <c r="L519" s="599"/>
      <c r="M519" s="13">
        <f t="shared" si="124"/>
        <v>1</v>
      </c>
      <c r="N519" s="599"/>
      <c r="O519" s="13">
        <f t="shared" si="125"/>
        <v>1</v>
      </c>
      <c r="P519" s="599"/>
      <c r="Q519" s="13">
        <f t="shared" si="126"/>
        <v>0</v>
      </c>
      <c r="R519" s="596">
        <f t="shared" si="131"/>
        <v>0</v>
      </c>
      <c r="S519" s="250">
        <f t="shared" si="132"/>
        <v>0</v>
      </c>
      <c r="T519" s="899">
        <f t="shared" si="133"/>
        <v>0</v>
      </c>
      <c r="U519" s="2988">
        <f t="shared" si="127"/>
        <v>0</v>
      </c>
      <c r="V519" s="2988">
        <f t="shared" si="128"/>
        <v>0</v>
      </c>
      <c r="W519" s="996"/>
      <c r="X519" s="2988">
        <f t="shared" si="129"/>
        <v>0</v>
      </c>
      <c r="Y519" s="2988">
        <f t="shared" si="130"/>
        <v>0</v>
      </c>
      <c r="Z519" s="996"/>
    </row>
    <row r="520" spans="1:26">
      <c r="A520" s="35"/>
      <c r="B520" s="20"/>
      <c r="C520" s="13">
        <f t="shared" si="119"/>
        <v>1</v>
      </c>
      <c r="D520" s="599"/>
      <c r="E520" s="13">
        <f t="shared" si="120"/>
        <v>1</v>
      </c>
      <c r="F520" s="599"/>
      <c r="G520" s="13">
        <f t="shared" si="121"/>
        <v>1</v>
      </c>
      <c r="H520" s="599"/>
      <c r="I520" s="13">
        <f t="shared" si="122"/>
        <v>1</v>
      </c>
      <c r="J520" s="599"/>
      <c r="K520" s="13">
        <f t="shared" si="123"/>
        <v>1</v>
      </c>
      <c r="L520" s="599"/>
      <c r="M520" s="13">
        <f t="shared" si="124"/>
        <v>1</v>
      </c>
      <c r="N520" s="599"/>
      <c r="O520" s="13">
        <f t="shared" si="125"/>
        <v>1</v>
      </c>
      <c r="P520" s="599"/>
      <c r="Q520" s="13">
        <f t="shared" si="126"/>
        <v>0</v>
      </c>
      <c r="R520" s="596">
        <f t="shared" si="131"/>
        <v>0</v>
      </c>
      <c r="S520" s="250">
        <f t="shared" si="132"/>
        <v>0</v>
      </c>
      <c r="T520" s="899">
        <f t="shared" si="133"/>
        <v>0</v>
      </c>
      <c r="U520" s="2988">
        <f t="shared" si="127"/>
        <v>0</v>
      </c>
      <c r="V520" s="2988">
        <f t="shared" si="128"/>
        <v>0</v>
      </c>
      <c r="W520" s="996"/>
      <c r="X520" s="2988">
        <f t="shared" si="129"/>
        <v>0</v>
      </c>
      <c r="Y520" s="2988">
        <f t="shared" si="130"/>
        <v>0</v>
      </c>
      <c r="Z520" s="996"/>
    </row>
    <row r="521" spans="1:26">
      <c r="A521" s="35"/>
      <c r="B521" s="20"/>
      <c r="C521" s="13">
        <f t="shared" si="119"/>
        <v>1</v>
      </c>
      <c r="D521" s="599"/>
      <c r="E521" s="13">
        <f t="shared" si="120"/>
        <v>1</v>
      </c>
      <c r="F521" s="599"/>
      <c r="G521" s="13">
        <f t="shared" si="121"/>
        <v>1</v>
      </c>
      <c r="H521" s="599"/>
      <c r="I521" s="13">
        <f t="shared" si="122"/>
        <v>1</v>
      </c>
      <c r="J521" s="599"/>
      <c r="K521" s="13">
        <f t="shared" si="123"/>
        <v>1</v>
      </c>
      <c r="L521" s="599"/>
      <c r="M521" s="13">
        <f t="shared" si="124"/>
        <v>1</v>
      </c>
      <c r="N521" s="599"/>
      <c r="O521" s="13">
        <f t="shared" si="125"/>
        <v>1</v>
      </c>
      <c r="P521" s="599"/>
      <c r="Q521" s="13">
        <f t="shared" si="126"/>
        <v>0</v>
      </c>
      <c r="R521" s="596">
        <f t="shared" si="131"/>
        <v>0</v>
      </c>
      <c r="S521" s="250">
        <f t="shared" si="132"/>
        <v>0</v>
      </c>
      <c r="T521" s="899">
        <f t="shared" si="133"/>
        <v>0</v>
      </c>
      <c r="U521" s="2988">
        <f t="shared" si="127"/>
        <v>0</v>
      </c>
      <c r="V521" s="2988">
        <f t="shared" si="128"/>
        <v>0</v>
      </c>
      <c r="W521" s="996"/>
      <c r="X521" s="2988">
        <f t="shared" si="129"/>
        <v>0</v>
      </c>
      <c r="Y521" s="2988">
        <f t="shared" si="130"/>
        <v>0</v>
      </c>
      <c r="Z521" s="996"/>
    </row>
    <row r="522" spans="1:26">
      <c r="A522" s="35"/>
      <c r="B522" s="20"/>
      <c r="C522" s="13">
        <f t="shared" si="119"/>
        <v>1</v>
      </c>
      <c r="D522" s="599"/>
      <c r="E522" s="13">
        <f t="shared" si="120"/>
        <v>1</v>
      </c>
      <c r="F522" s="599"/>
      <c r="G522" s="13">
        <f t="shared" si="121"/>
        <v>1</v>
      </c>
      <c r="H522" s="599"/>
      <c r="I522" s="13">
        <f t="shared" si="122"/>
        <v>1</v>
      </c>
      <c r="J522" s="599"/>
      <c r="K522" s="13">
        <f t="shared" si="123"/>
        <v>1</v>
      </c>
      <c r="L522" s="599"/>
      <c r="M522" s="13">
        <f t="shared" si="124"/>
        <v>1</v>
      </c>
      <c r="N522" s="599"/>
      <c r="O522" s="13">
        <f t="shared" si="125"/>
        <v>1</v>
      </c>
      <c r="P522" s="599"/>
      <c r="Q522" s="13">
        <f t="shared" si="126"/>
        <v>0</v>
      </c>
      <c r="R522" s="596">
        <f t="shared" si="131"/>
        <v>0</v>
      </c>
      <c r="S522" s="250">
        <f t="shared" si="132"/>
        <v>0</v>
      </c>
      <c r="T522" s="899">
        <f t="shared" si="133"/>
        <v>0</v>
      </c>
      <c r="U522" s="2988">
        <f t="shared" si="127"/>
        <v>0</v>
      </c>
      <c r="V522" s="2988">
        <f t="shared" si="128"/>
        <v>0</v>
      </c>
      <c r="W522" s="996"/>
      <c r="X522" s="2988">
        <f t="shared" si="129"/>
        <v>0</v>
      </c>
      <c r="Y522" s="2988">
        <f t="shared" si="130"/>
        <v>0</v>
      </c>
      <c r="Z522" s="996"/>
    </row>
    <row r="523" spans="1:26">
      <c r="A523" s="35"/>
      <c r="B523" s="20"/>
      <c r="C523" s="13">
        <f t="shared" si="119"/>
        <v>1</v>
      </c>
      <c r="D523" s="599"/>
      <c r="E523" s="13">
        <f t="shared" si="120"/>
        <v>1</v>
      </c>
      <c r="F523" s="599"/>
      <c r="G523" s="13">
        <f t="shared" si="121"/>
        <v>1</v>
      </c>
      <c r="H523" s="599"/>
      <c r="I523" s="13">
        <f t="shared" si="122"/>
        <v>1</v>
      </c>
      <c r="J523" s="599"/>
      <c r="K523" s="13">
        <f t="shared" si="123"/>
        <v>1</v>
      </c>
      <c r="L523" s="599"/>
      <c r="M523" s="13">
        <f t="shared" si="124"/>
        <v>1</v>
      </c>
      <c r="N523" s="599"/>
      <c r="O523" s="13">
        <f t="shared" si="125"/>
        <v>1</v>
      </c>
      <c r="P523" s="599"/>
      <c r="Q523" s="13">
        <f t="shared" si="126"/>
        <v>0</v>
      </c>
      <c r="R523" s="596">
        <f t="shared" si="131"/>
        <v>0</v>
      </c>
      <c r="S523" s="250">
        <f t="shared" si="132"/>
        <v>0</v>
      </c>
      <c r="T523" s="899">
        <f t="shared" si="133"/>
        <v>0</v>
      </c>
      <c r="U523" s="2988">
        <f t="shared" si="127"/>
        <v>0</v>
      </c>
      <c r="V523" s="2988">
        <f t="shared" si="128"/>
        <v>0</v>
      </c>
      <c r="W523" s="996"/>
      <c r="X523" s="2988">
        <f t="shared" si="129"/>
        <v>0</v>
      </c>
      <c r="Y523" s="2988">
        <f t="shared" si="130"/>
        <v>0</v>
      </c>
      <c r="Z523" s="996"/>
    </row>
    <row r="524" spans="1:26">
      <c r="A524" s="35"/>
      <c r="B524" s="20"/>
      <c r="C524" s="13">
        <f t="shared" si="119"/>
        <v>1</v>
      </c>
      <c r="D524" s="599"/>
      <c r="E524" s="13">
        <f t="shared" si="120"/>
        <v>1</v>
      </c>
      <c r="F524" s="599"/>
      <c r="G524" s="13">
        <f t="shared" si="121"/>
        <v>1</v>
      </c>
      <c r="H524" s="599"/>
      <c r="I524" s="13">
        <f t="shared" si="122"/>
        <v>1</v>
      </c>
      <c r="J524" s="599"/>
      <c r="K524" s="13">
        <f t="shared" si="123"/>
        <v>1</v>
      </c>
      <c r="L524" s="599"/>
      <c r="M524" s="13">
        <f t="shared" si="124"/>
        <v>1</v>
      </c>
      <c r="N524" s="599"/>
      <c r="O524" s="13">
        <f t="shared" si="125"/>
        <v>1</v>
      </c>
      <c r="P524" s="599"/>
      <c r="Q524" s="13">
        <f t="shared" si="126"/>
        <v>0</v>
      </c>
      <c r="R524" s="596">
        <f t="shared" si="131"/>
        <v>0</v>
      </c>
      <c r="S524" s="250">
        <f t="shared" si="132"/>
        <v>0</v>
      </c>
      <c r="T524" s="899">
        <f t="shared" si="133"/>
        <v>0</v>
      </c>
      <c r="U524" s="2988">
        <f t="shared" si="127"/>
        <v>0</v>
      </c>
      <c r="V524" s="2988">
        <f t="shared" si="128"/>
        <v>0</v>
      </c>
      <c r="W524" s="996"/>
      <c r="X524" s="2988">
        <f t="shared" si="129"/>
        <v>0</v>
      </c>
      <c r="Y524" s="2988">
        <f t="shared" si="130"/>
        <v>0</v>
      </c>
      <c r="Z524" s="996"/>
    </row>
    <row r="525" spans="1:26">
      <c r="A525" s="35"/>
      <c r="B525" s="20"/>
      <c r="C525" s="13">
        <f t="shared" si="119"/>
        <v>1</v>
      </c>
      <c r="D525" s="599"/>
      <c r="E525" s="13">
        <f t="shared" si="120"/>
        <v>1</v>
      </c>
      <c r="F525" s="599"/>
      <c r="G525" s="13">
        <f t="shared" si="121"/>
        <v>1</v>
      </c>
      <c r="H525" s="599"/>
      <c r="I525" s="13">
        <f t="shared" si="122"/>
        <v>1</v>
      </c>
      <c r="J525" s="599"/>
      <c r="K525" s="13">
        <f t="shared" si="123"/>
        <v>1</v>
      </c>
      <c r="L525" s="599"/>
      <c r="M525" s="13">
        <f t="shared" si="124"/>
        <v>1</v>
      </c>
      <c r="N525" s="599"/>
      <c r="O525" s="13">
        <f t="shared" si="125"/>
        <v>1</v>
      </c>
      <c r="P525" s="599"/>
      <c r="Q525" s="13">
        <f t="shared" si="126"/>
        <v>0</v>
      </c>
      <c r="R525" s="596">
        <f t="shared" si="131"/>
        <v>0</v>
      </c>
      <c r="S525" s="250">
        <f t="shared" si="132"/>
        <v>0</v>
      </c>
      <c r="T525" s="899">
        <f t="shared" si="133"/>
        <v>0</v>
      </c>
      <c r="U525" s="2988">
        <f t="shared" si="127"/>
        <v>0</v>
      </c>
      <c r="V525" s="2988">
        <f t="shared" si="128"/>
        <v>0</v>
      </c>
      <c r="W525" s="996"/>
      <c r="X525" s="2988">
        <f t="shared" si="129"/>
        <v>0</v>
      </c>
      <c r="Y525" s="2988">
        <f t="shared" si="130"/>
        <v>0</v>
      </c>
      <c r="Z525" s="996"/>
    </row>
    <row r="526" spans="1:26">
      <c r="A526" s="35"/>
      <c r="B526" s="20"/>
      <c r="C526" s="13">
        <f t="shared" si="119"/>
        <v>1</v>
      </c>
      <c r="D526" s="599"/>
      <c r="E526" s="13">
        <f t="shared" si="120"/>
        <v>1</v>
      </c>
      <c r="F526" s="599"/>
      <c r="G526" s="13">
        <f t="shared" si="121"/>
        <v>1</v>
      </c>
      <c r="H526" s="599"/>
      <c r="I526" s="13">
        <f t="shared" si="122"/>
        <v>1</v>
      </c>
      <c r="J526" s="599"/>
      <c r="K526" s="13">
        <f t="shared" si="123"/>
        <v>1</v>
      </c>
      <c r="L526" s="599"/>
      <c r="M526" s="13">
        <f t="shared" si="124"/>
        <v>1</v>
      </c>
      <c r="N526" s="599"/>
      <c r="O526" s="13">
        <f t="shared" si="125"/>
        <v>1</v>
      </c>
      <c r="P526" s="599"/>
      <c r="Q526" s="13">
        <f t="shared" si="126"/>
        <v>0</v>
      </c>
      <c r="R526" s="596">
        <f t="shared" si="131"/>
        <v>0</v>
      </c>
      <c r="S526" s="250">
        <f t="shared" si="132"/>
        <v>0</v>
      </c>
      <c r="T526" s="899">
        <f t="shared" si="133"/>
        <v>0</v>
      </c>
      <c r="U526" s="2988">
        <f t="shared" si="127"/>
        <v>0</v>
      </c>
      <c r="V526" s="2988">
        <f t="shared" si="128"/>
        <v>0</v>
      </c>
      <c r="W526" s="996"/>
      <c r="X526" s="2988">
        <f t="shared" si="129"/>
        <v>0</v>
      </c>
      <c r="Y526" s="2988">
        <f t="shared" si="130"/>
        <v>0</v>
      </c>
      <c r="Z526" s="996"/>
    </row>
    <row r="527" spans="1:26">
      <c r="A527" s="35"/>
      <c r="B527" s="20"/>
      <c r="C527" s="13">
        <f t="shared" si="119"/>
        <v>1</v>
      </c>
      <c r="D527" s="599"/>
      <c r="E527" s="13">
        <f t="shared" si="120"/>
        <v>1</v>
      </c>
      <c r="F527" s="599"/>
      <c r="G527" s="13">
        <f t="shared" si="121"/>
        <v>1</v>
      </c>
      <c r="H527" s="599"/>
      <c r="I527" s="13">
        <f t="shared" si="122"/>
        <v>1</v>
      </c>
      <c r="J527" s="599"/>
      <c r="K527" s="13">
        <f t="shared" si="123"/>
        <v>1</v>
      </c>
      <c r="L527" s="599"/>
      <c r="M527" s="13">
        <f t="shared" si="124"/>
        <v>1</v>
      </c>
      <c r="N527" s="599"/>
      <c r="O527" s="13">
        <f t="shared" si="125"/>
        <v>1</v>
      </c>
      <c r="P527" s="599"/>
      <c r="Q527" s="13">
        <f t="shared" si="126"/>
        <v>0</v>
      </c>
      <c r="R527" s="596">
        <f t="shared" si="131"/>
        <v>0</v>
      </c>
      <c r="S527" s="250">
        <f t="shared" si="132"/>
        <v>0</v>
      </c>
      <c r="T527" s="899">
        <f t="shared" si="133"/>
        <v>0</v>
      </c>
      <c r="U527" s="2988">
        <f t="shared" si="127"/>
        <v>0</v>
      </c>
      <c r="V527" s="2988">
        <f t="shared" si="128"/>
        <v>0</v>
      </c>
      <c r="W527" s="996"/>
      <c r="X527" s="2988">
        <f t="shared" si="129"/>
        <v>0</v>
      </c>
      <c r="Y527" s="2988">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0"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2535</v>
      </c>
      <c r="C2" s="79" t="str">
        <f>'数据-取费表'!B3</f>
        <v>万元</v>
      </c>
      <c r="D2" s="1514" t="s">
        <v>1241</v>
      </c>
      <c r="E2" s="1178" t="e">
        <f ca="1">SUMIF(INDIRECT("'"&amp;G2&amp;"'"&amp;"!A:A"),"承租人权益价值",INDIRECT("'"&amp;G2&amp;"'"&amp;"!c:c"))</f>
        <v>#REF!</v>
      </c>
      <c r="F2" s="1515" t="str">
        <f>C2</f>
        <v>万元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14782</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1918</v>
      </c>
      <c r="B5" s="89" t="s">
        <v>1919</v>
      </c>
      <c r="C5" s="111">
        <f ca="1">C6+C7+C8</f>
        <v>15542931</v>
      </c>
      <c r="D5" s="111" t="s">
        <v>1920</v>
      </c>
      <c r="E5" s="1164" t="s">
        <v>1921</v>
      </c>
      <c r="F5" s="1164"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3">
        <f ca="1">(基准地价修正!V2+基准地价修正!V3)*10000</f>
        <v>14750000</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449875</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343056</v>
      </c>
      <c r="D8" s="1168"/>
      <c r="E8" s="115"/>
      <c r="F8" s="1167"/>
      <c r="G8" s="1516" t="s">
        <v>2903</v>
      </c>
    </row>
    <row r="9" spans="1:123" s="91" customFormat="1" ht="13.5" customHeight="1">
      <c r="A9" s="991" t="s">
        <v>945</v>
      </c>
      <c r="B9" s="97" t="s">
        <v>1929</v>
      </c>
      <c r="C9" s="1169">
        <f>ROUND(D9*E9,0)</f>
        <v>0</v>
      </c>
      <c r="D9" s="1170">
        <f>IF('数据-取费表'!B10="住宅",IF(B1="仅计算典型户型",'数据-取费表'!E5,'数据-取费表'!B5),0)</f>
        <v>0</v>
      </c>
      <c r="E9" s="1169">
        <f>'数据-取费表'!E11</f>
        <v>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1930</v>
      </c>
      <c r="C10" s="1169">
        <f>ROUND(D10*E10,0)</f>
        <v>343056</v>
      </c>
      <c r="D10" s="1170">
        <f>IF('数据-取费表'!B10&lt;&gt;"住宅",IF(B1="仅计算典型户型",'数据-取费表'!E5,'数据-取费表'!B5),0)</f>
        <v>1715.28</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6"/>
      <c r="F14" s="1166"/>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6"/>
      <c r="F15" s="1166"/>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2"/>
      <c r="D17" s="1172"/>
      <c r="E17" s="1172"/>
      <c r="F17" s="1172"/>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6"/>
      <c r="F18" s="1167">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3">
        <f>IF(B1="仅计算典型户型",'数据-取费表'!E5,'数据-取费表'!B5)</f>
        <v>1715.28</v>
      </c>
      <c r="E19" s="111">
        <f>'数据-取费表'!E15</f>
        <v>200</v>
      </c>
      <c r="F19" s="112"/>
      <c r="G19" s="1516" t="s">
        <v>2904</v>
      </c>
    </row>
    <row r="20" spans="1:123" s="91" customFormat="1" ht="13.5" customHeight="1">
      <c r="A20" s="120" t="s">
        <v>1942</v>
      </c>
      <c r="B20" s="89" t="s">
        <v>1943</v>
      </c>
      <c r="C20" s="99">
        <f ca="1">ROUND((C5+C19)*F20,0)</f>
        <v>155429</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601395</v>
      </c>
      <c r="D22" s="101">
        <f ca="1">C26</f>
        <v>2.0000000000000001E-4</v>
      </c>
      <c r="E22" s="102" t="s">
        <v>1947</v>
      </c>
      <c r="F22" s="103">
        <f ca="1">'数据-取费表'!E27</f>
        <v>3.85E-2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3">
        <f ca="1">ROUND(IF('数据-取费表'!B24&lt;=1,C5*F22*'数据-取费表'!B25,C5*(POWER((1+F22),'数据-取费表'!B25)-1)),0)</f>
        <v>598403</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3">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3">
        <f ca="1">ROUND(IF('数据-取费表'!B24&lt;=1,C20*F22*'数据-取费表'!B25/2,C20*(POWER((1+F22),'数据-取费表'!B25/2)-1)),0)</f>
        <v>2992</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2.0000000000000001E-4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1960</v>
      </c>
      <c r="B27" s="110" t="s">
        <v>1961</v>
      </c>
      <c r="C27" s="111">
        <f ca="1">C28</f>
        <v>3139672</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3139672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20781940</v>
      </c>
      <c r="D31" s="1173"/>
      <c r="E31" s="111"/>
      <c r="F31" s="1174"/>
      <c r="G31" s="100" t="s">
        <v>1969</v>
      </c>
    </row>
    <row r="32" spans="1:123" s="88" customFormat="1" ht="15.75">
      <c r="A32" s="117" t="s">
        <v>1970</v>
      </c>
      <c r="B32" s="118"/>
      <c r="C32" s="1175"/>
      <c r="D32" s="1175"/>
      <c r="E32" s="1175"/>
      <c r="F32" s="1175"/>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1971</v>
      </c>
      <c r="B33" s="89" t="s">
        <v>1972</v>
      </c>
      <c r="C33" s="121">
        <f>SUM(C34:C38)</f>
        <v>4824225</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4288200</v>
      </c>
      <c r="D34" s="1165"/>
      <c r="E34" s="115"/>
      <c r="F34" s="1176" t="str">
        <f>IF('数据-取费表'!B26=0,"",'数据-取费表'!E20)</f>
        <v/>
      </c>
      <c r="G34" s="95"/>
    </row>
    <row r="35" spans="1:123" ht="13.5" customHeight="1">
      <c r="A35" s="92" t="s">
        <v>1925</v>
      </c>
      <c r="B35" s="93" t="s">
        <v>1974</v>
      </c>
      <c r="C35" s="115">
        <f>ROUND(C34*F35,0)</f>
        <v>128646</v>
      </c>
      <c r="D35" s="115"/>
      <c r="E35" s="115"/>
      <c r="F35" s="1177">
        <f>'数据-取费表'!E21</f>
        <v>0.03</v>
      </c>
      <c r="G35" s="95" t="s">
        <v>1975</v>
      </c>
    </row>
    <row r="36" spans="1:123" ht="24">
      <c r="A36" s="92" t="s">
        <v>1927</v>
      </c>
      <c r="B36" s="93" t="s">
        <v>1976</v>
      </c>
      <c r="C36" s="115">
        <f>ROUND(IF('数据-取费表'!B10="住宅",C34*F36,0),0)</f>
        <v>0</v>
      </c>
      <c r="D36" s="115"/>
      <c r="E36" s="115"/>
      <c r="F36" s="1177">
        <f>'数据-取费表'!E22</f>
        <v>0.05</v>
      </c>
      <c r="G36" s="123" t="s">
        <v>1977</v>
      </c>
    </row>
    <row r="37" spans="1:123" s="122" customFormat="1" ht="13.5" customHeight="1">
      <c r="A37" s="92" t="s">
        <v>1958</v>
      </c>
      <c r="B37" s="93" t="s">
        <v>1978</v>
      </c>
      <c r="C37" s="115">
        <f>ROUND(E37*D37,0)</f>
        <v>343056</v>
      </c>
      <c r="D37" s="1165">
        <f>IF(B1="仅计算典型户型",'数据-取费表'!E5,'数据-取费表'!B5)</f>
        <v>1715.28</v>
      </c>
      <c r="E37" s="115">
        <f>'数据-取费表'!E23</f>
        <v>200</v>
      </c>
      <c r="F37" s="1177"/>
      <c r="G37" s="124" t="s">
        <v>1979</v>
      </c>
    </row>
    <row r="38" spans="1:123" ht="13.5" customHeight="1">
      <c r="A38" s="92" t="s">
        <v>1980</v>
      </c>
      <c r="B38" s="93" t="s">
        <v>1981</v>
      </c>
      <c r="C38" s="115">
        <f>ROUND(C34*F38,0)</f>
        <v>64323</v>
      </c>
      <c r="D38" s="115"/>
      <c r="E38" s="115"/>
      <c r="F38" s="1177">
        <f>'数据-取费表'!E24</f>
        <v>1.4999999999999999E-2</v>
      </c>
      <c r="G38" s="95" t="s">
        <v>1975</v>
      </c>
    </row>
    <row r="39" spans="1:123" s="91" customFormat="1" ht="13.5" customHeight="1">
      <c r="A39" s="120" t="s">
        <v>1940</v>
      </c>
      <c r="B39" s="89" t="s">
        <v>1943</v>
      </c>
      <c r="C39" s="99">
        <f>ROUND(C33*F20,0)</f>
        <v>48242</v>
      </c>
      <c r="D39" s="99"/>
      <c r="E39" s="99"/>
      <c r="F39" s="2885">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0">
        <f>F21</f>
        <v>0.01</v>
      </c>
      <c r="D40" s="102" t="s">
        <v>1983</v>
      </c>
      <c r="E40" s="99"/>
      <c r="F40" s="2885">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93795</v>
      </c>
      <c r="D41" s="101">
        <f ca="1">C44</f>
        <v>2.0000000000000001E-4</v>
      </c>
      <c r="E41" s="102" t="s">
        <v>1983</v>
      </c>
      <c r="F41" s="2885">
        <f ca="1">F22</f>
        <v>3.85E-2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92866</v>
      </c>
      <c r="D42" s="104"/>
      <c r="E42" s="104"/>
      <c r="F42" s="105"/>
      <c r="G42" s="3547" t="s">
        <v>1985</v>
      </c>
    </row>
    <row r="43" spans="1:123" ht="13.5" customHeight="1">
      <c r="A43" s="92" t="s">
        <v>1925</v>
      </c>
      <c r="B43" s="93" t="s">
        <v>1954</v>
      </c>
      <c r="C43" s="104">
        <f ca="1">ROUND(IF('数据-取费表'!B24&lt;=1,C39*F22*'数据-取费表'!B23/2,C39*(POWER((1+F22),'数据-取费表'!B23/2)-1)),0)</f>
        <v>929</v>
      </c>
      <c r="D43" s="104"/>
      <c r="E43" s="104"/>
      <c r="F43" s="105"/>
      <c r="G43" s="3548"/>
    </row>
    <row r="44" spans="1:123" ht="13.5" customHeight="1">
      <c r="A44" s="92" t="s">
        <v>1927</v>
      </c>
      <c r="B44" s="93" t="s">
        <v>1956</v>
      </c>
      <c r="C44" s="104">
        <f ca="1">ROUND(IF('数据-取费表'!B24&lt;=1,C40*F22*'数据-取费表'!B23/2,C40*(POWER((1+F22),'数据-取费表'!B23/2)-1)),4)</f>
        <v>2.0000000000000001E-4</v>
      </c>
      <c r="D44" s="104"/>
      <c r="E44" s="104"/>
      <c r="F44" s="105"/>
      <c r="G44" s="3549"/>
    </row>
    <row r="45" spans="1:123" s="91" customFormat="1" ht="13.5" customHeight="1">
      <c r="A45" s="120" t="s">
        <v>1949</v>
      </c>
      <c r="B45" s="110" t="s">
        <v>1961</v>
      </c>
      <c r="C45" s="111">
        <f>C46</f>
        <v>974493</v>
      </c>
      <c r="D45" s="101">
        <f>C47</f>
        <v>2E-3</v>
      </c>
      <c r="E45" s="102" t="s">
        <v>1983</v>
      </c>
      <c r="F45" s="2886">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974493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1960</v>
      </c>
      <c r="B48" s="89" t="s">
        <v>1989</v>
      </c>
      <c r="C48" s="1300">
        <f>ROUND(F30/(1+'数据-取费表'!F30),4)</f>
        <v>5.2400000000000002E-2</v>
      </c>
      <c r="D48" s="102" t="s">
        <v>1983</v>
      </c>
      <c r="E48" s="99"/>
      <c r="F48" s="2885">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1991</v>
      </c>
      <c r="B49" s="89" t="s">
        <v>1992</v>
      </c>
      <c r="C49" s="99">
        <f ca="1">ROUND((C33+C39+C41+C45)/(1-C40-D41-D45-C48),0)</f>
        <v>6351032</v>
      </c>
      <c r="D49" s="99"/>
      <c r="E49" s="99"/>
      <c r="F49" s="126"/>
      <c r="G49" s="100" t="s">
        <v>1993</v>
      </c>
    </row>
    <row r="50" spans="1:123" s="122" customFormat="1" ht="24">
      <c r="A50" s="992" t="s">
        <v>1994</v>
      </c>
      <c r="B50" s="89" t="s">
        <v>1995</v>
      </c>
      <c r="C50" s="99"/>
      <c r="D50" s="99"/>
      <c r="E50" s="99"/>
      <c r="F50" s="126">
        <f>IF('数据-取费表'!B26=0,'数据-取费表'!E20,1)</f>
        <v>0.72</v>
      </c>
      <c r="G50" s="113" t="s">
        <v>1996</v>
      </c>
    </row>
    <row r="51" spans="1:123" ht="16.5" customHeight="1">
      <c r="A51" s="992" t="s">
        <v>1997</v>
      </c>
      <c r="B51" s="89" t="s">
        <v>1998</v>
      </c>
      <c r="C51" s="99">
        <f ca="1">ROUND(C49*F50,0)</f>
        <v>4572743</v>
      </c>
      <c r="D51" s="99"/>
      <c r="E51" s="99"/>
      <c r="F51" s="126"/>
      <c r="G51" s="100" t="s">
        <v>1999</v>
      </c>
    </row>
    <row r="52" spans="1:123" s="88" customFormat="1" ht="16.5" thickBot="1">
      <c r="A52" s="127" t="s">
        <v>2000</v>
      </c>
      <c r="B52" s="128"/>
      <c r="C52" s="129">
        <f ca="1">C31+C51</f>
        <v>25354683</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2001</v>
      </c>
      <c r="C55" s="133"/>
    </row>
    <row r="56" spans="1:123">
      <c r="B56" s="135" t="s">
        <v>2002</v>
      </c>
      <c r="C56" s="136">
        <f ca="1">ROUND(C51/C52,3)</f>
        <v>0.18</v>
      </c>
    </row>
    <row r="57" spans="1:123">
      <c r="B57" s="135" t="s">
        <v>2003</v>
      </c>
      <c r="C57" s="137">
        <f ca="1">1-C56</f>
        <v>0.82000000000000006</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V2" sqref="V2:V3"/>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2496</v>
      </c>
      <c r="B1" s="2096"/>
      <c r="C1" s="2097" t="s">
        <v>2497</v>
      </c>
      <c r="D1" s="2098">
        <f>SUM(D29:D30,D33:D39)</f>
        <v>0</v>
      </c>
      <c r="E1" s="2098"/>
      <c r="F1" s="2098"/>
      <c r="G1" s="2098"/>
      <c r="H1" s="2098"/>
      <c r="I1" s="2098"/>
      <c r="J1" s="2098"/>
      <c r="K1" s="3047"/>
      <c r="L1" s="2099" t="s">
        <v>2498</v>
      </c>
      <c r="M1" s="2100">
        <f>SUMPRODUCT((区片价!B5:B9=I2)*(区片价!C3:F3=E2)*(区片价!C5:F9))</f>
        <v>0</v>
      </c>
      <c r="N1" s="2101">
        <f>SUMPRODUCT((因素修正幅度!B5:B9=I2)*(因素修正幅度!C3:F3=E2)*(因素修正幅度!C5:F9))</f>
        <v>0</v>
      </c>
      <c r="O1" s="3047"/>
      <c r="P1" s="3047"/>
      <c r="Q1" s="3047"/>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7">
        <f ca="1">C26</f>
        <v>1475</v>
      </c>
      <c r="C2" s="2106" t="s">
        <v>2505</v>
      </c>
      <c r="D2" s="1600" t="s">
        <v>2506</v>
      </c>
      <c r="E2" s="2107" t="s">
        <v>2913</v>
      </c>
      <c r="F2" s="1600" t="s">
        <v>2507</v>
      </c>
      <c r="G2" s="2108" t="str">
        <f>项目基本情况!F9</f>
        <v>六级</v>
      </c>
      <c r="H2" s="1601" t="s">
        <v>2508</v>
      </c>
      <c r="I2" s="2108" t="str">
        <f>项目基本情况!F10</f>
        <v>Ⅵ-昌2</v>
      </c>
      <c r="J2" s="2109"/>
      <c r="K2" s="3047"/>
      <c r="L2" s="2110" t="s">
        <v>2509</v>
      </c>
      <c r="M2" s="2111">
        <f>SUMPRODUCT((区片价!B10:B28=I2)*(区片价!C3:F3=E2)*(区片价!C10:F28))</f>
        <v>0</v>
      </c>
      <c r="N2" s="2112">
        <f>SUMPRODUCT((因素修正幅度!B10:B28=I2)*(因素修正幅度!C3:F3=E2)*(因素修正幅度!C10:F28))</f>
        <v>0</v>
      </c>
      <c r="O2" s="3047"/>
      <c r="P2" s="3047"/>
      <c r="Q2" s="3047"/>
      <c r="R2" s="2102">
        <v>1</v>
      </c>
      <c r="S2" s="2102">
        <f>ROUND(IF(G3&gt;1,IF(R2&lt;7,SUMPRODUCT((B93:B98=R2)*(C92:N92=G2)*(C93:N98)),SUMIF(C92:N92,G2,C100:N100)),IF(R2&lt;7,SUMPRODUCT((B102:B107=R2)*(C92:N92=G2)*(C102:N107)),SUMIF(C92:N92,G2,C109:N109))),4)</f>
        <v>1.8629</v>
      </c>
      <c r="T2" s="2102">
        <f ca="1">ROUND($C$5*$C$18*$C$19*$C$20*S2*$C$24,0)</f>
        <v>19812</v>
      </c>
      <c r="U2" s="2113">
        <v>433.5</v>
      </c>
      <c r="V2" s="2102">
        <f ca="1">ROUND(T2*U2/10000,0)</f>
        <v>859</v>
      </c>
      <c r="W2" s="2103"/>
      <c r="X2" s="2103"/>
      <c r="Y2" s="2103"/>
      <c r="Z2" s="2103"/>
      <c r="AA2" s="2103"/>
      <c r="AB2" s="2103"/>
      <c r="AC2" s="2103"/>
      <c r="AD2" s="2104"/>
      <c r="AE2" s="2104"/>
      <c r="AF2" s="2104"/>
      <c r="AG2" s="2104"/>
      <c r="AH2" s="2104"/>
      <c r="AI2" s="2104"/>
      <c r="AJ2" s="2105"/>
    </row>
    <row r="3" spans="1:36" ht="15.75">
      <c r="A3" s="1657" t="s">
        <v>2510</v>
      </c>
      <c r="B3" s="1657" t="e">
        <f ca="1">ROUND(B2/D1,0)</f>
        <v>#DIV/0!</v>
      </c>
      <c r="C3" s="2106" t="s">
        <v>2511</v>
      </c>
      <c r="D3" s="1600" t="s">
        <v>2512</v>
      </c>
      <c r="E3" s="2107" t="s">
        <v>2914</v>
      </c>
      <c r="F3" s="1602" t="s">
        <v>2513</v>
      </c>
      <c r="G3" s="2114">
        <f>项目基本情况!C15</f>
        <v>3.5</v>
      </c>
      <c r="H3" s="50" t="s">
        <v>2514</v>
      </c>
      <c r="I3" s="2115">
        <v>2</v>
      </c>
      <c r="J3" s="2109" t="s">
        <v>2515</v>
      </c>
      <c r="K3" s="3047"/>
      <c r="L3" s="2110" t="s">
        <v>2516</v>
      </c>
      <c r="M3" s="2111">
        <f>SUMPRODUCT((区片价!B29:B48=I2)*(区片价!C3:F3=E2)*(区片价!C29:F48))</f>
        <v>0</v>
      </c>
      <c r="N3" s="2112">
        <f>SUMPRODUCT((因素修正幅度!B29:B48=I2)*(因素修正幅度!C3:F3=E2)*(因素修正幅度!C29:F48))</f>
        <v>0</v>
      </c>
      <c r="O3" s="3047"/>
      <c r="P3" s="3047"/>
      <c r="Q3" s="3047"/>
      <c r="R3" s="2102">
        <v>2</v>
      </c>
      <c r="S3" s="2102">
        <f>ROUND(IF(G3&gt;1,IF(R3&lt;7,SUMPRODUCT((B93:B98=R3)*(C92:N92=G2)*(C93:N98)),SUMIF(C92:N92,G2,C100:N100)),IF(R3&lt;7,SUMPRODUCT((B102:B107=R3)*(C92:N92=G2)*(C102:N107)),SUMIF(C92:N92,G2,C109:N109))),4)</f>
        <v>1.3371999999999999</v>
      </c>
      <c r="T3" s="2102">
        <f t="shared" ref="T3:T16" ca="1" si="0">ROUND($C$5*$C$18*$C$19*$C$20*S3*$C$24,0)</f>
        <v>14221</v>
      </c>
      <c r="U3" s="2113">
        <v>433.5</v>
      </c>
      <c r="V3" s="2102">
        <f t="shared" ref="V3:V16" ca="1" si="1">ROUND(T3*U3/10000,0)</f>
        <v>616</v>
      </c>
      <c r="W3" s="2103"/>
      <c r="X3" s="2103"/>
      <c r="Y3" s="2103"/>
      <c r="Z3" s="2103"/>
      <c r="AA3" s="2103"/>
      <c r="AB3" s="2103"/>
      <c r="AC3" s="2103"/>
      <c r="AD3" s="2104"/>
      <c r="AE3" s="2104"/>
      <c r="AF3" s="2104"/>
      <c r="AG3" s="2104"/>
      <c r="AH3" s="2104"/>
      <c r="AI3" s="2104"/>
      <c r="AJ3" s="2105"/>
    </row>
    <row r="4" spans="1:36" ht="15.75">
      <c r="A4" s="3567"/>
      <c r="B4" s="3568"/>
      <c r="C4" s="3568"/>
      <c r="D4" s="3569"/>
      <c r="E4" s="3569"/>
      <c r="F4" s="3569"/>
      <c r="G4" s="3569"/>
      <c r="H4" s="3569"/>
      <c r="I4" s="3569"/>
      <c r="J4" s="3570"/>
      <c r="K4" s="3047"/>
      <c r="L4" s="2110" t="s">
        <v>2517</v>
      </c>
      <c r="M4" s="2111">
        <f>SUMPRODUCT((区片价!B49:B75=I2)*(区片价!C3:F3=E2)*(区片价!C49:F75))</f>
        <v>0</v>
      </c>
      <c r="N4" s="2112">
        <f>SUMPRODUCT((因素修正幅度!B49:B75=I2)*(因素修正幅度!C3:F3=E2)*(因素修正幅度!C49:F75))</f>
        <v>0</v>
      </c>
      <c r="O4" s="3047"/>
      <c r="P4" s="3047"/>
      <c r="Q4" s="3047"/>
      <c r="R4" s="2102">
        <v>3</v>
      </c>
      <c r="S4" s="2102">
        <f>ROUND(IF(G3&gt;1,IF(R4&lt;7,SUMPRODUCT((B93:B98=R4)*(C92:N92=G2)*(C93:N98)),SUMIF(C92:N92,G2,C100:N100)),IF(R4&lt;7,SUMPRODUCT((B102:B107=R4)*(C92:N92=G2)*(C102:N107)),SUMIF(C92:N92,G2,C109:N109))),4)</f>
        <v>1.0788</v>
      </c>
      <c r="T4" s="2102">
        <f t="shared" ca="1" si="0"/>
        <v>11473</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2518</v>
      </c>
      <c r="B5" s="1603" t="s">
        <v>2519</v>
      </c>
      <c r="C5" s="2116">
        <f>ROUND(IF(E2="商业",C6*C7+C16,(IF(E2="住宅",C6*C12+C16,C6+C16))),0)</f>
        <v>9810</v>
      </c>
      <c r="D5" s="2117">
        <f>ROUND(C6+C16,0)</f>
        <v>9810</v>
      </c>
      <c r="E5" s="2117"/>
      <c r="F5" s="2118"/>
      <c r="G5" s="2119"/>
      <c r="H5" s="2119"/>
      <c r="I5" s="2119"/>
      <c r="J5" s="2076"/>
      <c r="K5" s="1665"/>
      <c r="L5" s="2110" t="s">
        <v>2520</v>
      </c>
      <c r="M5" s="2111">
        <f>SUMPRODUCT((区片价!B76:B109=I2)*(区片价!C3:F3=E2)*(区片价!C76:F109))</f>
        <v>0</v>
      </c>
      <c r="N5" s="2112">
        <f>SUMPRODUCT((因素修正幅度!B76:B109=I2)*(因素修正幅度!C3:F3=E2)*(因素修正幅度!C76:F109))</f>
        <v>0</v>
      </c>
      <c r="O5" s="3047"/>
      <c r="P5" s="3047"/>
      <c r="Q5" s="3047"/>
      <c r="R5" s="2102">
        <v>4</v>
      </c>
      <c r="S5" s="2102">
        <f>ROUND(IF(G3&gt;1,IF(R5&lt;7,SUMPRODUCT((B93:B98=R5)*(C92:N92=G2)*(C93:N98)),SUMIF(C92:N92,G2,C100:N100)),IF(R5&lt;7,SUMPRODUCT((B102:B107=R5)*(C92:N92=G2)*(C102:N107)),SUMIF(C92:N92,G2,C109:N109))),4)</f>
        <v>0.86560000000000004</v>
      </c>
      <c r="T5" s="2102">
        <f t="shared" ca="1" si="0"/>
        <v>9206</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2521</v>
      </c>
      <c r="C6" s="2125">
        <f>SUMIF(L1:L12,G2,M1:M12)</f>
        <v>9810</v>
      </c>
      <c r="D6" s="2126" t="s">
        <v>2522</v>
      </c>
      <c r="E6" s="1604"/>
      <c r="F6" s="1604"/>
      <c r="G6" s="2127"/>
      <c r="H6" s="2127"/>
      <c r="I6" s="2127"/>
      <c r="J6" s="2128"/>
      <c r="K6" s="3048"/>
      <c r="L6" s="2110" t="s">
        <v>2523</v>
      </c>
      <c r="M6" s="2111">
        <f>SUMPRODUCT((区片价!B110:B157=I2)*(区片价!C3:F3=E2)*(区片价!C110:F157))</f>
        <v>9810</v>
      </c>
      <c r="N6" s="2112">
        <f>SUMPRODUCT((因素修正幅度!B110:B157=I2)*(因素修正幅度!C3:F3=E2)*(因素修正幅度!C110:F157))</f>
        <v>0.125</v>
      </c>
      <c r="O6" s="3047"/>
      <c r="P6" s="3047"/>
      <c r="Q6" s="3047"/>
      <c r="R6" s="2102">
        <v>5</v>
      </c>
      <c r="S6" s="2102">
        <f>ROUND(IF(G3&gt;1,IF(R6&lt;7,SUMPRODUCT((B93:B98=R6)*(C92:N92=G2)*(C93:N98)),SUMIF(C92:N92,G2,C100:N100)),IF(R6&lt;7,SUMPRODUCT((B102:B107=R6)*(C92:N92=G2)*(C102:N107)),SUMIF(C92:N92,G2,C109:N109))),4)</f>
        <v>0.73709999999999998</v>
      </c>
      <c r="T6" s="2102">
        <f t="shared" ca="1" si="0"/>
        <v>7839</v>
      </c>
      <c r="U6" s="2113"/>
      <c r="V6" s="2102">
        <f t="shared" ca="1" si="1"/>
        <v>0</v>
      </c>
      <c r="W6" s="2103"/>
      <c r="X6" s="2103"/>
      <c r="Y6" s="2103"/>
      <c r="Z6" s="2103"/>
      <c r="AA6" s="2103"/>
      <c r="AB6" s="2103"/>
      <c r="AC6" s="2120"/>
      <c r="AD6" s="2121"/>
      <c r="AE6" s="2121"/>
      <c r="AF6" s="2121"/>
      <c r="AG6" s="2121"/>
      <c r="AH6" s="2121"/>
      <c r="AI6" s="2121"/>
      <c r="AJ6" s="2122"/>
    </row>
    <row r="7" spans="1:36" ht="24">
      <c r="A7" s="3571" t="str">
        <f>IF(E2="商业",IF(C8="不临58条商业街","",2),"")</f>
        <v/>
      </c>
      <c r="B7" s="1605" t="s">
        <v>2524</v>
      </c>
      <c r="C7" s="2129">
        <f>IF(C8="不临58条商业街",1,ROUND(1+(1.6*E8+1.2*E9+0.8*E10+0.4*E11)*C9,4))</f>
        <v>1</v>
      </c>
      <c r="D7" s="2130" t="s">
        <v>2525</v>
      </c>
      <c r="E7" s="2131"/>
      <c r="F7" s="2132"/>
      <c r="G7" s="2132"/>
      <c r="H7" s="2132"/>
      <c r="I7" s="2132"/>
      <c r="J7" s="2133"/>
      <c r="K7" s="3048"/>
      <c r="L7" s="2110" t="s">
        <v>2526</v>
      </c>
      <c r="M7" s="2111">
        <f>SUMPRODUCT((区片价!B158:B205=I2)*(区片价!C3:F3=E2)*(区片价!C158:F205))</f>
        <v>0</v>
      </c>
      <c r="N7" s="2112">
        <f>SUMPRODUCT((因素修正幅度!B158:B205=I2)*(因素修正幅度!C3:F3=E2)*(因素修正幅度!C158:F205))</f>
        <v>0</v>
      </c>
      <c r="O7" s="3047"/>
      <c r="P7" s="3047"/>
      <c r="Q7" s="3047"/>
      <c r="R7" s="2102">
        <v>6</v>
      </c>
      <c r="S7" s="2102">
        <f>ROUND(IF(G3&gt;1,IF(R7&lt;7,SUMPRODUCT((B93:B98=R7)*(C92:N92=G2)*(C93:N98)),SUMIF(C92:N92,G2,C100:N100)),IF(R7&lt;7,SUMPRODUCT((B102:B107=R7)*(C92:N92=G2)*(C102:N107)),SUMIF(C92:N92,G2,C109:N109))),4)</f>
        <v>0.6482</v>
      </c>
      <c r="T7" s="2102">
        <f t="shared" ca="1" si="0"/>
        <v>6894</v>
      </c>
      <c r="U7" s="2113"/>
      <c r="V7" s="2102">
        <f t="shared" ca="1" si="1"/>
        <v>0</v>
      </c>
      <c r="W7" s="2134" t="s">
        <v>2527</v>
      </c>
      <c r="X7" s="2135" t="str">
        <f>G2</f>
        <v>六级</v>
      </c>
      <c r="Y7" s="2135" t="s">
        <v>2528</v>
      </c>
      <c r="Z7" s="2136">
        <f>G3</f>
        <v>3.5</v>
      </c>
      <c r="AA7" s="2103"/>
      <c r="AB7" s="2103"/>
      <c r="AC7" s="2103"/>
      <c r="AD7" s="2104"/>
      <c r="AE7" s="2104"/>
      <c r="AF7" s="2104"/>
      <c r="AG7" s="2104"/>
      <c r="AH7" s="2104"/>
      <c r="AI7" s="2104"/>
      <c r="AJ7" s="2105"/>
    </row>
    <row r="8" spans="1:36" ht="15">
      <c r="A8" s="3572"/>
      <c r="B8" s="50" t="s">
        <v>2529</v>
      </c>
      <c r="C8" s="2137" t="s">
        <v>2915</v>
      </c>
      <c r="D8" s="65" t="s">
        <v>89</v>
      </c>
      <c r="E8" s="2138" t="e">
        <f>ROUND(C11/E7,4)</f>
        <v>#DIV/0!</v>
      </c>
      <c r="F8" s="2139" t="s">
        <v>2530</v>
      </c>
      <c r="G8" s="2140"/>
      <c r="H8" s="2140"/>
      <c r="I8" s="2140"/>
      <c r="J8" s="2141"/>
      <c r="K8" s="3047"/>
      <c r="L8" s="2110" t="s">
        <v>2531</v>
      </c>
      <c r="M8" s="2111">
        <f>SUMPRODUCT((区片价!B206:B244=I2)*(区片价!C3:F3=E2)*(区片价!C206:F244))</f>
        <v>0</v>
      </c>
      <c r="N8" s="2112">
        <f>SUMPRODUCT((因素修正幅度!B206:B244=I2)*(因素修正幅度!C3:F3=E2)*(因素修正幅度!C206:F244))</f>
        <v>0</v>
      </c>
      <c r="O8" s="3047"/>
      <c r="P8" s="3047"/>
      <c r="Q8" s="3047"/>
      <c r="R8" s="2102">
        <v>7</v>
      </c>
      <c r="S8" s="2113"/>
      <c r="T8" s="2102">
        <f t="shared" ca="1" si="0"/>
        <v>0</v>
      </c>
      <c r="U8" s="2113"/>
      <c r="V8" s="2102">
        <f t="shared" ca="1" si="1"/>
        <v>0</v>
      </c>
      <c r="W8" s="3565" t="s">
        <v>2532</v>
      </c>
      <c r="X8" s="3566"/>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72"/>
      <c r="B9" s="50" t="s">
        <v>2545</v>
      </c>
      <c r="C9" s="2143">
        <f>SUMIF(修正!C59:C119,C8,修正!E59:E119)</f>
        <v>0</v>
      </c>
      <c r="D9" s="50" t="s">
        <v>90</v>
      </c>
      <c r="E9" s="50" t="e">
        <f>ROUND(C11/E7,4)</f>
        <v>#DIV/0!</v>
      </c>
      <c r="F9" s="2139" t="s">
        <v>2546</v>
      </c>
      <c r="G9" s="2140"/>
      <c r="H9" s="2140"/>
      <c r="I9" s="2140"/>
      <c r="J9" s="2141"/>
      <c r="K9" s="3047"/>
      <c r="L9" s="2110" t="s">
        <v>2547</v>
      </c>
      <c r="M9" s="2111">
        <f>SUMPRODUCT((区片价!B245:B289=I2)*(区片价!C3:F3=E2)*(区片价!C245:F289))</f>
        <v>0</v>
      </c>
      <c r="N9" s="2112">
        <f>SUMPRODUCT((因素修正幅度!B245:B289=I2)*(因素修正幅度!C3:F3=E2)*(因素修正幅度!C245:F289))</f>
        <v>0</v>
      </c>
      <c r="O9" s="3047"/>
      <c r="P9" s="3047"/>
      <c r="Q9" s="3047"/>
      <c r="R9" s="2102">
        <v>8</v>
      </c>
      <c r="S9" s="2113"/>
      <c r="T9" s="2102">
        <f t="shared" ca="1" si="0"/>
        <v>0</v>
      </c>
      <c r="U9" s="2113"/>
      <c r="V9" s="2102">
        <f t="shared" ca="1" si="1"/>
        <v>0</v>
      </c>
      <c r="W9" s="3566"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72"/>
      <c r="B10" s="50" t="s">
        <v>2550</v>
      </c>
      <c r="C10" s="50">
        <f>SUMIF(修正!C59:C119,C8,修正!F59:F119)</f>
        <v>0</v>
      </c>
      <c r="D10" s="50" t="s">
        <v>91</v>
      </c>
      <c r="E10" s="50" t="e">
        <f>ROUND(C11/E7,4)</f>
        <v>#DIV/0!</v>
      </c>
      <c r="F10" s="2139" t="s">
        <v>2551</v>
      </c>
      <c r="G10" s="2140"/>
      <c r="H10" s="2140"/>
      <c r="I10" s="2140"/>
      <c r="J10" s="2141"/>
      <c r="K10" s="3047"/>
      <c r="L10" s="2110" t="s">
        <v>2552</v>
      </c>
      <c r="M10" s="2111">
        <f>SUMPRODUCT((区片价!B290:B316=I2)*(区片价!C3:F3=E2)*(区片价!C290:F316))</f>
        <v>0</v>
      </c>
      <c r="N10" s="2112">
        <f>SUMPRODUCT((因素修正幅度!B290:B316=I2)*(因素修正幅度!C3:F3=E2)*(因素修正幅度!C290:F316))</f>
        <v>0</v>
      </c>
      <c r="O10" s="3047"/>
      <c r="P10" s="3047"/>
      <c r="Q10" s="3047"/>
      <c r="R10" s="2102">
        <v>9</v>
      </c>
      <c r="S10" s="2113"/>
      <c r="T10" s="2102">
        <f t="shared" ca="1" si="0"/>
        <v>0</v>
      </c>
      <c r="U10" s="2113"/>
      <c r="V10" s="2102">
        <f t="shared" ca="1" si="1"/>
        <v>0</v>
      </c>
      <c r="W10" s="3566"/>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72"/>
      <c r="B11" s="1606" t="s">
        <v>2553</v>
      </c>
      <c r="C11" s="1606">
        <f>C10/4</f>
        <v>0</v>
      </c>
      <c r="D11" s="1606" t="s">
        <v>92</v>
      </c>
      <c r="E11" s="1606" t="e">
        <f>ROUND(C11/E7,4)</f>
        <v>#DIV/0!</v>
      </c>
      <c r="F11" s="2148" t="s">
        <v>2554</v>
      </c>
      <c r="G11" s="2149"/>
      <c r="H11" s="2149"/>
      <c r="I11" s="2149"/>
      <c r="J11" s="2150"/>
      <c r="K11" s="3047"/>
      <c r="L11" s="2110" t="s">
        <v>2555</v>
      </c>
      <c r="M11" s="2111">
        <f>SUMPRODUCT((区片价!B317:B337=I2)*(区片价!C3:F3=E2)*(区片价!C317:F337))</f>
        <v>0</v>
      </c>
      <c r="N11" s="2112">
        <f>SUMPRODUCT((因素修正幅度!B317:B337=I2)*(因素修正幅度!C3:F3=E2)*(因素修正幅度!C317:F337))</f>
        <v>0</v>
      </c>
      <c r="O11" s="3047"/>
      <c r="P11" s="3047"/>
      <c r="Q11" s="3047"/>
      <c r="R11" s="2102">
        <v>10</v>
      </c>
      <c r="S11" s="2113"/>
      <c r="T11" s="2102">
        <f t="shared" ca="1" si="0"/>
        <v>0</v>
      </c>
      <c r="U11" s="2113"/>
      <c r="V11" s="2102">
        <f t="shared" ca="1" si="1"/>
        <v>0</v>
      </c>
      <c r="W11" s="3566" t="s">
        <v>2556</v>
      </c>
      <c r="X11" s="2151" t="s">
        <v>2557</v>
      </c>
      <c r="Y11" s="2152">
        <f>$G$3</f>
        <v>3.5</v>
      </c>
      <c r="Z11" s="2152">
        <f t="shared" ref="Z11:AJ11" si="3">$G$3</f>
        <v>3.5</v>
      </c>
      <c r="AA11" s="2152">
        <f t="shared" si="3"/>
        <v>3.5</v>
      </c>
      <c r="AB11" s="2152">
        <f t="shared" si="3"/>
        <v>3.5</v>
      </c>
      <c r="AC11" s="2152">
        <f t="shared" si="3"/>
        <v>3.5</v>
      </c>
      <c r="AD11" s="2152">
        <f t="shared" si="3"/>
        <v>3.5</v>
      </c>
      <c r="AE11" s="2152">
        <f t="shared" si="3"/>
        <v>3.5</v>
      </c>
      <c r="AF11" s="2152">
        <f t="shared" si="3"/>
        <v>3.5</v>
      </c>
      <c r="AG11" s="2152">
        <f t="shared" si="3"/>
        <v>3.5</v>
      </c>
      <c r="AH11" s="2152">
        <f t="shared" si="3"/>
        <v>3.5</v>
      </c>
      <c r="AI11" s="2152">
        <f t="shared" si="3"/>
        <v>3.5</v>
      </c>
      <c r="AJ11" s="2152">
        <f t="shared" si="3"/>
        <v>3.5</v>
      </c>
    </row>
    <row r="12" spans="1:36" ht="25.5" hidden="1" thickBot="1">
      <c r="A12" s="3571" t="str">
        <f>IF(E2="住宅",2,"")</f>
        <v/>
      </c>
      <c r="B12" s="1607" t="s">
        <v>2558</v>
      </c>
      <c r="C12" s="2129">
        <f>ROUND(C15*D15*E15*F15*G15*H15*I15*J15,4)</f>
        <v>1.32</v>
      </c>
      <c r="D12" s="2153" t="s">
        <v>2559</v>
      </c>
      <c r="E12" s="2154"/>
      <c r="F12" s="2154"/>
      <c r="G12" s="2154"/>
      <c r="H12" s="2154"/>
      <c r="I12" s="2154"/>
      <c r="J12" s="2155"/>
      <c r="K12" s="3047"/>
      <c r="L12" s="2156" t="s">
        <v>2560</v>
      </c>
      <c r="M12" s="2157">
        <f>SUMPRODUCT((区片价!B338:B344=I2)*(区片价!C3:F3=E2)*(区片价!C338:F344))</f>
        <v>0</v>
      </c>
      <c r="N12" s="2158">
        <f>SUMPRODUCT((因素修正幅度!B338:B344=I2)*(因素修正幅度!C3:F3=E2)*(因素修正幅度!C338:F344))</f>
        <v>0</v>
      </c>
      <c r="O12" s="3047"/>
      <c r="P12" s="3047"/>
      <c r="Q12" s="3047"/>
      <c r="R12" s="2102">
        <v>11</v>
      </c>
      <c r="S12" s="2113"/>
      <c r="T12" s="2102">
        <f t="shared" ca="1" si="0"/>
        <v>0</v>
      </c>
      <c r="U12" s="2113"/>
      <c r="V12" s="2102">
        <f t="shared" ca="1" si="1"/>
        <v>0</v>
      </c>
      <c r="W12" s="3566"/>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hidden="1">
      <c r="A13" s="3573"/>
      <c r="B13" s="1608" t="s">
        <v>2562</v>
      </c>
      <c r="C13" s="2160" t="s">
        <v>2563</v>
      </c>
      <c r="D13" s="1609" t="s">
        <v>2564</v>
      </c>
      <c r="E13" s="1609" t="s">
        <v>2565</v>
      </c>
      <c r="F13" s="264" t="s">
        <v>2566</v>
      </c>
      <c r="G13" s="2161" t="s">
        <v>2567</v>
      </c>
      <c r="H13" s="2161" t="s">
        <v>2567</v>
      </c>
      <c r="I13" s="2161" t="s">
        <v>2567</v>
      </c>
      <c r="J13" s="2162" t="s">
        <v>2567</v>
      </c>
      <c r="K13" s="3047"/>
      <c r="L13" s="3047"/>
      <c r="M13" s="3047"/>
      <c r="N13" s="3047"/>
      <c r="O13" s="3047"/>
      <c r="P13" s="3047"/>
      <c r="Q13" s="3047"/>
      <c r="R13" s="2102">
        <v>12</v>
      </c>
      <c r="S13" s="2113"/>
      <c r="T13" s="2102">
        <f t="shared" ca="1" si="0"/>
        <v>0</v>
      </c>
      <c r="U13" s="2113"/>
      <c r="V13" s="2102">
        <f t="shared" ca="1" si="1"/>
        <v>0</v>
      </c>
      <c r="W13" s="3566"/>
      <c r="X13" s="2159"/>
      <c r="Y13" s="2147">
        <f>(-0.163*(Y12^2)-0.59*Y12+7617)*(10^(-4))/Y11</f>
        <v>0.21762857142857145</v>
      </c>
      <c r="Z13" s="2147">
        <f t="shared" ref="Z13:AJ13" si="5">(-0.163*(Z12^2)-0.59*Z12+7617)*(10^(-4))/Z11</f>
        <v>0.21762857142857145</v>
      </c>
      <c r="AA13" s="2147">
        <f t="shared" si="5"/>
        <v>0.21762857142857145</v>
      </c>
      <c r="AB13" s="2147">
        <f t="shared" si="5"/>
        <v>0.21762857142857145</v>
      </c>
      <c r="AC13" s="2147">
        <f t="shared" si="5"/>
        <v>0.21762857142857145</v>
      </c>
      <c r="AD13" s="2147">
        <f t="shared" si="5"/>
        <v>0.21762857142857145</v>
      </c>
      <c r="AE13" s="2147">
        <f t="shared" si="5"/>
        <v>0.21762857142857145</v>
      </c>
      <c r="AF13" s="2147">
        <f t="shared" si="5"/>
        <v>0.21762857142857145</v>
      </c>
      <c r="AG13" s="2147">
        <f t="shared" si="5"/>
        <v>0.21762857142857145</v>
      </c>
      <c r="AH13" s="2147">
        <f t="shared" si="5"/>
        <v>0.21762857142857145</v>
      </c>
      <c r="AI13" s="2147">
        <f t="shared" si="5"/>
        <v>0.21762857142857145</v>
      </c>
      <c r="AJ13" s="2147">
        <f t="shared" si="5"/>
        <v>0.21762857142857145</v>
      </c>
    </row>
    <row r="14" spans="1:36" ht="15" hidden="1">
      <c r="A14" s="3573"/>
      <c r="B14" s="1609"/>
      <c r="C14" s="2163" t="s">
        <v>2568</v>
      </c>
      <c r="D14" s="2164" t="s">
        <v>2569</v>
      </c>
      <c r="E14" s="2164" t="s">
        <v>2569</v>
      </c>
      <c r="F14" s="2165" t="s">
        <v>2570</v>
      </c>
      <c r="G14" s="2166" t="s">
        <v>2571</v>
      </c>
      <c r="H14" s="2167"/>
      <c r="I14" s="2168"/>
      <c r="J14" s="2169"/>
      <c r="K14" s="3047"/>
      <c r="L14" s="3047"/>
      <c r="M14" s="3047"/>
      <c r="N14" s="3047"/>
      <c r="O14" s="3047"/>
      <c r="P14" s="3047"/>
      <c r="Q14" s="3047"/>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hidden="1" thickBot="1">
      <c r="A15" s="3574"/>
      <c r="B15" s="1610" t="s">
        <v>2572</v>
      </c>
      <c r="C15" s="2170">
        <f>IF(C14="有",1.1,1)</f>
        <v>1.1000000000000001</v>
      </c>
      <c r="D15" s="2170">
        <f>IF(D14="有",1.1,1)</f>
        <v>1</v>
      </c>
      <c r="E15" s="2170">
        <f>IF(E14="有",1.1,1)</f>
        <v>1</v>
      </c>
      <c r="F15" s="2170">
        <f>IF(F14="500米范围内",1.2,IF(F14="500-1000米",1.1,1))</f>
        <v>1.2</v>
      </c>
      <c r="G15" s="2171">
        <v>1</v>
      </c>
      <c r="H15" s="2171">
        <v>1</v>
      </c>
      <c r="I15" s="2171">
        <v>1</v>
      </c>
      <c r="J15" s="2172">
        <v>1</v>
      </c>
      <c r="K15" s="3047"/>
      <c r="L15" s="3047"/>
      <c r="M15" s="3047"/>
      <c r="N15" s="3047"/>
      <c r="O15" s="3047"/>
      <c r="P15" s="3047"/>
      <c r="Q15" s="3047"/>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50">
        <f>IF(E2="办公",2,IF(E2="工业",2,IF(E2="住宅",3,IF(E2="商业",IF(C8="不临58条商业街",2,3)))))</f>
        <v>2</v>
      </c>
      <c r="B16" s="1629" t="s">
        <v>2578</v>
      </c>
      <c r="C16" s="1605">
        <f>ROUND(IF(F17="与级别开发程度一致",0,(G17-E17)/C17),0)</f>
        <v>0</v>
      </c>
      <c r="D16" s="3563" t="s">
        <v>2582</v>
      </c>
      <c r="E16" s="3564"/>
      <c r="F16" s="3563" t="s">
        <v>2579</v>
      </c>
      <c r="G16" s="3564"/>
      <c r="H16" s="2173"/>
      <c r="I16" s="2173"/>
      <c r="J16" s="2174"/>
      <c r="K16" s="2173"/>
      <c r="L16" s="2173"/>
      <c r="M16" s="2173"/>
      <c r="N16" s="2173"/>
      <c r="O16" s="2175"/>
      <c r="P16" s="3047"/>
      <c r="Q16" s="3047"/>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51"/>
      <c r="B17" s="1630" t="s">
        <v>2581</v>
      </c>
      <c r="C17" s="2176">
        <f>SUMPRODUCT((修正!A2:A5=E2)*(修正!B1:M1=G2)*(修正!B2:M5))</f>
        <v>2.5</v>
      </c>
      <c r="D17" s="2170" t="str">
        <f>IF(OR(G2="八级",G2="九级",G2="十级",G2="十一级",G2="十二级"),"五通一平","七通一平")</f>
        <v>七通一平</v>
      </c>
      <c r="E17" s="2177">
        <f>SUMPRODUCT((修正!B1:M1=G2)*(修正!B15:M15))</f>
        <v>300</v>
      </c>
      <c r="F17" s="2178" t="s">
        <v>2888</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7"/>
      <c r="Q17" s="3047"/>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2584</v>
      </c>
      <c r="B18" s="1628" t="s">
        <v>2585</v>
      </c>
      <c r="C18" s="2182">
        <f>SUMIF(修正!C18:C39,E3,修正!E18:E39)</f>
        <v>1</v>
      </c>
      <c r="D18" s="2183"/>
      <c r="E18" s="2184"/>
      <c r="F18" s="2184"/>
      <c r="G18" s="2184"/>
      <c r="H18" s="2184"/>
      <c r="I18" s="2184"/>
      <c r="J18" s="2185"/>
      <c r="K18" s="3049"/>
      <c r="L18" s="3049"/>
      <c r="M18" s="3049"/>
      <c r="N18" s="3049"/>
      <c r="O18" s="3047"/>
      <c r="P18" s="3047"/>
      <c r="Q18" s="3047"/>
      <c r="R18" s="3047"/>
      <c r="S18" s="3047"/>
      <c r="T18" s="3047"/>
      <c r="U18" s="3047"/>
      <c r="V18" s="3047"/>
      <c r="W18" s="3047"/>
      <c r="X18" s="1621"/>
      <c r="Y18" s="1621"/>
      <c r="Z18" s="1621"/>
      <c r="AA18" s="1621"/>
      <c r="AB18" s="1621"/>
      <c r="AC18" s="1621"/>
      <c r="AD18" s="1621"/>
      <c r="AE18" s="1621"/>
      <c r="AF18" s="1621"/>
      <c r="AG18" s="1622"/>
      <c r="AH18" s="1622"/>
      <c r="AI18" s="1622"/>
    </row>
    <row r="19" spans="1:35" s="2123" customFormat="1" ht="29.25" thickBot="1">
      <c r="A19" s="2181" t="s">
        <v>2586</v>
      </c>
      <c r="B19" s="1611" t="s">
        <v>2587</v>
      </c>
      <c r="C19" s="2187">
        <f>ROUND(IF(H19="按公示增长率计算",SUMPRODUCT((地价!A3:A33=YEAR(G19)&amp;"-"&amp;ROUNDUP(MONTH(G19)/3,0))*(地价!X2:AB2=E2)*(地价!X3:AB33)),IF(H19="地价指数",M20/M19,(1+I19)^O19)),4)</f>
        <v>1.3420000000000001</v>
      </c>
      <c r="D19" s="2188" t="s">
        <v>2588</v>
      </c>
      <c r="E19" s="2189">
        <v>41640</v>
      </c>
      <c r="F19" s="2188" t="s">
        <v>2589</v>
      </c>
      <c r="G19" s="2190">
        <f>'数据-取费表'!B2</f>
        <v>44270</v>
      </c>
      <c r="H19" s="2191" t="s">
        <v>2723</v>
      </c>
      <c r="I19" s="2192" t="str">
        <f>IF(H19="季度增幅（自定义）",SUMIF(N21:N24,E2,O21:O24),"")</f>
        <v/>
      </c>
      <c r="J19" s="2193"/>
      <c r="K19" s="3049"/>
      <c r="L19" s="2074" t="s">
        <v>2590</v>
      </c>
      <c r="M19" s="2194">
        <f>ROUND(SUMIF(地价!B2:F2,E2,地价!B33:F33),0)</f>
        <v>258</v>
      </c>
      <c r="N19" s="2195" t="s">
        <v>2591</v>
      </c>
      <c r="O19" s="2196">
        <f>ROUNDDOWN(DATEDIF(E19,G19,"M")/3,0)</f>
        <v>28</v>
      </c>
      <c r="P19" s="3047"/>
      <c r="Q19" s="3049"/>
      <c r="R19" s="3047"/>
      <c r="S19" s="3047"/>
      <c r="T19" s="3047"/>
      <c r="U19" s="3047"/>
      <c r="V19" s="3047"/>
      <c r="W19" s="3047"/>
      <c r="X19" s="1621"/>
      <c r="Y19" s="1621"/>
      <c r="Z19" s="1621"/>
      <c r="AA19" s="1621"/>
      <c r="AB19" s="1621"/>
      <c r="AC19" s="1621"/>
      <c r="AD19" s="1621"/>
      <c r="AE19" s="2186"/>
      <c r="AF19" s="2197"/>
      <c r="AG19" s="2198"/>
      <c r="AH19" s="1622"/>
    </row>
    <row r="20" spans="1:35" s="2123" customFormat="1" ht="27.75" thickBot="1">
      <c r="A20" s="1716" t="s">
        <v>2592</v>
      </c>
      <c r="B20" s="1612" t="s">
        <v>2593</v>
      </c>
      <c r="C20" s="2199">
        <f ca="1">ROUND(POWER(1+G20,J20-I20)*(POWER(1+G20,I20)-1)/(POWER(1+G20,J20)-1),4)</f>
        <v>0.77929999999999999</v>
      </c>
      <c r="D20" s="2200" t="s">
        <v>2594</v>
      </c>
      <c r="E20" s="3152">
        <f ca="1">存贷款利率!D4/100</f>
        <v>3.85E-2</v>
      </c>
      <c r="F20" s="2200" t="s">
        <v>2583</v>
      </c>
      <c r="G20" s="3153">
        <f ca="1">SUMIF(M26:P26,E2,M28:P28)</f>
        <v>4.8000000000000001E-2</v>
      </c>
      <c r="H20" s="2200" t="s">
        <v>2595</v>
      </c>
      <c r="I20" s="2201">
        <f>'数据-取费表'!B13</f>
        <v>23</v>
      </c>
      <c r="J20" s="2202">
        <f>IF(E2="住宅",70,IF(E2="商业",40,50))</f>
        <v>40</v>
      </c>
      <c r="K20" s="3049"/>
      <c r="L20" s="2203" t="s">
        <v>2596</v>
      </c>
      <c r="M20" s="2204">
        <f>ROUND(SUMPRODUCT((地价!A4:A33=YEAR(G19)&amp;"-"&amp;ROUNDUP(MONTH(G19)/3,0))*(地价!B2:F2=E2)*(地价!B4:F33)),0)</f>
        <v>346</v>
      </c>
      <c r="N20" s="2205" t="s">
        <v>2597</v>
      </c>
      <c r="O20" s="2206" t="s">
        <v>2598</v>
      </c>
      <c r="P20" s="2207" t="s">
        <v>2599</v>
      </c>
      <c r="Q20" s="3049"/>
      <c r="R20" s="3047"/>
      <c r="S20" s="3047"/>
      <c r="T20" s="3047"/>
      <c r="U20" s="3047"/>
      <c r="V20" s="3047"/>
      <c r="W20" s="3047"/>
      <c r="X20" s="1621"/>
      <c r="Y20" s="1621"/>
      <c r="Z20" s="1621"/>
      <c r="AA20" s="1621"/>
      <c r="AB20" s="1621"/>
      <c r="AC20" s="1621"/>
      <c r="AD20" s="1621"/>
      <c r="AE20" s="2186"/>
      <c r="AF20" s="2186"/>
    </row>
    <row r="21" spans="1:35" s="2123" customFormat="1" ht="15">
      <c r="A21" s="2208" t="s">
        <v>2600</v>
      </c>
      <c r="B21" s="1613" t="s">
        <v>2928</v>
      </c>
      <c r="C21" s="2209">
        <f>IF(B21="容积率修正",IF(G3&lt;=10,D22,J22),C23)</f>
        <v>1.3371999999999999</v>
      </c>
      <c r="D21" s="2210"/>
      <c r="E21" s="2210"/>
      <c r="F21" s="2210"/>
      <c r="G21" s="2210"/>
      <c r="H21" s="2210"/>
      <c r="I21" s="2210"/>
      <c r="J21" s="2075"/>
      <c r="K21" s="3049"/>
      <c r="L21" s="3049"/>
      <c r="M21" s="3049"/>
      <c r="N21" s="2211" t="s">
        <v>2601</v>
      </c>
      <c r="O21" s="2212"/>
      <c r="P21" s="2213">
        <f>SUMPRODUCT((地价!A3:A33=YEAR(G19)&amp;"-"&amp;ROUNDUP(MONTH(G19)/3,0))*(地价!AD2:AH2=N21)*(地价!AD3:AH33))</f>
        <v>1.0999999999999999E-2</v>
      </c>
      <c r="Q21" s="3049"/>
      <c r="R21" s="3047"/>
      <c r="S21" s="3047"/>
      <c r="T21" s="3047"/>
      <c r="U21" s="3047"/>
      <c r="V21" s="3047"/>
      <c r="W21" s="3047"/>
      <c r="X21" s="1621"/>
      <c r="Y21" s="1621"/>
      <c r="Z21" s="1621"/>
      <c r="AA21" s="1621"/>
      <c r="AB21" s="1621"/>
      <c r="AC21" s="1621"/>
      <c r="AD21" s="1621"/>
      <c r="AE21" s="2186"/>
      <c r="AF21" s="2186"/>
    </row>
    <row r="22" spans="1:35" s="2123" customFormat="1" ht="14.25">
      <c r="A22" s="2071">
        <v>1</v>
      </c>
      <c r="B22" s="2070" t="s">
        <v>2602</v>
      </c>
      <c r="C22" s="2070" t="s">
        <v>2603</v>
      </c>
      <c r="D22" s="2070">
        <f>IF(E22=G22,F22,IF(G3&lt;=10,ROUND(F22+(H22-F22)*(G3-E22)/(G22-E22),4),"——"))</f>
        <v>0.89870000000000005</v>
      </c>
      <c r="E22" s="2114">
        <f>ROUNDDOWN(G3,1)</f>
        <v>3.5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114">
        <f>ROUNDUP(G3,1)</f>
        <v>3.5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70" t="s">
        <v>104</v>
      </c>
      <c r="J22" s="2214" t="str">
        <f>IF(G3&gt;10,D113,"——")</f>
        <v>——</v>
      </c>
      <c r="K22" s="3049"/>
      <c r="L22" s="3049"/>
      <c r="M22" s="3049"/>
      <c r="N22" s="2211" t="s">
        <v>2604</v>
      </c>
      <c r="O22" s="2212"/>
      <c r="P22" s="2213">
        <f>SUMPRODUCT((地价!A3:A33=YEAR(G19)&amp;"-"&amp;ROUNDUP(MONTH(G19)/3,0))*(地价!AD2:AH2=N22)*(地价!AD3:AH33))</f>
        <v>1.0999999999999999E-2</v>
      </c>
      <c r="Q22" s="3049"/>
      <c r="R22" s="3047"/>
      <c r="S22" s="3047"/>
      <c r="T22" s="3047"/>
      <c r="U22" s="3047"/>
      <c r="V22" s="3047"/>
      <c r="W22" s="3047"/>
      <c r="X22" s="1621"/>
      <c r="Y22" s="1621"/>
      <c r="Z22" s="1621"/>
      <c r="AA22" s="1621"/>
      <c r="AB22" s="1621"/>
      <c r="AC22" s="1621"/>
      <c r="AD22" s="1621"/>
      <c r="AE22" s="2186"/>
      <c r="AF22" s="2186"/>
    </row>
    <row r="23" spans="1:35" ht="27">
      <c r="A23" s="2071">
        <v>2</v>
      </c>
      <c r="B23" s="2070" t="s">
        <v>2605</v>
      </c>
      <c r="C23" s="2215">
        <f>ROUND(IF(G3&gt;1,IF(I3&lt;7,SUMPRODUCT((B93:B98=I3)*(C92:N92=G2)*(C93:N98)),SUMIF(C92:N92,G2,C100:N100)),IF(I3&lt;7,SUMPRODUCT((B102:B107=I3)*(C92:N92=G2)*(C102:N107)),SUMIF(C92:N92,G2,C109:N109))),4)</f>
        <v>1.3371999999999999</v>
      </c>
      <c r="D23" s="2167"/>
      <c r="E23" s="2167"/>
      <c r="F23" s="2216"/>
      <c r="G23" s="2217"/>
      <c r="H23" s="1618"/>
      <c r="I23" s="2070"/>
      <c r="J23" s="2214"/>
      <c r="K23" s="3047"/>
      <c r="L23" s="3047"/>
      <c r="M23" s="3047"/>
      <c r="N23" s="2211" t="s">
        <v>2606</v>
      </c>
      <c r="O23" s="2212"/>
      <c r="P23" s="2213">
        <f>SUMPRODUCT((地价!A3:A33=YEAR(G19)&amp;"-"&amp;ROUNDUP(MONTH(G19)/3,0))*(地价!AD2:AH2=N23)*(地价!AD3:AH33))</f>
        <v>1.8499999999999999E-2</v>
      </c>
      <c r="Q23" s="3047"/>
      <c r="R23" s="3047"/>
      <c r="S23" s="3047"/>
      <c r="T23" s="3047"/>
      <c r="U23" s="3047"/>
      <c r="V23" s="3047"/>
      <c r="W23" s="3047"/>
      <c r="X23" s="1621"/>
      <c r="Y23" s="1621"/>
      <c r="Z23" s="1621"/>
      <c r="AA23" s="1621"/>
      <c r="AB23" s="1621"/>
      <c r="AC23" s="1621"/>
      <c r="AD23" s="1621"/>
      <c r="AE23" s="1621"/>
      <c r="AF23" s="1621"/>
    </row>
    <row r="24" spans="1:35" s="2123" customFormat="1" ht="15.75" thickBot="1">
      <c r="A24" s="2218" t="s">
        <v>2607</v>
      </c>
      <c r="B24" s="1615" t="s">
        <v>2608</v>
      </c>
      <c r="C24" s="2219">
        <f>SUMIF(A46:A88,E2,B46:B88)</f>
        <v>1.0366</v>
      </c>
      <c r="D24" s="2220"/>
      <c r="E24" s="2221"/>
      <c r="F24" s="2221"/>
      <c r="G24" s="2221"/>
      <c r="H24" s="2221"/>
      <c r="I24" s="2221"/>
      <c r="J24" s="2222"/>
      <c r="K24" s="3049"/>
      <c r="L24" s="3049"/>
      <c r="M24" s="3049"/>
      <c r="N24" s="2223" t="s">
        <v>2609</v>
      </c>
      <c r="O24" s="2224"/>
      <c r="P24" s="2225">
        <f>SUMPRODUCT((地价!A3:A33=YEAR(G19)&amp;"-"&amp;ROUNDUP(MONTH(G19)/3,0))*(地价!AD2:AH2=N24)*(地价!AD3:AH33))</f>
        <v>1.1900000000000001E-2</v>
      </c>
      <c r="Q24" s="3049"/>
      <c r="R24" s="3047"/>
      <c r="S24" s="3047"/>
      <c r="T24" s="3047"/>
      <c r="U24" s="3047"/>
      <c r="V24" s="3047"/>
      <c r="W24" s="3047"/>
      <c r="X24" s="1621"/>
      <c r="Y24" s="1621"/>
      <c r="Z24" s="1621"/>
      <c r="AA24" s="1621"/>
      <c r="AB24" s="1621"/>
      <c r="AC24" s="1621"/>
      <c r="AD24" s="1621"/>
      <c r="AE24" s="2186"/>
      <c r="AF24" s="2186"/>
    </row>
    <row r="25" spans="1:35" ht="15" thickBot="1">
      <c r="A25" s="1716" t="s">
        <v>2610</v>
      </c>
      <c r="B25" s="1616" t="s">
        <v>2611</v>
      </c>
      <c r="C25" s="2226"/>
      <c r="D25" s="2132"/>
      <c r="E25" s="2132"/>
      <c r="F25" s="2227"/>
      <c r="G25" s="2132"/>
      <c r="H25" s="2132"/>
      <c r="I25" s="2132"/>
      <c r="J25" s="2133"/>
      <c r="K25" s="3047"/>
      <c r="L25" s="3047"/>
      <c r="M25" s="3047"/>
      <c r="N25" s="3050" t="s">
        <v>2612</v>
      </c>
      <c r="O25" s="3051"/>
      <c r="P25" s="3052">
        <f>SUMPRODUCT((地价!A3:A33=YEAR(G19)&amp;"-"&amp;ROUNDUP(MONTH(G19)/3,0))*(地价!AD2:AH2=N25)*(地价!AD3:AH33))</f>
        <v>1.6799999999999999E-2</v>
      </c>
      <c r="Q25" s="3047"/>
      <c r="R25" s="3047"/>
      <c r="S25" s="3047"/>
      <c r="T25" s="3047"/>
      <c r="U25" s="3047"/>
      <c r="V25" s="3047"/>
      <c r="W25" s="3047"/>
      <c r="X25" s="1621"/>
      <c r="Y25" s="1621"/>
      <c r="Z25" s="1621"/>
      <c r="AA25" s="1621"/>
      <c r="AB25" s="1621"/>
      <c r="AC25" s="1621"/>
      <c r="AD25" s="1621"/>
      <c r="AE25" s="1621"/>
      <c r="AF25" s="1621"/>
    </row>
    <row r="26" spans="1:35" ht="15">
      <c r="A26" s="1701"/>
      <c r="B26" s="2070" t="s">
        <v>2613</v>
      </c>
      <c r="C26" s="2887">
        <f ca="1">IF(B21="容积率修正",E29+SUM(E33:E39),SUM(V2:V16)+SUM(E33:E39))</f>
        <v>1475</v>
      </c>
      <c r="D26" s="2228"/>
      <c r="E26" s="2167"/>
      <c r="F26" s="1476"/>
      <c r="G26" s="2167"/>
      <c r="H26" s="2167"/>
      <c r="I26" s="2167"/>
      <c r="J26" s="2229"/>
      <c r="K26" s="3047"/>
      <c r="L26" s="3053" t="s">
        <v>2573</v>
      </c>
      <c r="M26" s="2130" t="s">
        <v>2574</v>
      </c>
      <c r="N26" s="2130" t="s">
        <v>2575</v>
      </c>
      <c r="O26" s="2130" t="s">
        <v>2576</v>
      </c>
      <c r="P26" s="3054" t="s">
        <v>2577</v>
      </c>
      <c r="Q26" s="3047"/>
      <c r="R26" s="3047"/>
      <c r="S26" s="3047"/>
      <c r="T26" s="3047"/>
      <c r="U26" s="3047"/>
      <c r="V26" s="3047"/>
      <c r="W26" s="3047"/>
      <c r="X26" s="1621"/>
      <c r="Y26" s="1621"/>
      <c r="Z26" s="1621"/>
      <c r="AA26" s="1621"/>
      <c r="AB26" s="1621"/>
      <c r="AC26" s="1621"/>
      <c r="AD26" s="1621"/>
      <c r="AE26" s="1621"/>
      <c r="AF26" s="1621"/>
    </row>
    <row r="27" spans="1:35" ht="15.75" thickBot="1">
      <c r="A27" s="1701"/>
      <c r="B27" s="1617" t="s">
        <v>2614</v>
      </c>
      <c r="C27" s="2230">
        <f ca="1">E30+SUM(I33:I39)</f>
        <v>0</v>
      </c>
      <c r="D27" s="2179"/>
      <c r="E27" s="2231"/>
      <c r="F27" s="2232"/>
      <c r="G27" s="2231"/>
      <c r="H27" s="2231"/>
      <c r="I27" s="2231"/>
      <c r="J27" s="2233"/>
      <c r="K27" s="3047"/>
      <c r="L27" s="2234" t="s">
        <v>2580</v>
      </c>
      <c r="M27" s="2143">
        <v>0.25</v>
      </c>
      <c r="N27" s="2143">
        <v>0.2</v>
      </c>
      <c r="O27" s="2143">
        <v>0.15</v>
      </c>
      <c r="P27" s="2235">
        <v>0.1</v>
      </c>
      <c r="Q27" s="3047"/>
      <c r="R27" s="3047"/>
      <c r="S27" s="3047"/>
      <c r="T27" s="3047"/>
      <c r="U27" s="3047"/>
      <c r="V27" s="3047"/>
      <c r="W27" s="3047"/>
      <c r="X27" s="1621"/>
      <c r="Y27" s="1621"/>
      <c r="Z27" s="1621"/>
      <c r="AA27" s="1621"/>
      <c r="AB27" s="1621"/>
      <c r="AC27" s="1621"/>
      <c r="AD27" s="1621"/>
      <c r="AE27" s="1621"/>
      <c r="AF27" s="1621"/>
    </row>
    <row r="28" spans="1:35" ht="15.75" thickBot="1">
      <c r="A28" s="1716"/>
      <c r="B28" s="2236" t="s">
        <v>2615</v>
      </c>
      <c r="C28" s="2237" t="s">
        <v>2616</v>
      </c>
      <c r="D28" s="2237" t="s">
        <v>2617</v>
      </c>
      <c r="E28" s="1616" t="s">
        <v>2618</v>
      </c>
      <c r="F28" s="2238"/>
      <c r="G28" s="2154"/>
      <c r="H28" s="2154"/>
      <c r="I28" s="2154"/>
      <c r="J28" s="2155"/>
      <c r="K28" s="3047"/>
      <c r="L28" s="2239" t="s">
        <v>2583</v>
      </c>
      <c r="M28" s="2240">
        <f ca="1">ROUND($E$20*(1+M27),3)</f>
        <v>4.8000000000000001E-2</v>
      </c>
      <c r="N28" s="2240">
        <f ca="1">ROUND($E$20*(1+N27),3)</f>
        <v>4.5999999999999999E-2</v>
      </c>
      <c r="O28" s="2240">
        <f ca="1">ROUND($E$20*(1+O27),3)</f>
        <v>4.3999999999999997E-2</v>
      </c>
      <c r="P28" s="2158">
        <f ca="1">ROUND($E$20*(1+P27),3)</f>
        <v>4.2000000000000003E-2</v>
      </c>
      <c r="Q28" s="3047"/>
      <c r="R28" s="3047"/>
      <c r="S28" s="3047"/>
      <c r="T28" s="3047"/>
      <c r="U28" s="3047"/>
      <c r="V28" s="3047"/>
      <c r="W28" s="3047"/>
      <c r="X28" s="1621"/>
      <c r="Y28" s="1621"/>
      <c r="Z28" s="1621"/>
      <c r="AA28" s="1621"/>
      <c r="AB28" s="1621"/>
      <c r="AC28" s="1621"/>
      <c r="AD28" s="1621"/>
      <c r="AE28" s="1621"/>
      <c r="AF28" s="1621"/>
    </row>
    <row r="29" spans="1:35">
      <c r="A29" s="2241"/>
      <c r="B29" s="1618" t="s">
        <v>2619</v>
      </c>
      <c r="C29" s="54">
        <f ca="1">ROUND(C5*C18*C19*C20*C21*C24,0)</f>
        <v>14221</v>
      </c>
      <c r="D29" s="2242"/>
      <c r="E29" s="2029">
        <f ca="1">ROUND(C29*D29,0)</f>
        <v>0</v>
      </c>
      <c r="F29" s="2243" t="s">
        <v>2620</v>
      </c>
      <c r="G29" s="2244"/>
      <c r="H29" s="2244"/>
      <c r="I29" s="2244"/>
      <c r="J29" s="2245"/>
      <c r="K29" s="3047"/>
      <c r="L29" s="3047"/>
      <c r="M29" s="3047"/>
      <c r="N29" s="3047"/>
      <c r="O29" s="3047"/>
      <c r="P29" s="3047"/>
      <c r="Q29" s="3047"/>
      <c r="R29" s="3047"/>
      <c r="S29" s="3047"/>
      <c r="T29" s="3047"/>
      <c r="U29" s="3047"/>
      <c r="V29" s="3047"/>
      <c r="W29" s="3047"/>
      <c r="X29" s="1621"/>
      <c r="Y29" s="1621"/>
      <c r="Z29" s="1621"/>
      <c r="AA29" s="1621"/>
      <c r="AB29" s="1621"/>
      <c r="AC29" s="1621"/>
      <c r="AD29" s="1621"/>
      <c r="AE29" s="1621"/>
      <c r="AF29" s="1621"/>
    </row>
    <row r="30" spans="1:35" ht="25.5" thickBot="1">
      <c r="A30" s="2246"/>
      <c r="B30" s="1619" t="s">
        <v>2621</v>
      </c>
      <c r="C30" s="2170">
        <f ca="1">ROUND(IF(E2="工业",C29*M39,C29*M38),0)</f>
        <v>3555</v>
      </c>
      <c r="D30" s="2247"/>
      <c r="E30" s="2029">
        <f ca="1">ROUND(C30*D30,0)</f>
        <v>0</v>
      </c>
      <c r="F30" s="2248" t="s">
        <v>2622</v>
      </c>
      <c r="G30" s="2249"/>
      <c r="H30" s="2249"/>
      <c r="I30" s="2249"/>
      <c r="J30" s="2250"/>
      <c r="K30" s="3047"/>
      <c r="L30" s="3047"/>
      <c r="M30" s="3047"/>
      <c r="N30" s="3047"/>
      <c r="O30" s="3047"/>
      <c r="P30" s="3047"/>
      <c r="Q30" s="3047"/>
      <c r="R30" s="3047"/>
      <c r="S30" s="3047"/>
      <c r="T30" s="3047"/>
      <c r="U30" s="3047"/>
      <c r="V30" s="3047"/>
      <c r="W30" s="3047"/>
      <c r="X30" s="1621"/>
      <c r="Y30" s="1621"/>
      <c r="Z30" s="1621"/>
      <c r="AA30" s="1621"/>
      <c r="AB30" s="1621"/>
      <c r="AC30" s="1621"/>
      <c r="AD30" s="1621"/>
      <c r="AE30" s="1621"/>
      <c r="AF30" s="1621"/>
    </row>
    <row r="31" spans="1:35">
      <c r="A31" s="2251"/>
      <c r="B31" s="1620" t="s">
        <v>2623</v>
      </c>
      <c r="C31" s="2252" t="s">
        <v>2624</v>
      </c>
      <c r="D31" s="2154"/>
      <c r="E31" s="2252"/>
      <c r="F31" s="2252"/>
      <c r="G31" s="2153" t="s">
        <v>2625</v>
      </c>
      <c r="H31" s="2154"/>
      <c r="I31" s="2253"/>
      <c r="J31" s="2155"/>
      <c r="K31" s="3047"/>
      <c r="L31" s="3047"/>
      <c r="M31" s="3047"/>
      <c r="N31" s="3047"/>
      <c r="O31" s="3047"/>
      <c r="P31" s="3047"/>
      <c r="Q31" s="3047"/>
      <c r="R31" s="3047"/>
      <c r="S31" s="3047"/>
      <c r="T31" s="3047"/>
      <c r="U31" s="3047"/>
      <c r="V31" s="3047"/>
      <c r="W31" s="3047"/>
      <c r="X31" s="1621"/>
      <c r="Y31" s="1621"/>
      <c r="Z31" s="1621"/>
      <c r="AA31" s="1621"/>
      <c r="AB31" s="1621"/>
      <c r="AC31" s="1621"/>
      <c r="AD31" s="1621"/>
      <c r="AE31" s="1621"/>
      <c r="AF31" s="1621"/>
    </row>
    <row r="32" spans="1:35" ht="24">
      <c r="A32" s="2241"/>
      <c r="B32" s="2254"/>
      <c r="C32" s="1809" t="s">
        <v>2616</v>
      </c>
      <c r="D32" s="1806" t="s">
        <v>2617</v>
      </c>
      <c r="E32" s="1806" t="s">
        <v>2618</v>
      </c>
      <c r="F32" s="50" t="s">
        <v>2626</v>
      </c>
      <c r="G32" s="2215" t="s">
        <v>2616</v>
      </c>
      <c r="H32" s="2215" t="s">
        <v>2617</v>
      </c>
      <c r="I32" s="2215" t="s">
        <v>2618</v>
      </c>
      <c r="J32" s="2067"/>
      <c r="K32" s="3047"/>
      <c r="L32" s="3047"/>
      <c r="M32" s="3047"/>
      <c r="N32" s="3047"/>
      <c r="O32" s="3047"/>
      <c r="P32" s="3047"/>
      <c r="Q32" s="3047"/>
      <c r="R32" s="3047"/>
      <c r="S32" s="3047"/>
      <c r="T32" s="3047"/>
      <c r="U32" s="3047"/>
      <c r="V32" s="3047"/>
      <c r="W32" s="3047"/>
      <c r="X32" s="1621"/>
      <c r="Y32" s="1621"/>
      <c r="Z32" s="1621"/>
      <c r="AA32" s="1621"/>
      <c r="AB32" s="1621"/>
      <c r="AC32" s="1621"/>
      <c r="AD32" s="1621"/>
      <c r="AE32" s="1621"/>
      <c r="AF32" s="1621"/>
    </row>
    <row r="33" spans="1:33">
      <c r="A33" s="3560" t="s">
        <v>2627</v>
      </c>
      <c r="B33" s="2255" t="s">
        <v>2628</v>
      </c>
      <c r="C33" s="54">
        <f ca="1">ROUND(D5*C19*C20*C24*F33,0)</f>
        <v>7444</v>
      </c>
      <c r="D33" s="2242"/>
      <c r="E33" s="50">
        <f t="shared" ref="E33:E39" ca="1" si="6">ROUND(C33*D33,0)</f>
        <v>0</v>
      </c>
      <c r="F33" s="50">
        <f>SUMIF(修正!A45:A56,G2,修正!B45:B56)</f>
        <v>0.7</v>
      </c>
      <c r="G33" s="50">
        <f t="shared" ref="G33" ca="1" si="7">ROUND(IF(E2="工业",C33*$M$39,C33*$M$38),0)</f>
        <v>1861</v>
      </c>
      <c r="H33" s="50">
        <f>D33</f>
        <v>0</v>
      </c>
      <c r="I33" s="50">
        <f t="shared" ref="I33:I39" ca="1" si="8">ROUND(G33*H33,0)</f>
        <v>0</v>
      </c>
      <c r="J33" s="2229"/>
      <c r="K33" s="3047"/>
      <c r="L33" s="3047"/>
      <c r="M33" s="3047"/>
      <c r="N33" s="3047"/>
      <c r="O33" s="3047"/>
      <c r="P33" s="3047"/>
      <c r="Q33" s="3047"/>
      <c r="R33" s="3047"/>
      <c r="S33" s="3047"/>
      <c r="T33" s="3047"/>
      <c r="U33" s="3047"/>
      <c r="V33" s="3047"/>
      <c r="W33" s="3047"/>
      <c r="X33" s="1621"/>
      <c r="Y33" s="1621"/>
      <c r="Z33" s="1621"/>
      <c r="AA33" s="1621"/>
      <c r="AB33" s="1621"/>
      <c r="AC33" s="1621"/>
      <c r="AD33" s="1621"/>
      <c r="AE33" s="1621"/>
      <c r="AF33" s="1621"/>
    </row>
    <row r="34" spans="1:33">
      <c r="A34" s="3561"/>
      <c r="B34" s="2160" t="s">
        <v>2629</v>
      </c>
      <c r="C34" s="54">
        <f ca="1">ROUND(D5*C19*C20*C24*F34,0)</f>
        <v>4254</v>
      </c>
      <c r="D34" s="2242"/>
      <c r="E34" s="50">
        <f t="shared" ca="1" si="6"/>
        <v>0</v>
      </c>
      <c r="F34" s="50">
        <f>SUMIF(修正!A45:A56,G2,修正!C45:C56)</f>
        <v>0.4</v>
      </c>
      <c r="G34" s="50">
        <f ca="1">ROUND(IF(E2="工业",C34*$M$39,C34*$M$38),0)</f>
        <v>1064</v>
      </c>
      <c r="H34" s="50">
        <f t="shared" ref="H34:H39" si="9">D34</f>
        <v>0</v>
      </c>
      <c r="I34" s="50">
        <f t="shared" ca="1" si="8"/>
        <v>0</v>
      </c>
      <c r="J34" s="2229"/>
      <c r="K34" s="3047"/>
      <c r="L34" s="3047"/>
      <c r="M34" s="3047"/>
      <c r="N34" s="3047"/>
      <c r="O34" s="3047"/>
      <c r="P34" s="3047"/>
      <c r="Q34" s="3047"/>
      <c r="R34" s="3047"/>
      <c r="S34" s="3047"/>
      <c r="T34" s="3047"/>
      <c r="U34" s="3047"/>
      <c r="V34" s="3047"/>
      <c r="W34" s="3047"/>
      <c r="X34" s="1621"/>
      <c r="Y34" s="1621"/>
      <c r="Z34" s="1621"/>
      <c r="AA34" s="1621"/>
      <c r="AB34" s="1621"/>
      <c r="AC34" s="1621"/>
      <c r="AD34" s="1621"/>
      <c r="AE34" s="1621"/>
      <c r="AF34" s="1621"/>
    </row>
    <row r="35" spans="1:33">
      <c r="A35" s="3561"/>
      <c r="B35" s="2160" t="s">
        <v>2630</v>
      </c>
      <c r="C35" s="54">
        <f ca="1">ROUND(D5*C19*C20*C24*F35,0)</f>
        <v>2978</v>
      </c>
      <c r="D35" s="2242"/>
      <c r="E35" s="50">
        <f t="shared" ca="1" si="6"/>
        <v>0</v>
      </c>
      <c r="F35" s="50">
        <f>SUMIF(修正!A45:A56,G2,修正!D45:D56)</f>
        <v>0.28000000000000003</v>
      </c>
      <c r="G35" s="50">
        <f ca="1">ROUND(IF(E2="工业",C35*$M$39,C35*$M$38),0)</f>
        <v>745</v>
      </c>
      <c r="H35" s="50">
        <f t="shared" si="9"/>
        <v>0</v>
      </c>
      <c r="I35" s="50">
        <f t="shared" ca="1" si="8"/>
        <v>0</v>
      </c>
      <c r="J35" s="2229"/>
      <c r="K35" s="3047"/>
      <c r="L35" s="3047"/>
      <c r="M35" s="3047"/>
      <c r="N35" s="3047"/>
      <c r="O35" s="3047"/>
      <c r="P35" s="3047"/>
      <c r="Q35" s="3047"/>
      <c r="R35" s="3047"/>
      <c r="S35" s="3047"/>
      <c r="T35" s="3047"/>
      <c r="U35" s="3047"/>
      <c r="V35" s="3047"/>
      <c r="W35" s="3047"/>
      <c r="X35" s="1621"/>
      <c r="Y35" s="1621"/>
      <c r="Z35" s="1621"/>
      <c r="AA35" s="1621"/>
      <c r="AB35" s="1621"/>
      <c r="AC35" s="1621"/>
      <c r="AD35" s="1621"/>
      <c r="AE35" s="1621"/>
      <c r="AF35" s="1621"/>
    </row>
    <row r="36" spans="1:33" ht="13.5" thickBot="1">
      <c r="A36" s="3562"/>
      <c r="B36" s="2160" t="s">
        <v>2631</v>
      </c>
      <c r="C36" s="54">
        <f ca="1">ROUND(D5*C19*C20*C24*F36,0)</f>
        <v>2659</v>
      </c>
      <c r="D36" s="2242"/>
      <c r="E36" s="50">
        <f t="shared" ca="1" si="6"/>
        <v>0</v>
      </c>
      <c r="F36" s="50">
        <f>SUMIF(修正!A45:A56,G2,修正!E45:E56)</f>
        <v>0.25</v>
      </c>
      <c r="G36" s="50">
        <f ca="1">ROUND(IF(E2="工业",C36*$M$39,C36*$M$38),0)</f>
        <v>665</v>
      </c>
      <c r="H36" s="50">
        <f t="shared" si="9"/>
        <v>0</v>
      </c>
      <c r="I36" s="50">
        <f t="shared" ca="1" si="8"/>
        <v>0</v>
      </c>
      <c r="J36" s="2229"/>
      <c r="K36" s="3047"/>
      <c r="L36" s="3047"/>
      <c r="M36" s="3047"/>
      <c r="N36" s="3047"/>
      <c r="O36" s="3047"/>
      <c r="P36" s="3047"/>
      <c r="Q36" s="3047"/>
      <c r="R36" s="3047"/>
      <c r="S36" s="3047"/>
      <c r="T36" s="3047"/>
      <c r="U36" s="3047"/>
      <c r="V36" s="3047"/>
      <c r="W36" s="3047"/>
      <c r="X36" s="1621"/>
      <c r="Y36" s="1621"/>
      <c r="Z36" s="1621"/>
      <c r="AA36" s="1621"/>
      <c r="AB36" s="1621"/>
      <c r="AC36" s="1621"/>
      <c r="AD36" s="1621"/>
      <c r="AE36" s="1621"/>
      <c r="AF36" s="1621"/>
    </row>
    <row r="37" spans="1:33">
      <c r="A37" s="2256"/>
      <c r="B37" s="2160" t="s">
        <v>2632</v>
      </c>
      <c r="C37" s="50">
        <f ca="1">ROUND(D5*C19*C20*C24*F37,0)</f>
        <v>2659</v>
      </c>
      <c r="D37" s="2242"/>
      <c r="E37" s="50">
        <f t="shared" ca="1" si="6"/>
        <v>0</v>
      </c>
      <c r="F37" s="54">
        <f>SUMIF(修正!A45:A56,G2,修正!F45:F56)</f>
        <v>0.25</v>
      </c>
      <c r="G37" s="50">
        <f ca="1">ROUND(IF(E2="工业",C37*$M$39,C37*$M$38),0)</f>
        <v>665</v>
      </c>
      <c r="H37" s="50">
        <f t="shared" si="9"/>
        <v>0</v>
      </c>
      <c r="I37" s="50">
        <f t="shared" ca="1" si="8"/>
        <v>0</v>
      </c>
      <c r="J37" s="2229"/>
      <c r="K37" s="3047"/>
      <c r="L37" s="2257" t="s">
        <v>2633</v>
      </c>
      <c r="M37" s="2133"/>
      <c r="N37" s="3047"/>
      <c r="O37" s="3047"/>
      <c r="P37" s="3047"/>
      <c r="Q37" s="3047"/>
      <c r="R37" s="3047"/>
      <c r="S37" s="3047"/>
      <c r="T37" s="3047"/>
      <c r="U37" s="3047"/>
      <c r="V37" s="3047"/>
      <c r="W37" s="3047"/>
      <c r="X37" s="1621"/>
      <c r="Y37" s="1621"/>
      <c r="Z37" s="1621"/>
      <c r="AA37" s="1621"/>
      <c r="AB37" s="1621"/>
      <c r="AC37" s="1621"/>
      <c r="AD37" s="1621"/>
      <c r="AE37" s="1621"/>
      <c r="AF37" s="1621"/>
    </row>
    <row r="38" spans="1:33">
      <c r="A38" s="2256"/>
      <c r="B38" s="2160" t="s">
        <v>2634</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7"/>
      <c r="L38" s="2258" t="s">
        <v>2635</v>
      </c>
      <c r="M38" s="2259">
        <v>0.25</v>
      </c>
      <c r="N38" s="3047"/>
      <c r="O38" s="3047"/>
      <c r="P38" s="3047"/>
      <c r="Q38" s="3047"/>
      <c r="R38" s="3047"/>
      <c r="S38" s="3047"/>
      <c r="T38" s="3047"/>
      <c r="U38" s="3047"/>
      <c r="V38" s="3047"/>
      <c r="W38" s="3047"/>
      <c r="X38" s="1621"/>
      <c r="Y38" s="1621"/>
      <c r="Z38" s="1621"/>
      <c r="AA38" s="1621"/>
      <c r="AB38" s="1621"/>
      <c r="AC38" s="1621"/>
      <c r="AD38" s="1621"/>
      <c r="AE38" s="1621"/>
      <c r="AF38" s="1621"/>
    </row>
    <row r="39" spans="1:33" ht="13.5" thickBot="1">
      <c r="A39" s="2246"/>
      <c r="B39" s="2260" t="s">
        <v>2636</v>
      </c>
      <c r="C39" s="2170">
        <f ca="1">ROUND(D5*C19*C41*C24*F39,0)</f>
        <v>0</v>
      </c>
      <c r="D39" s="2247"/>
      <c r="E39" s="2170">
        <f t="shared" ca="1" si="6"/>
        <v>0</v>
      </c>
      <c r="F39" s="56">
        <f>SUMIF(修正!A45:A56,G2,修正!H45:H56)</f>
        <v>0.2</v>
      </c>
      <c r="G39" s="2170">
        <f ca="1">ROUND(IF(E2="工业",C39*$M$39,C39*$M$38),0)</f>
        <v>0</v>
      </c>
      <c r="H39" s="2170">
        <f t="shared" si="9"/>
        <v>0</v>
      </c>
      <c r="I39" s="2170">
        <f t="shared" ca="1" si="8"/>
        <v>0</v>
      </c>
      <c r="J39" s="2233"/>
      <c r="K39" s="3047"/>
      <c r="L39" s="2261" t="s">
        <v>2577</v>
      </c>
      <c r="M39" s="2262">
        <v>0.15</v>
      </c>
      <c r="N39" s="3047"/>
      <c r="O39" s="3047"/>
      <c r="P39" s="3047"/>
      <c r="Q39" s="3047"/>
      <c r="R39" s="3047"/>
      <c r="S39" s="3047"/>
      <c r="T39" s="3047"/>
      <c r="U39" s="3047"/>
      <c r="V39" s="3047"/>
      <c r="W39" s="3047"/>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7"/>
      <c r="L40" s="3047"/>
      <c r="M40" s="3047"/>
      <c r="N40" s="3047"/>
      <c r="O40" s="3047"/>
      <c r="P40" s="3047"/>
      <c r="Q40" s="3047"/>
      <c r="R40" s="3047"/>
      <c r="S40" s="3047"/>
      <c r="T40" s="3047"/>
      <c r="U40" s="3047"/>
      <c r="V40" s="3047"/>
      <c r="W40" s="3047"/>
      <c r="X40" s="1621"/>
      <c r="Y40" s="1621"/>
      <c r="Z40" s="1621"/>
      <c r="AA40" s="1621"/>
      <c r="AB40" s="1621"/>
      <c r="AC40" s="1621"/>
      <c r="AD40" s="1621"/>
      <c r="AE40" s="1621"/>
      <c r="AF40" s="1621"/>
    </row>
    <row r="41" spans="1:33" s="2263" customFormat="1">
      <c r="A41" s="1621"/>
      <c r="B41" s="2264" t="s">
        <v>2715</v>
      </c>
      <c r="C41" s="50">
        <f ca="1">ROUND(POWER(1+E41,H41-G41)*(POWER(1+E41,G41)-1)/(POWER(1+E41,H41)-1),4)</f>
        <v>0</v>
      </c>
      <c r="D41" s="50" t="s">
        <v>2713</v>
      </c>
      <c r="E41" s="2265">
        <f ca="1">G20</f>
        <v>4.8000000000000001E-2</v>
      </c>
      <c r="F41" s="50" t="s">
        <v>2714</v>
      </c>
      <c r="G41" s="2266"/>
      <c r="H41" s="50">
        <v>50</v>
      </c>
      <c r="I41" s="1621"/>
      <c r="J41" s="1621"/>
      <c r="K41" s="3047"/>
      <c r="L41" s="3047"/>
      <c r="M41" s="3047"/>
      <c r="N41" s="3047"/>
      <c r="O41" s="3047"/>
      <c r="P41" s="3047"/>
      <c r="Q41" s="3047"/>
      <c r="R41" s="3047"/>
      <c r="S41" s="3047"/>
      <c r="T41" s="3047"/>
      <c r="U41" s="3047"/>
      <c r="V41" s="3047"/>
      <c r="W41" s="3047"/>
      <c r="X41" s="1621"/>
      <c r="Y41" s="1621"/>
      <c r="Z41" s="1621"/>
      <c r="AA41" s="1621"/>
      <c r="AB41" s="1621"/>
      <c r="AC41" s="1621"/>
      <c r="AD41" s="1621"/>
      <c r="AE41" s="1621"/>
      <c r="AF41" s="1621"/>
    </row>
    <row r="42" spans="1:33" s="2263"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1"/>
      <c r="Y42" s="1621"/>
      <c r="Z42" s="1621"/>
      <c r="AA42" s="1621"/>
      <c r="AB42" s="1621"/>
      <c r="AC42" s="1621"/>
      <c r="AD42" s="1621"/>
      <c r="AE42" s="1621"/>
      <c r="AF42" s="1621"/>
    </row>
    <row r="43" spans="1:33" s="2263"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1"/>
      <c r="Y43" s="1621"/>
      <c r="Z43" s="1621"/>
      <c r="AA43" s="1621"/>
      <c r="AB43" s="1621"/>
      <c r="AC43" s="1621"/>
      <c r="AD43" s="1621"/>
      <c r="AE43" s="1621"/>
      <c r="AF43" s="1621"/>
    </row>
    <row r="44" spans="1:33" s="2263"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1"/>
      <c r="Y44" s="1621"/>
      <c r="Z44" s="1621"/>
      <c r="AA44" s="1621"/>
      <c r="AB44" s="1621"/>
      <c r="AC44" s="1621"/>
      <c r="AD44" s="1621"/>
      <c r="AE44" s="1621"/>
      <c r="AF44" s="1621"/>
    </row>
    <row r="45" spans="1:33" s="2263" customFormat="1" ht="15.75" thickBot="1">
      <c r="A45" s="2267" t="s">
        <v>2637</v>
      </c>
      <c r="B45" s="2268"/>
      <c r="C45" s="606"/>
      <c r="D45" s="606"/>
      <c r="E45" s="606"/>
      <c r="F45" s="606"/>
      <c r="G45" s="606"/>
      <c r="H45" s="606"/>
      <c r="I45" s="606"/>
      <c r="J45" s="606"/>
      <c r="K45" s="606"/>
      <c r="L45" s="606"/>
      <c r="M45" s="606"/>
      <c r="N45" s="2098"/>
      <c r="O45" s="1621"/>
      <c r="P45" s="1621"/>
      <c r="Q45" s="3047"/>
      <c r="R45" s="3047"/>
      <c r="S45" s="3047"/>
      <c r="T45" s="3047"/>
      <c r="U45" s="3047"/>
      <c r="V45" s="3047"/>
      <c r="W45" s="3047"/>
      <c r="X45" s="1621"/>
      <c r="Y45" s="1621"/>
      <c r="Z45" s="1621"/>
      <c r="AA45" s="1621"/>
      <c r="AB45" s="1621"/>
      <c r="AC45" s="1621"/>
      <c r="AD45" s="1621"/>
      <c r="AE45" s="1621"/>
      <c r="AF45" s="1621"/>
    </row>
    <row r="46" spans="1:33" s="2263" customFormat="1" ht="15">
      <c r="A46" s="2269" t="s">
        <v>2638</v>
      </c>
      <c r="B46" s="2270">
        <f>1+E48</f>
        <v>1.0366</v>
      </c>
      <c r="C46" s="2271"/>
      <c r="D46" s="2272"/>
      <c r="E46" s="2273"/>
      <c r="F46" s="2274"/>
      <c r="G46" s="606"/>
      <c r="H46" s="606"/>
      <c r="I46" s="606"/>
      <c r="J46" s="606"/>
      <c r="K46" s="606"/>
      <c r="L46" s="606"/>
      <c r="M46" s="2098"/>
      <c r="N46" s="2275"/>
      <c r="O46" s="1621"/>
      <c r="P46" s="1621"/>
      <c r="Q46" s="3047"/>
      <c r="R46" s="3047"/>
      <c r="S46" s="3047"/>
      <c r="T46" s="3047"/>
      <c r="U46" s="3047"/>
      <c r="V46" s="3047"/>
      <c r="W46" s="3047"/>
      <c r="X46" s="1621"/>
      <c r="Y46" s="1621"/>
      <c r="Z46" s="1621"/>
      <c r="AA46" s="1621"/>
      <c r="AB46" s="1621"/>
      <c r="AC46" s="1621"/>
      <c r="AD46" s="1621"/>
      <c r="AE46" s="1621"/>
    </row>
    <row r="47" spans="1:33" s="2263" customFormat="1" ht="24.75">
      <c r="A47" s="2276" t="s">
        <v>2639</v>
      </c>
      <c r="B47" s="2277" t="s">
        <v>2640</v>
      </c>
      <c r="C47" s="2277" t="s">
        <v>2641</v>
      </c>
      <c r="D47" s="2277" t="s">
        <v>2642</v>
      </c>
      <c r="E47" s="2278" t="s">
        <v>2643</v>
      </c>
      <c r="F47" s="2228" t="s">
        <v>2644</v>
      </c>
      <c r="G47" s="2277" t="s">
        <v>2645</v>
      </c>
      <c r="H47" s="2279" t="s">
        <v>2646</v>
      </c>
      <c r="I47" s="2277" t="s">
        <v>2647</v>
      </c>
      <c r="J47" s="1904" t="s">
        <v>2648</v>
      </c>
      <c r="K47" s="1904" t="s">
        <v>2649</v>
      </c>
      <c r="L47" s="1904" t="s">
        <v>2650</v>
      </c>
      <c r="M47" s="1904" t="s">
        <v>2651</v>
      </c>
      <c r="N47" s="1904" t="s">
        <v>2652</v>
      </c>
      <c r="O47" s="1621"/>
      <c r="P47" s="1621"/>
      <c r="Q47" s="3047"/>
      <c r="R47" s="3047"/>
      <c r="S47" s="3047"/>
      <c r="T47" s="3047"/>
      <c r="U47" s="3047"/>
      <c r="V47" s="3047"/>
      <c r="W47" s="3047"/>
      <c r="X47" s="1621"/>
      <c r="Y47" s="1621"/>
      <c r="Z47" s="1621"/>
      <c r="AA47" s="1621"/>
      <c r="AB47" s="1621"/>
      <c r="AC47" s="1621"/>
      <c r="AD47" s="1621"/>
      <c r="AE47" s="1621"/>
      <c r="AF47" s="1621"/>
      <c r="AG47" s="1621"/>
    </row>
    <row r="48" spans="1:33" s="2263" customFormat="1" ht="38.25">
      <c r="A48" s="2276" t="s">
        <v>2653</v>
      </c>
      <c r="B48" s="2280" t="str">
        <f>估价对象房地状况!C16</f>
        <v>估价对象位于XX商圈，周边商业氛围成熟，人流量大，商业繁华度好</v>
      </c>
      <c r="C48" s="2164" t="s">
        <v>31</v>
      </c>
      <c r="D48" s="2281">
        <f t="shared" ref="D48:D56" si="10">SUMIF($J$47:$N$47,C48,J48:N48)</f>
        <v>0</v>
      </c>
      <c r="E48" s="2282">
        <f>ROUND(SUM(D48:D56),4)</f>
        <v>3.6600000000000001E-2</v>
      </c>
      <c r="F48" s="2283">
        <f>IF(E2="商业",SUMIF(L1:L12,G2,N1:N12),"——")</f>
        <v>0.125</v>
      </c>
      <c r="G48" s="2284">
        <v>2.06E-2</v>
      </c>
      <c r="H48" s="2285">
        <f t="shared" ref="H48:H56" si="11">IFERROR(ROUNDDOWN($F$48*I48/2,4),"——")</f>
        <v>2.06E-2</v>
      </c>
      <c r="I48" s="2286">
        <v>0.33</v>
      </c>
      <c r="J48" s="2287">
        <f t="shared" ref="J48:J56" si="12">K48+$G48</f>
        <v>4.1200000000000001E-2</v>
      </c>
      <c r="K48" s="2287">
        <f t="shared" ref="K48:K56" si="13">$L48+$G48</f>
        <v>2.06E-2</v>
      </c>
      <c r="L48" s="2287">
        <v>0</v>
      </c>
      <c r="M48" s="2287">
        <f t="shared" ref="M48:N56" si="14">L48-$G48</f>
        <v>-2.06E-2</v>
      </c>
      <c r="N48" s="2287">
        <f t="shared" si="14"/>
        <v>-4.1200000000000001E-2</v>
      </c>
      <c r="O48" s="1621"/>
      <c r="P48" s="1621"/>
      <c r="Q48" s="3047"/>
      <c r="R48" s="3047"/>
      <c r="S48" s="3047"/>
      <c r="T48" s="3047"/>
      <c r="U48" s="3047"/>
      <c r="V48" s="3047"/>
      <c r="W48" s="3047"/>
      <c r="X48" s="1621"/>
      <c r="Y48" s="1621"/>
      <c r="Z48" s="1621"/>
      <c r="AA48" s="1621"/>
      <c r="AB48" s="1621"/>
      <c r="AC48" s="1621"/>
      <c r="AD48" s="1621"/>
      <c r="AE48" s="1621"/>
      <c r="AF48" s="1621"/>
      <c r="AG48" s="1621"/>
    </row>
    <row r="49" spans="1:33" s="2263" customFormat="1" ht="51">
      <c r="A49" s="2276" t="s">
        <v>2654</v>
      </c>
      <c r="B49" s="2288" t="str">
        <f>估价对象房地状况!C18</f>
        <v>估价对象周边道路状况、公共交通通达情况、停车便捷程度，综合评价交通便捷度较好</v>
      </c>
      <c r="C49" s="2164" t="s">
        <v>30</v>
      </c>
      <c r="D49" s="2281">
        <f t="shared" si="10"/>
        <v>1.5599999999999999E-2</v>
      </c>
      <c r="E49" s="2289"/>
      <c r="F49" s="2283"/>
      <c r="G49" s="2284">
        <v>1.5599999999999999E-2</v>
      </c>
      <c r="H49" s="2285">
        <f t="shared" si="11"/>
        <v>1.5599999999999999E-2</v>
      </c>
      <c r="I49" s="2286">
        <v>0.25</v>
      </c>
      <c r="J49" s="2287">
        <f t="shared" si="12"/>
        <v>3.1199999999999999E-2</v>
      </c>
      <c r="K49" s="2287">
        <f t="shared" si="13"/>
        <v>1.5599999999999999E-2</v>
      </c>
      <c r="L49" s="2287">
        <v>0</v>
      </c>
      <c r="M49" s="2287">
        <f t="shared" si="14"/>
        <v>-1.5599999999999999E-2</v>
      </c>
      <c r="N49" s="2287">
        <f t="shared" si="14"/>
        <v>-3.1199999999999999E-2</v>
      </c>
      <c r="O49" s="1621"/>
      <c r="P49" s="1621"/>
      <c r="Q49" s="3047"/>
      <c r="R49" s="3047"/>
      <c r="S49" s="3047"/>
      <c r="T49" s="3047"/>
      <c r="U49" s="3047"/>
      <c r="V49" s="3047"/>
      <c r="W49" s="3047"/>
      <c r="X49" s="1621"/>
      <c r="Y49" s="1621"/>
      <c r="Z49" s="1621"/>
      <c r="AA49" s="1621"/>
      <c r="AB49" s="1621"/>
      <c r="AC49" s="1621"/>
      <c r="AD49" s="1621"/>
      <c r="AE49" s="1621"/>
      <c r="AF49" s="1621"/>
      <c r="AG49" s="1621"/>
    </row>
    <row r="50" spans="1:33" s="2263" customFormat="1" ht="24">
      <c r="A50" s="2276" t="s">
        <v>2655</v>
      </c>
      <c r="B50" s="2288">
        <f>估价对象房地状况!C19</f>
        <v>0</v>
      </c>
      <c r="C50" s="2164" t="s">
        <v>30</v>
      </c>
      <c r="D50" s="2281">
        <f t="shared" si="10"/>
        <v>3.0999999999999999E-3</v>
      </c>
      <c r="E50" s="2289"/>
      <c r="F50" s="2283"/>
      <c r="G50" s="2284">
        <v>3.0999999999999999E-3</v>
      </c>
      <c r="H50" s="2285">
        <f t="shared" si="11"/>
        <v>3.0999999999999999E-3</v>
      </c>
      <c r="I50" s="2286">
        <v>0.05</v>
      </c>
      <c r="J50" s="2287">
        <f t="shared" si="12"/>
        <v>6.1999999999999998E-3</v>
      </c>
      <c r="K50" s="2287">
        <f t="shared" si="13"/>
        <v>3.0999999999999999E-3</v>
      </c>
      <c r="L50" s="2287">
        <v>0</v>
      </c>
      <c r="M50" s="2287">
        <f t="shared" si="14"/>
        <v>-3.0999999999999999E-3</v>
      </c>
      <c r="N50" s="2287">
        <f t="shared" si="14"/>
        <v>-6.1999999999999998E-3</v>
      </c>
      <c r="O50" s="1621"/>
      <c r="P50" s="1621"/>
      <c r="Q50" s="3047"/>
      <c r="R50" s="3047"/>
      <c r="S50" s="3047"/>
      <c r="T50" s="3047"/>
      <c r="U50" s="3047"/>
      <c r="V50" s="3047"/>
      <c r="W50" s="3047"/>
      <c r="X50" s="1621"/>
      <c r="Y50" s="1621"/>
      <c r="Z50" s="1621"/>
      <c r="AA50" s="1621"/>
      <c r="AB50" s="1621"/>
      <c r="AC50" s="1621"/>
      <c r="AD50" s="1621"/>
      <c r="AE50" s="1621"/>
      <c r="AF50" s="1621"/>
      <c r="AG50" s="1621"/>
    </row>
    <row r="51" spans="1:33" s="2263" customFormat="1" ht="36.75">
      <c r="A51" s="2276" t="s">
        <v>2656</v>
      </c>
      <c r="B51" s="2290" t="s">
        <v>2657</v>
      </c>
      <c r="C51" s="2164" t="s">
        <v>30</v>
      </c>
      <c r="D51" s="2281">
        <f t="shared" si="10"/>
        <v>3.0999999999999999E-3</v>
      </c>
      <c r="E51" s="2289"/>
      <c r="F51" s="2283"/>
      <c r="G51" s="2284">
        <v>3.0999999999999999E-3</v>
      </c>
      <c r="H51" s="2285">
        <f t="shared" si="11"/>
        <v>3.0999999999999999E-3</v>
      </c>
      <c r="I51" s="2286">
        <v>0.05</v>
      </c>
      <c r="J51" s="2287">
        <f t="shared" si="12"/>
        <v>6.1999999999999998E-3</v>
      </c>
      <c r="K51" s="2287">
        <f t="shared" si="13"/>
        <v>3.0999999999999999E-3</v>
      </c>
      <c r="L51" s="2287">
        <v>0</v>
      </c>
      <c r="M51" s="2287">
        <f t="shared" si="14"/>
        <v>-3.0999999999999999E-3</v>
      </c>
      <c r="N51" s="2287">
        <f t="shared" si="14"/>
        <v>-6.1999999999999998E-3</v>
      </c>
      <c r="O51" s="1621"/>
      <c r="P51" s="1621"/>
      <c r="Q51" s="3047"/>
      <c r="R51" s="3047"/>
      <c r="S51" s="3047"/>
      <c r="T51" s="3047"/>
      <c r="U51" s="3047"/>
      <c r="V51" s="3047"/>
      <c r="W51" s="3047"/>
      <c r="X51" s="1621"/>
      <c r="Y51" s="1621"/>
      <c r="Z51" s="1621"/>
      <c r="AA51" s="1621"/>
      <c r="AB51" s="1621"/>
      <c r="AC51" s="1621"/>
      <c r="AD51" s="1621"/>
      <c r="AE51" s="1621"/>
      <c r="AF51" s="1621"/>
      <c r="AG51" s="1621"/>
    </row>
    <row r="52" spans="1:33" s="2263" customFormat="1" ht="24">
      <c r="A52" s="2276" t="s">
        <v>2658</v>
      </c>
      <c r="B52" s="2288">
        <f>估价对象房地状况!C24</f>
        <v>0</v>
      </c>
      <c r="C52" s="2164" t="s">
        <v>31</v>
      </c>
      <c r="D52" s="2281">
        <f t="shared" si="10"/>
        <v>0</v>
      </c>
      <c r="E52" s="2289"/>
      <c r="F52" s="2283"/>
      <c r="G52" s="2284">
        <v>5.0000000000000001E-3</v>
      </c>
      <c r="H52" s="2285">
        <f t="shared" si="11"/>
        <v>5.0000000000000001E-3</v>
      </c>
      <c r="I52" s="2286">
        <v>0.08</v>
      </c>
      <c r="J52" s="2287">
        <f t="shared" si="12"/>
        <v>0.01</v>
      </c>
      <c r="K52" s="2287">
        <f t="shared" si="13"/>
        <v>5.0000000000000001E-3</v>
      </c>
      <c r="L52" s="2287">
        <v>0</v>
      </c>
      <c r="M52" s="2287">
        <f t="shared" si="14"/>
        <v>-5.0000000000000001E-3</v>
      </c>
      <c r="N52" s="2287">
        <f t="shared" si="14"/>
        <v>-0.01</v>
      </c>
      <c r="O52" s="1621"/>
      <c r="P52" s="1621"/>
      <c r="Q52" s="3047"/>
      <c r="R52" s="3047"/>
      <c r="S52" s="3047"/>
      <c r="T52" s="3047"/>
      <c r="U52" s="3047"/>
      <c r="V52" s="3047"/>
      <c r="W52" s="3047"/>
      <c r="X52" s="1621"/>
      <c r="Y52" s="1621"/>
      <c r="Z52" s="1621"/>
      <c r="AA52" s="1621"/>
      <c r="AB52" s="1621"/>
      <c r="AC52" s="1621"/>
      <c r="AD52" s="1621"/>
      <c r="AE52" s="1621"/>
      <c r="AF52" s="1621"/>
      <c r="AG52" s="1621"/>
    </row>
    <row r="53" spans="1:33" s="2263" customFormat="1" ht="24">
      <c r="A53" s="2276" t="s">
        <v>2659</v>
      </c>
      <c r="B53" s="2291" t="s">
        <v>2660</v>
      </c>
      <c r="C53" s="2164" t="s">
        <v>30</v>
      </c>
      <c r="D53" s="2281">
        <f t="shared" si="10"/>
        <v>1.8E-3</v>
      </c>
      <c r="E53" s="2289"/>
      <c r="F53" s="2283"/>
      <c r="G53" s="2284">
        <v>1.8E-3</v>
      </c>
      <c r="H53" s="2285">
        <f t="shared" si="11"/>
        <v>1.8E-3</v>
      </c>
      <c r="I53" s="2286">
        <v>0.03</v>
      </c>
      <c r="J53" s="2287">
        <f t="shared" si="12"/>
        <v>3.5999999999999999E-3</v>
      </c>
      <c r="K53" s="2287">
        <f t="shared" si="13"/>
        <v>1.8E-3</v>
      </c>
      <c r="L53" s="2287">
        <v>0</v>
      </c>
      <c r="M53" s="2287">
        <f t="shared" si="14"/>
        <v>-1.8E-3</v>
      </c>
      <c r="N53" s="2287">
        <f t="shared" si="14"/>
        <v>-3.5999999999999999E-3</v>
      </c>
      <c r="O53" s="1621"/>
      <c r="P53" s="1621"/>
      <c r="Q53" s="3047"/>
      <c r="R53" s="3047"/>
      <c r="S53" s="3047"/>
      <c r="T53" s="3047"/>
      <c r="U53" s="3047"/>
      <c r="V53" s="3047"/>
      <c r="W53" s="3047"/>
      <c r="X53" s="1621"/>
      <c r="Y53" s="1621"/>
      <c r="Z53" s="1621"/>
      <c r="AA53" s="1621"/>
      <c r="AB53" s="1621"/>
      <c r="AC53" s="1621"/>
      <c r="AD53" s="1621"/>
      <c r="AE53" s="1621"/>
      <c r="AF53" s="1621"/>
      <c r="AG53" s="1621"/>
    </row>
    <row r="54" spans="1:33" s="2263" customFormat="1" ht="25.5">
      <c r="A54" s="2292" t="s">
        <v>2661</v>
      </c>
      <c r="B54" s="2293" t="str">
        <f>估价对象房地状况!C21</f>
        <v>估价对象所在区域公共配套设施齐备情况</v>
      </c>
      <c r="C54" s="2164" t="s">
        <v>30</v>
      </c>
      <c r="D54" s="2281">
        <f t="shared" si="10"/>
        <v>3.0999999999999999E-3</v>
      </c>
      <c r="E54" s="2289"/>
      <c r="F54" s="2283"/>
      <c r="G54" s="2284">
        <v>3.0999999999999999E-3</v>
      </c>
      <c r="H54" s="2285">
        <f t="shared" si="11"/>
        <v>3.0999999999999999E-3</v>
      </c>
      <c r="I54" s="2286">
        <v>0.05</v>
      </c>
      <c r="J54" s="2287">
        <f t="shared" si="12"/>
        <v>6.1999999999999998E-3</v>
      </c>
      <c r="K54" s="2287">
        <f t="shared" si="13"/>
        <v>3.0999999999999999E-3</v>
      </c>
      <c r="L54" s="2287">
        <v>0</v>
      </c>
      <c r="M54" s="2287">
        <f t="shared" si="14"/>
        <v>-3.0999999999999999E-3</v>
      </c>
      <c r="N54" s="2287">
        <f t="shared" si="14"/>
        <v>-6.1999999999999998E-3</v>
      </c>
      <c r="O54" s="1621"/>
      <c r="P54" s="1621"/>
      <c r="Q54" s="3047"/>
      <c r="R54" s="3047"/>
      <c r="S54" s="3047"/>
      <c r="T54" s="3047"/>
      <c r="U54" s="3047"/>
      <c r="V54" s="3047"/>
      <c r="W54" s="3047"/>
      <c r="X54" s="1621"/>
      <c r="Y54" s="1621"/>
      <c r="Z54" s="1621"/>
      <c r="AA54" s="1621"/>
      <c r="AB54" s="1621"/>
      <c r="AC54" s="1621"/>
      <c r="AD54" s="1621"/>
      <c r="AE54" s="1621"/>
      <c r="AF54" s="1621"/>
      <c r="AG54" s="1621"/>
    </row>
    <row r="55" spans="1:33" s="2263" customFormat="1" ht="25.5">
      <c r="A55" s="2292" t="s">
        <v>2662</v>
      </c>
      <c r="B55" s="2288" t="str">
        <f>估价对象房地状况!C22</f>
        <v>估价对象所在区域基础设施水平</v>
      </c>
      <c r="C55" s="2164" t="s">
        <v>30</v>
      </c>
      <c r="D55" s="2281">
        <f t="shared" si="10"/>
        <v>6.1999999999999998E-3</v>
      </c>
      <c r="E55" s="2289"/>
      <c r="F55" s="2283"/>
      <c r="G55" s="2284">
        <v>6.1999999999999998E-3</v>
      </c>
      <c r="H55" s="2285">
        <f t="shared" si="11"/>
        <v>6.1999999999999998E-3</v>
      </c>
      <c r="I55" s="2286">
        <v>0.1</v>
      </c>
      <c r="J55" s="2287">
        <f t="shared" si="12"/>
        <v>1.24E-2</v>
      </c>
      <c r="K55" s="2287">
        <f t="shared" si="13"/>
        <v>6.1999999999999998E-3</v>
      </c>
      <c r="L55" s="2287">
        <v>0</v>
      </c>
      <c r="M55" s="2287">
        <f t="shared" si="14"/>
        <v>-6.1999999999999998E-3</v>
      </c>
      <c r="N55" s="2287">
        <f t="shared" si="14"/>
        <v>-1.24E-2</v>
      </c>
      <c r="O55" s="1621"/>
      <c r="P55" s="1621"/>
      <c r="Q55" s="3047"/>
      <c r="R55" s="3047"/>
      <c r="S55" s="3047"/>
      <c r="T55" s="3047"/>
      <c r="U55" s="3047"/>
      <c r="V55" s="3047"/>
      <c r="W55" s="3047"/>
      <c r="X55" s="1621"/>
      <c r="Y55" s="1621"/>
      <c r="Z55" s="1621"/>
      <c r="AA55" s="1621"/>
      <c r="AB55" s="1621"/>
      <c r="AC55" s="1621"/>
      <c r="AD55" s="1621"/>
      <c r="AE55" s="1621"/>
      <c r="AF55" s="1621"/>
      <c r="AG55" s="1621"/>
    </row>
    <row r="56" spans="1:33" s="2263" customFormat="1" ht="39" thickBot="1">
      <c r="A56" s="2294" t="s">
        <v>2663</v>
      </c>
      <c r="B56" s="2295" t="str">
        <f>估价对象房地状况!C20</f>
        <v>区域自然环境：；人文环境；综合评价环境状况一般</v>
      </c>
      <c r="C56" s="2164" t="s">
        <v>30</v>
      </c>
      <c r="D56" s="2281">
        <f t="shared" si="10"/>
        <v>3.7000000000000002E-3</v>
      </c>
      <c r="E56" s="2296"/>
      <c r="F56" s="2283"/>
      <c r="G56" s="2284">
        <v>3.7000000000000002E-3</v>
      </c>
      <c r="H56" s="2285">
        <f t="shared" si="11"/>
        <v>3.7000000000000002E-3</v>
      </c>
      <c r="I56" s="2297">
        <v>0.06</v>
      </c>
      <c r="J56" s="2287">
        <f t="shared" si="12"/>
        <v>7.4000000000000003E-3</v>
      </c>
      <c r="K56" s="2287">
        <f t="shared" si="13"/>
        <v>3.7000000000000002E-3</v>
      </c>
      <c r="L56" s="2287">
        <v>0</v>
      </c>
      <c r="M56" s="2287">
        <f t="shared" si="14"/>
        <v>-3.7000000000000002E-3</v>
      </c>
      <c r="N56" s="2287">
        <f t="shared" si="14"/>
        <v>-7.4000000000000003E-3</v>
      </c>
      <c r="O56" s="1621"/>
      <c r="P56" s="1621"/>
      <c r="Q56" s="3047"/>
      <c r="R56" s="3047"/>
      <c r="S56" s="3047"/>
      <c r="T56" s="3047"/>
      <c r="U56" s="3047"/>
      <c r="V56" s="3047"/>
      <c r="W56" s="3047"/>
      <c r="X56" s="1621"/>
      <c r="Y56" s="1621"/>
      <c r="Z56" s="1621"/>
      <c r="AA56" s="1621"/>
      <c r="AB56" s="1621"/>
      <c r="AC56" s="1621"/>
      <c r="AD56" s="1621"/>
      <c r="AE56" s="1621"/>
      <c r="AF56" s="1621"/>
      <c r="AG56" s="1621"/>
    </row>
    <row r="57" spans="1:33" s="2263" customFormat="1" ht="15">
      <c r="A57" s="2269" t="s">
        <v>2664</v>
      </c>
      <c r="B57" s="2298">
        <f>1+E59</f>
        <v>1.0462</v>
      </c>
      <c r="C57" s="2272"/>
      <c r="D57" s="2272"/>
      <c r="E57" s="2273"/>
      <c r="F57" s="2274"/>
      <c r="G57" s="606"/>
      <c r="H57" s="606"/>
      <c r="I57" s="606"/>
      <c r="J57" s="606"/>
      <c r="K57" s="606"/>
      <c r="L57" s="606"/>
      <c r="M57" s="606"/>
      <c r="N57" s="606"/>
      <c r="O57" s="1621"/>
      <c r="P57" s="1621"/>
      <c r="Q57" s="3047"/>
      <c r="R57" s="3047"/>
      <c r="S57" s="3047"/>
      <c r="T57" s="3047"/>
      <c r="U57" s="3047"/>
      <c r="V57" s="3047"/>
      <c r="W57" s="3047"/>
      <c r="X57" s="1621"/>
      <c r="Y57" s="1621"/>
      <c r="Z57" s="1621"/>
      <c r="AA57" s="1621"/>
      <c r="AB57" s="1621"/>
      <c r="AC57" s="1621"/>
      <c r="AD57" s="1621"/>
      <c r="AE57" s="1621"/>
      <c r="AF57" s="1621"/>
      <c r="AG57" s="1621"/>
    </row>
    <row r="58" spans="1:33" s="2263" customFormat="1" ht="24.75">
      <c r="A58" s="2276" t="s">
        <v>2639</v>
      </c>
      <c r="B58" s="2288"/>
      <c r="C58" s="2277" t="s">
        <v>2641</v>
      </c>
      <c r="D58" s="2277" t="s">
        <v>2642</v>
      </c>
      <c r="E58" s="2278" t="s">
        <v>2643</v>
      </c>
      <c r="F58" s="2228" t="s">
        <v>2644</v>
      </c>
      <c r="G58" s="2277" t="s">
        <v>2665</v>
      </c>
      <c r="H58" s="2279" t="s">
        <v>2666</v>
      </c>
      <c r="I58" s="2277" t="s">
        <v>2667</v>
      </c>
      <c r="J58" s="1904" t="s">
        <v>2308</v>
      </c>
      <c r="K58" s="1904" t="s">
        <v>2309</v>
      </c>
      <c r="L58" s="1904" t="s">
        <v>2310</v>
      </c>
      <c r="M58" s="1904" t="s">
        <v>2311</v>
      </c>
      <c r="N58" s="1904" t="s">
        <v>2312</v>
      </c>
      <c r="O58" s="1621"/>
      <c r="P58" s="1621"/>
      <c r="Q58" s="3047"/>
      <c r="R58" s="3047"/>
      <c r="S58" s="3047"/>
      <c r="T58" s="3047"/>
      <c r="U58" s="3047"/>
      <c r="V58" s="3047"/>
      <c r="W58" s="3047"/>
      <c r="X58" s="1621"/>
      <c r="Y58" s="1621"/>
      <c r="Z58" s="1621"/>
      <c r="AA58" s="1621"/>
      <c r="AB58" s="1621"/>
      <c r="AC58" s="1621"/>
      <c r="AD58" s="1621"/>
      <c r="AE58" s="1621"/>
      <c r="AF58" s="1621"/>
      <c r="AG58" s="1621"/>
    </row>
    <row r="59" spans="1:33" s="2263" customFormat="1" ht="38.25">
      <c r="A59" s="2276" t="s">
        <v>2668</v>
      </c>
      <c r="B59" s="2280" t="str">
        <f>估价对象房地状况!C17</f>
        <v>估价对象位于XX商圈，周边办公楼项目较多，入驻率高，办公集聚程度较好</v>
      </c>
      <c r="C59" s="2164" t="s">
        <v>30</v>
      </c>
      <c r="D59" s="2281">
        <f t="shared" ref="D59:D67" si="15">SUMIF($J$58:$N$58,C59,J59:N59)</f>
        <v>7.7999999999999996E-3</v>
      </c>
      <c r="E59" s="2282">
        <f>ROUND(SUM(D59:D67),4)</f>
        <v>4.6199999999999998E-2</v>
      </c>
      <c r="F59" s="2283" t="str">
        <f>IF(E2="办公",SUMIF(L1:L12,G2,N1:N12),"——")</f>
        <v>——</v>
      </c>
      <c r="G59" s="2284">
        <v>7.7999999999999996E-3</v>
      </c>
      <c r="H59" s="2285" t="str">
        <f t="shared" ref="H59:H67" si="16">IFERROR(ROUNDDOWN($F$59*I59/2,4),"——")</f>
        <v>——</v>
      </c>
      <c r="I59" s="2286">
        <v>0.24</v>
      </c>
      <c r="J59" s="2287">
        <f t="shared" ref="J59:J67" si="17">K59+$G59</f>
        <v>1.5599999999999999E-2</v>
      </c>
      <c r="K59" s="2287">
        <f t="shared" ref="K59:K67" si="18">$L59+$G59</f>
        <v>7.7999999999999996E-3</v>
      </c>
      <c r="L59" s="2287">
        <v>0</v>
      </c>
      <c r="M59" s="2287">
        <f t="shared" ref="M59:N67" si="19">L59-$G59</f>
        <v>-7.7999999999999996E-3</v>
      </c>
      <c r="N59" s="2287">
        <f t="shared" si="19"/>
        <v>-1.5599999999999999E-2</v>
      </c>
      <c r="O59" s="1621"/>
      <c r="P59" s="1621"/>
      <c r="Q59" s="3047"/>
      <c r="R59" s="3047"/>
      <c r="S59" s="3047"/>
      <c r="T59" s="3047"/>
      <c r="U59" s="3047"/>
      <c r="V59" s="3047"/>
      <c r="W59" s="3047"/>
      <c r="X59" s="1621"/>
      <c r="Y59" s="1621"/>
      <c r="Z59" s="1621"/>
      <c r="AA59" s="1621"/>
      <c r="AB59" s="1621"/>
      <c r="AC59" s="1621"/>
      <c r="AD59" s="1621"/>
      <c r="AE59" s="1621"/>
      <c r="AF59" s="1621"/>
      <c r="AG59" s="1621"/>
    </row>
    <row r="60" spans="1:33" s="2263" customFormat="1" ht="51">
      <c r="A60" s="2276" t="s">
        <v>2654</v>
      </c>
      <c r="B60" s="2288" t="str">
        <f>估价对象房地状况!C18</f>
        <v>估价对象周边道路状况、公共交通通达情况、停车便捷程度，综合评价交通便捷度较好</v>
      </c>
      <c r="C60" s="2164" t="s">
        <v>29</v>
      </c>
      <c r="D60" s="2281">
        <f t="shared" si="15"/>
        <v>1.9400000000000001E-2</v>
      </c>
      <c r="E60" s="2289"/>
      <c r="F60" s="2283"/>
      <c r="G60" s="2284">
        <v>9.7000000000000003E-3</v>
      </c>
      <c r="H60" s="2285" t="str">
        <f t="shared" si="16"/>
        <v>——</v>
      </c>
      <c r="I60" s="2286">
        <v>0.3</v>
      </c>
      <c r="J60" s="2287">
        <f t="shared" si="17"/>
        <v>1.9400000000000001E-2</v>
      </c>
      <c r="K60" s="2287">
        <f t="shared" si="18"/>
        <v>9.7000000000000003E-3</v>
      </c>
      <c r="L60" s="2287">
        <v>0</v>
      </c>
      <c r="M60" s="2287">
        <f t="shared" si="19"/>
        <v>-9.7000000000000003E-3</v>
      </c>
      <c r="N60" s="2287">
        <f t="shared" si="19"/>
        <v>-1.9400000000000001E-2</v>
      </c>
      <c r="O60" s="1621"/>
      <c r="P60" s="1621"/>
      <c r="Q60" s="3047"/>
      <c r="R60" s="3047"/>
      <c r="S60" s="3047"/>
      <c r="T60" s="3047"/>
      <c r="U60" s="3047"/>
      <c r="V60" s="3047"/>
      <c r="W60" s="3047"/>
      <c r="X60" s="1621"/>
      <c r="Y60" s="1621"/>
      <c r="Z60" s="1621"/>
      <c r="AA60" s="1621"/>
      <c r="AB60" s="1621"/>
      <c r="AC60" s="1621"/>
      <c r="AD60" s="1621"/>
      <c r="AE60" s="1621"/>
      <c r="AF60" s="1621"/>
      <c r="AG60" s="1621"/>
    </row>
    <row r="61" spans="1:33" s="2263" customFormat="1" ht="24">
      <c r="A61" s="2276" t="s">
        <v>2655</v>
      </c>
      <c r="B61" s="2288">
        <f>估价对象房地状况!C19</f>
        <v>0</v>
      </c>
      <c r="C61" s="2164" t="s">
        <v>30</v>
      </c>
      <c r="D61" s="2281">
        <f t="shared" si="15"/>
        <v>2.5999999999999999E-3</v>
      </c>
      <c r="E61" s="2289"/>
      <c r="F61" s="2283"/>
      <c r="G61" s="2284">
        <v>2.5999999999999999E-3</v>
      </c>
      <c r="H61" s="2285" t="str">
        <f t="shared" si="16"/>
        <v>——</v>
      </c>
      <c r="I61" s="2286">
        <v>0.08</v>
      </c>
      <c r="J61" s="2287">
        <f t="shared" si="17"/>
        <v>5.1999999999999998E-3</v>
      </c>
      <c r="K61" s="2287">
        <f t="shared" si="18"/>
        <v>2.5999999999999999E-3</v>
      </c>
      <c r="L61" s="2287">
        <v>0</v>
      </c>
      <c r="M61" s="2287">
        <f t="shared" si="19"/>
        <v>-2.5999999999999999E-3</v>
      </c>
      <c r="N61" s="2287">
        <f t="shared" si="19"/>
        <v>-5.1999999999999998E-3</v>
      </c>
      <c r="O61" s="1621"/>
      <c r="P61" s="1621"/>
      <c r="Q61" s="3047"/>
      <c r="R61" s="3047"/>
      <c r="S61" s="3047"/>
      <c r="T61" s="3047"/>
      <c r="U61" s="3047"/>
      <c r="V61" s="3047"/>
      <c r="W61" s="3047"/>
      <c r="X61" s="1621"/>
      <c r="Y61" s="1621"/>
      <c r="Z61" s="1621"/>
      <c r="AA61" s="1621"/>
      <c r="AB61" s="1621"/>
      <c r="AC61" s="1621"/>
      <c r="AD61" s="1621"/>
      <c r="AE61" s="1621"/>
      <c r="AF61" s="1621"/>
      <c r="AG61" s="1621"/>
    </row>
    <row r="62" spans="1:33" s="2263" customFormat="1" ht="36.75">
      <c r="A62" s="2276" t="s">
        <v>2656</v>
      </c>
      <c r="B62" s="2290" t="s">
        <v>2657</v>
      </c>
      <c r="C62" s="2164" t="s">
        <v>30</v>
      </c>
      <c r="D62" s="2281">
        <f t="shared" si="15"/>
        <v>1.2999999999999999E-3</v>
      </c>
      <c r="E62" s="2289"/>
      <c r="F62" s="2283"/>
      <c r="G62" s="2284">
        <v>1.2999999999999999E-3</v>
      </c>
      <c r="H62" s="2285" t="str">
        <f t="shared" si="16"/>
        <v>——</v>
      </c>
      <c r="I62" s="2286">
        <v>0.04</v>
      </c>
      <c r="J62" s="2287">
        <f t="shared" si="17"/>
        <v>2.5999999999999999E-3</v>
      </c>
      <c r="K62" s="2287">
        <f t="shared" si="18"/>
        <v>1.2999999999999999E-3</v>
      </c>
      <c r="L62" s="2287">
        <v>0</v>
      </c>
      <c r="M62" s="2287">
        <f t="shared" si="19"/>
        <v>-1.2999999999999999E-3</v>
      </c>
      <c r="N62" s="2287">
        <f t="shared" si="19"/>
        <v>-2.5999999999999999E-3</v>
      </c>
      <c r="O62" s="1621"/>
      <c r="P62" s="1621"/>
      <c r="Q62" s="3047"/>
      <c r="R62" s="3047"/>
      <c r="S62" s="3047"/>
      <c r="T62" s="3047"/>
      <c r="U62" s="3047"/>
      <c r="V62" s="3047"/>
      <c r="W62" s="3047"/>
      <c r="X62" s="1621"/>
      <c r="Y62" s="1621"/>
      <c r="Z62" s="1621"/>
      <c r="AA62" s="1621"/>
      <c r="AB62" s="1621"/>
      <c r="AC62" s="1621"/>
      <c r="AD62" s="1621"/>
      <c r="AE62" s="1621"/>
      <c r="AF62" s="1621"/>
      <c r="AG62" s="1621"/>
    </row>
    <row r="63" spans="1:33" s="2263" customFormat="1" ht="24">
      <c r="A63" s="2276" t="s">
        <v>2658</v>
      </c>
      <c r="B63" s="2288">
        <f>估价对象房地状况!C24</f>
        <v>0</v>
      </c>
      <c r="C63" s="2164" t="s">
        <v>31</v>
      </c>
      <c r="D63" s="2281">
        <f t="shared" si="15"/>
        <v>0</v>
      </c>
      <c r="E63" s="2289"/>
      <c r="F63" s="2283"/>
      <c r="G63" s="2284">
        <v>1.6000000000000001E-3</v>
      </c>
      <c r="H63" s="2285" t="str">
        <f t="shared" si="16"/>
        <v>——</v>
      </c>
      <c r="I63" s="2286">
        <v>0.05</v>
      </c>
      <c r="J63" s="2287">
        <f t="shared" si="17"/>
        <v>3.2000000000000002E-3</v>
      </c>
      <c r="K63" s="2287">
        <f t="shared" si="18"/>
        <v>1.6000000000000001E-3</v>
      </c>
      <c r="L63" s="2287">
        <v>0</v>
      </c>
      <c r="M63" s="2287">
        <f t="shared" si="19"/>
        <v>-1.6000000000000001E-3</v>
      </c>
      <c r="N63" s="2287">
        <f t="shared" si="19"/>
        <v>-3.2000000000000002E-3</v>
      </c>
      <c r="O63" s="1621"/>
      <c r="P63" s="1621"/>
      <c r="Q63" s="3047"/>
      <c r="R63" s="3047"/>
      <c r="S63" s="3047"/>
      <c r="T63" s="3047"/>
      <c r="U63" s="3047"/>
      <c r="V63" s="3047"/>
      <c r="W63" s="3047"/>
      <c r="X63" s="1621"/>
      <c r="Y63" s="1621"/>
      <c r="Z63" s="1621"/>
      <c r="AA63" s="1621"/>
      <c r="AB63" s="1621"/>
      <c r="AC63" s="1621"/>
      <c r="AD63" s="1621"/>
      <c r="AE63" s="1621"/>
      <c r="AF63" s="1621"/>
      <c r="AG63" s="1621"/>
    </row>
    <row r="64" spans="1:33" s="2263" customFormat="1" ht="24">
      <c r="A64" s="2276" t="s">
        <v>2659</v>
      </c>
      <c r="B64" s="2291" t="s">
        <v>2660</v>
      </c>
      <c r="C64" s="2164" t="s">
        <v>30</v>
      </c>
      <c r="D64" s="2281">
        <f t="shared" si="15"/>
        <v>1.6000000000000001E-3</v>
      </c>
      <c r="E64" s="2289"/>
      <c r="F64" s="2283"/>
      <c r="G64" s="2284">
        <v>1.6000000000000001E-3</v>
      </c>
      <c r="H64" s="2285" t="str">
        <f t="shared" si="16"/>
        <v>——</v>
      </c>
      <c r="I64" s="2286">
        <v>0.05</v>
      </c>
      <c r="J64" s="2287">
        <f t="shared" si="17"/>
        <v>3.2000000000000002E-3</v>
      </c>
      <c r="K64" s="2287">
        <f t="shared" si="18"/>
        <v>1.6000000000000001E-3</v>
      </c>
      <c r="L64" s="2287">
        <v>0</v>
      </c>
      <c r="M64" s="2287">
        <f t="shared" si="19"/>
        <v>-1.6000000000000001E-3</v>
      </c>
      <c r="N64" s="2287">
        <f t="shared" si="19"/>
        <v>-3.2000000000000002E-3</v>
      </c>
      <c r="O64" s="1621"/>
      <c r="P64" s="1621"/>
      <c r="Q64" s="3047"/>
      <c r="R64" s="3047"/>
      <c r="S64" s="3047"/>
      <c r="T64" s="3047"/>
      <c r="U64" s="3047"/>
      <c r="V64" s="3047"/>
      <c r="W64" s="3047"/>
      <c r="X64" s="1621"/>
      <c r="Y64" s="1621"/>
      <c r="Z64" s="1621"/>
      <c r="AA64" s="1621"/>
      <c r="AB64" s="1621"/>
      <c r="AC64" s="1621"/>
      <c r="AD64" s="1621"/>
      <c r="AE64" s="1621"/>
      <c r="AF64" s="1621"/>
      <c r="AG64" s="1621"/>
    </row>
    <row r="65" spans="1:33" s="2263" customFormat="1" ht="25.5">
      <c r="A65" s="2276" t="s">
        <v>2661</v>
      </c>
      <c r="B65" s="2293" t="str">
        <f>估价对象房地状况!C21</f>
        <v>估价对象所在区域公共配套设施齐备情况</v>
      </c>
      <c r="C65" s="2164" t="s">
        <v>29</v>
      </c>
      <c r="D65" s="2281">
        <f t="shared" si="15"/>
        <v>3.8E-3</v>
      </c>
      <c r="E65" s="2289"/>
      <c r="F65" s="2283"/>
      <c r="G65" s="2284">
        <v>1.9E-3</v>
      </c>
      <c r="H65" s="2285" t="str">
        <f t="shared" si="16"/>
        <v>——</v>
      </c>
      <c r="I65" s="2286">
        <v>0.06</v>
      </c>
      <c r="J65" s="2287">
        <f t="shared" si="17"/>
        <v>3.8E-3</v>
      </c>
      <c r="K65" s="2287">
        <f t="shared" si="18"/>
        <v>1.9E-3</v>
      </c>
      <c r="L65" s="2287">
        <v>0</v>
      </c>
      <c r="M65" s="2287">
        <f t="shared" si="19"/>
        <v>-1.9E-3</v>
      </c>
      <c r="N65" s="2287">
        <f t="shared" si="19"/>
        <v>-3.8E-3</v>
      </c>
      <c r="O65" s="1621"/>
      <c r="P65" s="1621"/>
      <c r="Q65" s="3047"/>
      <c r="R65" s="3047"/>
      <c r="S65" s="3047"/>
      <c r="T65" s="3047"/>
      <c r="U65" s="3047"/>
      <c r="V65" s="3047"/>
      <c r="W65" s="3047"/>
      <c r="X65" s="1621"/>
      <c r="Y65" s="1621"/>
      <c r="Z65" s="1621"/>
      <c r="AA65" s="1621"/>
      <c r="AB65" s="1621"/>
      <c r="AC65" s="1621"/>
      <c r="AD65" s="1621"/>
      <c r="AE65" s="1621"/>
      <c r="AF65" s="1621"/>
      <c r="AG65" s="1621"/>
    </row>
    <row r="66" spans="1:33" s="2263" customFormat="1" ht="25.5">
      <c r="A66" s="2276" t="s">
        <v>2662</v>
      </c>
      <c r="B66" s="2293" t="str">
        <f>估价对象房地状况!C22</f>
        <v>估价对象所在区域基础设施水平</v>
      </c>
      <c r="C66" s="2164" t="s">
        <v>29</v>
      </c>
      <c r="D66" s="2281">
        <f t="shared" si="15"/>
        <v>7.7999999999999996E-3</v>
      </c>
      <c r="E66" s="2289"/>
      <c r="F66" s="2283"/>
      <c r="G66" s="2284">
        <v>3.8999999999999998E-3</v>
      </c>
      <c r="H66" s="2285" t="str">
        <f t="shared" si="16"/>
        <v>——</v>
      </c>
      <c r="I66" s="2286">
        <v>0.12</v>
      </c>
      <c r="J66" s="2287">
        <f t="shared" si="17"/>
        <v>7.7999999999999996E-3</v>
      </c>
      <c r="K66" s="2287">
        <f t="shared" si="18"/>
        <v>3.8999999999999998E-3</v>
      </c>
      <c r="L66" s="2287">
        <v>0</v>
      </c>
      <c r="M66" s="2287">
        <f t="shared" si="19"/>
        <v>-3.8999999999999998E-3</v>
      </c>
      <c r="N66" s="2287">
        <f t="shared" si="19"/>
        <v>-7.7999999999999996E-3</v>
      </c>
      <c r="O66" s="1621"/>
      <c r="P66" s="1621"/>
      <c r="Q66" s="3047"/>
      <c r="R66" s="3047"/>
      <c r="S66" s="3047"/>
      <c r="T66" s="3047"/>
      <c r="U66" s="3047"/>
      <c r="V66" s="3047"/>
      <c r="W66" s="3047"/>
      <c r="X66" s="1621"/>
      <c r="Y66" s="1621"/>
      <c r="Z66" s="1621"/>
      <c r="AA66" s="1621"/>
      <c r="AB66" s="1621"/>
      <c r="AC66" s="1621"/>
      <c r="AD66" s="1621"/>
      <c r="AE66" s="1621"/>
      <c r="AF66" s="1621"/>
      <c r="AG66" s="1621"/>
    </row>
    <row r="67" spans="1:33" s="2263" customFormat="1" ht="39" thickBot="1">
      <c r="A67" s="2294" t="s">
        <v>2663</v>
      </c>
      <c r="B67" s="2299" t="str">
        <f>估价对象房地状况!C20</f>
        <v>区域自然环境：；人文环境；综合评价环境状况一般</v>
      </c>
      <c r="C67" s="2164" t="s">
        <v>30</v>
      </c>
      <c r="D67" s="2281">
        <f t="shared" si="15"/>
        <v>1.9E-3</v>
      </c>
      <c r="E67" s="2296"/>
      <c r="F67" s="2283"/>
      <c r="G67" s="2284">
        <v>1.9E-3</v>
      </c>
      <c r="H67" s="2285" t="str">
        <f t="shared" si="16"/>
        <v>——</v>
      </c>
      <c r="I67" s="2297">
        <v>0.06</v>
      </c>
      <c r="J67" s="2287">
        <f t="shared" si="17"/>
        <v>3.8E-3</v>
      </c>
      <c r="K67" s="2287">
        <f t="shared" si="18"/>
        <v>1.9E-3</v>
      </c>
      <c r="L67" s="2287">
        <v>0</v>
      </c>
      <c r="M67" s="2287">
        <f t="shared" si="19"/>
        <v>-1.9E-3</v>
      </c>
      <c r="N67" s="2287">
        <f t="shared" si="19"/>
        <v>-3.8E-3</v>
      </c>
      <c r="O67" s="1621"/>
      <c r="P67" s="1621"/>
      <c r="Q67" s="3047"/>
      <c r="R67" s="3047"/>
      <c r="S67" s="3047"/>
      <c r="T67" s="3047"/>
      <c r="U67" s="3047"/>
      <c r="V67" s="3047"/>
      <c r="W67" s="3047"/>
      <c r="X67" s="1621"/>
      <c r="Y67" s="1621"/>
      <c r="Z67" s="1621"/>
      <c r="AA67" s="1621"/>
      <c r="AB67" s="1621"/>
      <c r="AC67" s="1621"/>
      <c r="AD67" s="1621"/>
      <c r="AE67" s="1621"/>
      <c r="AF67" s="1621"/>
      <c r="AG67" s="1621"/>
    </row>
    <row r="68" spans="1:33" s="2263" customFormat="1" ht="15">
      <c r="A68" s="2269" t="s">
        <v>2669</v>
      </c>
      <c r="B68" s="2298">
        <f>1+E70</f>
        <v>1</v>
      </c>
      <c r="C68" s="2272"/>
      <c r="D68" s="2272"/>
      <c r="E68" s="2273"/>
      <c r="F68" s="2274"/>
      <c r="G68" s="606"/>
      <c r="H68" s="606"/>
      <c r="I68" s="606"/>
      <c r="J68" s="606"/>
      <c r="K68" s="606"/>
      <c r="L68" s="606"/>
      <c r="M68" s="606"/>
      <c r="N68" s="606"/>
      <c r="O68" s="1621"/>
      <c r="P68" s="1621"/>
      <c r="Q68" s="3047"/>
      <c r="R68" s="3047"/>
      <c r="S68" s="3047"/>
      <c r="T68" s="3047"/>
      <c r="U68" s="3047"/>
      <c r="V68" s="3047"/>
      <c r="W68" s="3047"/>
      <c r="X68" s="1621"/>
      <c r="Y68" s="1621"/>
      <c r="Z68" s="1621"/>
      <c r="AA68" s="1621"/>
      <c r="AB68" s="1621"/>
      <c r="AC68" s="1621"/>
      <c r="AD68" s="1621"/>
      <c r="AE68" s="1621"/>
      <c r="AF68" s="1621"/>
      <c r="AG68" s="1621"/>
    </row>
    <row r="69" spans="1:33" s="2263" customFormat="1" ht="24.75">
      <c r="A69" s="2276" t="s">
        <v>2639</v>
      </c>
      <c r="B69" s="2288"/>
      <c r="C69" s="2277" t="s">
        <v>2641</v>
      </c>
      <c r="D69" s="2277" t="s">
        <v>2642</v>
      </c>
      <c r="E69" s="2278" t="s">
        <v>2643</v>
      </c>
      <c r="F69" s="2228" t="s">
        <v>2644</v>
      </c>
      <c r="G69" s="2277" t="s">
        <v>2665</v>
      </c>
      <c r="H69" s="2279" t="s">
        <v>2666</v>
      </c>
      <c r="I69" s="2277" t="s">
        <v>2667</v>
      </c>
      <c r="J69" s="1904" t="s">
        <v>2308</v>
      </c>
      <c r="K69" s="1904" t="s">
        <v>2309</v>
      </c>
      <c r="L69" s="1904" t="s">
        <v>2310</v>
      </c>
      <c r="M69" s="1904" t="s">
        <v>2311</v>
      </c>
      <c r="N69" s="1904" t="s">
        <v>2312</v>
      </c>
      <c r="O69" s="1621"/>
      <c r="P69" s="1621"/>
      <c r="Q69" s="3047"/>
      <c r="R69" s="3047"/>
      <c r="S69" s="3047"/>
      <c r="T69" s="3047"/>
      <c r="U69" s="3047"/>
      <c r="V69" s="3047"/>
      <c r="W69" s="3047"/>
      <c r="X69" s="1621"/>
      <c r="Y69" s="1621"/>
      <c r="Z69" s="1621"/>
      <c r="AA69" s="1621"/>
      <c r="AB69" s="1621"/>
      <c r="AC69" s="1621"/>
      <c r="AD69" s="1621"/>
      <c r="AE69" s="1621"/>
      <c r="AF69" s="1621"/>
      <c r="AG69" s="1621"/>
    </row>
    <row r="70" spans="1:33" s="2263" customFormat="1" ht="51">
      <c r="A70" s="2276" t="s">
        <v>2670</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t="str">
        <f>IF(E2="住宅",SUMIF(L1:L12,G2,N1:N12),"——")</f>
        <v>——</v>
      </c>
      <c r="G70" s="2284"/>
      <c r="H70" s="2285" t="str">
        <f t="shared" ref="H70:H78" si="21">IFERROR(ROUNDDOWN($F$70*I70/2,4),"——")</f>
        <v>——</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7"/>
      <c r="R70" s="3047"/>
      <c r="S70" s="3047"/>
      <c r="T70" s="3047"/>
      <c r="U70" s="3047"/>
      <c r="V70" s="3047"/>
      <c r="W70" s="3047"/>
      <c r="X70" s="1621"/>
      <c r="Y70" s="1621"/>
      <c r="Z70" s="1621"/>
      <c r="AA70" s="1621"/>
      <c r="AB70" s="1621"/>
      <c r="AC70" s="1621"/>
      <c r="AD70" s="1621"/>
      <c r="AE70" s="1621"/>
      <c r="AF70" s="1621"/>
      <c r="AG70" s="1621"/>
    </row>
    <row r="71" spans="1:33" s="2263" customFormat="1" ht="51">
      <c r="A71" s="2276" t="s">
        <v>2654</v>
      </c>
      <c r="B71" s="2288" t="str">
        <f>估价对象房地状况!C18</f>
        <v>估价对象周边道路状况、公共交通通达情况、停车便捷程度，综合评价交通便捷度较好</v>
      </c>
      <c r="C71" s="2164"/>
      <c r="D71" s="2281">
        <f t="shared" si="20"/>
        <v>0</v>
      </c>
      <c r="E71" s="2289"/>
      <c r="F71" s="2283"/>
      <c r="G71" s="2284"/>
      <c r="H71" s="2285" t="str">
        <f t="shared" si="21"/>
        <v>——</v>
      </c>
      <c r="I71" s="2286">
        <v>0.3</v>
      </c>
      <c r="J71" s="2287">
        <f t="shared" si="22"/>
        <v>0</v>
      </c>
      <c r="K71" s="2287">
        <f t="shared" si="23"/>
        <v>0</v>
      </c>
      <c r="L71" s="2287">
        <v>0</v>
      </c>
      <c r="M71" s="2287">
        <f t="shared" si="24"/>
        <v>0</v>
      </c>
      <c r="N71" s="2287">
        <f t="shared" si="24"/>
        <v>0</v>
      </c>
      <c r="O71" s="1621"/>
      <c r="P71" s="1621"/>
      <c r="Q71" s="3047"/>
      <c r="R71" s="3047"/>
      <c r="S71" s="3047"/>
      <c r="T71" s="3047"/>
      <c r="U71" s="3047"/>
      <c r="V71" s="3047"/>
      <c r="W71" s="3047"/>
      <c r="X71" s="1621"/>
      <c r="Y71" s="1621"/>
      <c r="Z71" s="1621"/>
      <c r="AA71" s="1621"/>
      <c r="AB71" s="1621"/>
      <c r="AC71" s="1621"/>
      <c r="AD71" s="1621"/>
      <c r="AE71" s="1621"/>
      <c r="AF71" s="1621"/>
      <c r="AG71" s="1621"/>
    </row>
    <row r="72" spans="1:33" s="2263" customFormat="1" ht="24">
      <c r="A72" s="2276" t="s">
        <v>2655</v>
      </c>
      <c r="B72" s="2288">
        <f>估价对象房地状况!C19</f>
        <v>0</v>
      </c>
      <c r="C72" s="2164"/>
      <c r="D72" s="2281">
        <f t="shared" si="20"/>
        <v>0</v>
      </c>
      <c r="E72" s="2289"/>
      <c r="F72" s="2283"/>
      <c r="G72" s="2284"/>
      <c r="H72" s="2285" t="str">
        <f t="shared" si="21"/>
        <v>——</v>
      </c>
      <c r="I72" s="2286">
        <v>0.08</v>
      </c>
      <c r="J72" s="2287">
        <f t="shared" si="22"/>
        <v>0</v>
      </c>
      <c r="K72" s="2287">
        <f t="shared" si="23"/>
        <v>0</v>
      </c>
      <c r="L72" s="2287">
        <v>0</v>
      </c>
      <c r="M72" s="2287">
        <f t="shared" si="24"/>
        <v>0</v>
      </c>
      <c r="N72" s="2287">
        <f t="shared" si="24"/>
        <v>0</v>
      </c>
      <c r="O72" s="1621"/>
      <c r="P72" s="1621"/>
      <c r="Q72" s="3047"/>
      <c r="R72" s="3047"/>
      <c r="S72" s="3047"/>
      <c r="T72" s="3047"/>
      <c r="U72" s="3047"/>
      <c r="V72" s="3047"/>
      <c r="W72" s="3047"/>
      <c r="X72" s="1621"/>
      <c r="Y72" s="1621"/>
      <c r="Z72" s="1621"/>
      <c r="AA72" s="1621"/>
      <c r="AB72" s="1621"/>
      <c r="AC72" s="1621"/>
      <c r="AD72" s="1621"/>
      <c r="AE72" s="1621"/>
      <c r="AF72" s="1621"/>
      <c r="AG72" s="1621"/>
    </row>
    <row r="73" spans="1:33" s="2263" customFormat="1" ht="14.25">
      <c r="A73" s="2276" t="s">
        <v>2671</v>
      </c>
      <c r="B73" s="2288">
        <f>估价对象房地状况!C24</f>
        <v>0</v>
      </c>
      <c r="C73" s="2164"/>
      <c r="D73" s="2281">
        <f t="shared" si="20"/>
        <v>0</v>
      </c>
      <c r="E73" s="2289"/>
      <c r="F73" s="2283"/>
      <c r="G73" s="2284"/>
      <c r="H73" s="2285" t="str">
        <f t="shared" si="21"/>
        <v>——</v>
      </c>
      <c r="I73" s="2286">
        <v>0.04</v>
      </c>
      <c r="J73" s="2287">
        <f t="shared" si="22"/>
        <v>0</v>
      </c>
      <c r="K73" s="2287">
        <f t="shared" si="23"/>
        <v>0</v>
      </c>
      <c r="L73" s="2287">
        <v>0</v>
      </c>
      <c r="M73" s="2287">
        <f t="shared" si="24"/>
        <v>0</v>
      </c>
      <c r="N73" s="2287">
        <f t="shared" si="24"/>
        <v>0</v>
      </c>
      <c r="O73" s="1621"/>
      <c r="P73" s="1621"/>
      <c r="Q73" s="3047"/>
      <c r="R73" s="3047"/>
      <c r="S73" s="3047"/>
      <c r="T73" s="3047"/>
      <c r="U73" s="3047"/>
      <c r="V73" s="3047"/>
      <c r="W73" s="3047"/>
      <c r="X73" s="1621"/>
      <c r="Y73" s="1621"/>
      <c r="Z73" s="1621"/>
      <c r="AA73" s="1621"/>
      <c r="AB73" s="1621"/>
      <c r="AC73" s="1621"/>
      <c r="AD73" s="1621"/>
      <c r="AE73" s="1621"/>
      <c r="AF73" s="1621"/>
      <c r="AG73" s="1621"/>
    </row>
    <row r="74" spans="1:33" s="2263" customFormat="1" ht="25.5">
      <c r="A74" s="2276" t="s">
        <v>2661</v>
      </c>
      <c r="B74" s="2293" t="str">
        <f>估价对象房地状况!C21</f>
        <v>估价对象所在区域公共配套设施齐备情况</v>
      </c>
      <c r="C74" s="2164"/>
      <c r="D74" s="2281">
        <f t="shared" si="20"/>
        <v>0</v>
      </c>
      <c r="E74" s="2289"/>
      <c r="F74" s="2283"/>
      <c r="G74" s="2284"/>
      <c r="H74" s="2285" t="str">
        <f t="shared" si="21"/>
        <v>——</v>
      </c>
      <c r="I74" s="2286">
        <v>0.08</v>
      </c>
      <c r="J74" s="2287">
        <f t="shared" si="22"/>
        <v>0</v>
      </c>
      <c r="K74" s="2287">
        <f t="shared" si="23"/>
        <v>0</v>
      </c>
      <c r="L74" s="2287">
        <v>0</v>
      </c>
      <c r="M74" s="2287">
        <f t="shared" si="24"/>
        <v>0</v>
      </c>
      <c r="N74" s="2287">
        <f t="shared" si="24"/>
        <v>0</v>
      </c>
      <c r="O74" s="1621"/>
      <c r="P74" s="1621"/>
      <c r="Q74" s="3047"/>
      <c r="R74" s="3047"/>
      <c r="S74" s="3047"/>
      <c r="T74" s="3047"/>
      <c r="U74" s="3047"/>
      <c r="V74" s="3047"/>
      <c r="W74" s="3047"/>
      <c r="X74" s="1621"/>
      <c r="Y74" s="1621"/>
      <c r="Z74" s="1621"/>
      <c r="AA74" s="1621"/>
      <c r="AB74" s="1621"/>
      <c r="AC74" s="1621"/>
      <c r="AD74" s="1621"/>
      <c r="AE74" s="1621"/>
      <c r="AF74" s="1621"/>
      <c r="AG74" s="1621"/>
    </row>
    <row r="75" spans="1:33" s="2263" customFormat="1" ht="25.5">
      <c r="A75" s="2276" t="s">
        <v>2662</v>
      </c>
      <c r="B75" s="2293" t="str">
        <f>估价对象房地状况!C22</f>
        <v>估价对象所在区域基础设施水平</v>
      </c>
      <c r="C75" s="2164"/>
      <c r="D75" s="2281">
        <f t="shared" si="20"/>
        <v>0</v>
      </c>
      <c r="E75" s="2289"/>
      <c r="F75" s="2283"/>
      <c r="G75" s="2284"/>
      <c r="H75" s="2285" t="str">
        <f t="shared" si="21"/>
        <v>——</v>
      </c>
      <c r="I75" s="2286">
        <v>0.12</v>
      </c>
      <c r="J75" s="2287">
        <f t="shared" si="22"/>
        <v>0</v>
      </c>
      <c r="K75" s="2287">
        <f t="shared" si="23"/>
        <v>0</v>
      </c>
      <c r="L75" s="2287">
        <v>0</v>
      </c>
      <c r="M75" s="2287">
        <f t="shared" si="24"/>
        <v>0</v>
      </c>
      <c r="N75" s="2287">
        <f t="shared" si="24"/>
        <v>0</v>
      </c>
      <c r="O75" s="1621"/>
      <c r="P75" s="1621"/>
      <c r="Q75" s="3047"/>
      <c r="R75" s="3047"/>
      <c r="S75" s="3047"/>
      <c r="T75" s="3047"/>
      <c r="U75" s="3047"/>
      <c r="V75" s="3047"/>
      <c r="W75" s="3047"/>
      <c r="X75" s="1621"/>
      <c r="Y75" s="1621"/>
      <c r="Z75" s="1621"/>
      <c r="AA75" s="1621"/>
      <c r="AB75" s="1621"/>
      <c r="AC75" s="1621"/>
      <c r="AD75" s="1621"/>
      <c r="AE75" s="1621"/>
      <c r="AF75" s="1621"/>
      <c r="AG75" s="1621"/>
    </row>
    <row r="76" spans="1:33" ht="24">
      <c r="A76" s="2276" t="s">
        <v>2659</v>
      </c>
      <c r="B76" s="2291" t="s">
        <v>2660</v>
      </c>
      <c r="C76" s="2164"/>
      <c r="D76" s="2281">
        <f t="shared" si="20"/>
        <v>0</v>
      </c>
      <c r="E76" s="2289"/>
      <c r="F76" s="2283"/>
      <c r="G76" s="2284"/>
      <c r="H76" s="2285" t="str">
        <f t="shared" si="21"/>
        <v>——</v>
      </c>
      <c r="I76" s="2286">
        <v>0.05</v>
      </c>
      <c r="J76" s="2287">
        <f t="shared" si="22"/>
        <v>0</v>
      </c>
      <c r="K76" s="2287">
        <f t="shared" si="23"/>
        <v>0</v>
      </c>
      <c r="L76" s="2287">
        <v>0</v>
      </c>
      <c r="M76" s="2287">
        <f t="shared" si="24"/>
        <v>0</v>
      </c>
      <c r="N76" s="2287">
        <f t="shared" si="24"/>
        <v>0</v>
      </c>
      <c r="Q76" s="3055"/>
      <c r="R76" s="3055"/>
      <c r="S76" s="3055"/>
      <c r="T76" s="3055"/>
      <c r="U76" s="3055"/>
      <c r="V76" s="3055"/>
      <c r="W76" s="3055"/>
      <c r="AA76" s="1622"/>
      <c r="AG76" s="2263"/>
    </row>
    <row r="77" spans="1:33" ht="38.25">
      <c r="A77" s="2276" t="s">
        <v>2663</v>
      </c>
      <c r="B77" s="2280" t="str">
        <f>估价对象房地状况!C20</f>
        <v>区域自然环境：；人文环境；综合评价环境状况一般</v>
      </c>
      <c r="C77" s="2164"/>
      <c r="D77" s="2281">
        <f t="shared" si="20"/>
        <v>0</v>
      </c>
      <c r="E77" s="2289"/>
      <c r="F77" s="2283"/>
      <c r="G77" s="2284"/>
      <c r="H77" s="2285" t="str">
        <f t="shared" si="21"/>
        <v>——</v>
      </c>
      <c r="I77" s="2286">
        <v>0.15</v>
      </c>
      <c r="J77" s="2287">
        <f t="shared" si="22"/>
        <v>0</v>
      </c>
      <c r="K77" s="2287">
        <f t="shared" si="23"/>
        <v>0</v>
      </c>
      <c r="L77" s="2287">
        <v>0</v>
      </c>
      <c r="M77" s="2287">
        <f t="shared" si="24"/>
        <v>0</v>
      </c>
      <c r="N77" s="2287">
        <f t="shared" si="24"/>
        <v>0</v>
      </c>
      <c r="Q77" s="3055"/>
      <c r="R77" s="3055"/>
      <c r="S77" s="3055"/>
      <c r="T77" s="3055"/>
      <c r="U77" s="3055"/>
      <c r="V77" s="3055"/>
      <c r="W77" s="3055"/>
      <c r="AA77" s="1622"/>
      <c r="AG77" s="2263"/>
    </row>
    <row r="78" spans="1:33" ht="24.75" thickBot="1">
      <c r="A78" s="2294" t="s">
        <v>2672</v>
      </c>
      <c r="B78" s="2300"/>
      <c r="C78" s="2164"/>
      <c r="D78" s="2281">
        <f t="shared" si="20"/>
        <v>0</v>
      </c>
      <c r="E78" s="2296"/>
      <c r="F78" s="2283"/>
      <c r="G78" s="2284"/>
      <c r="H78" s="2285" t="str">
        <f t="shared" si="21"/>
        <v>——</v>
      </c>
      <c r="I78" s="2297">
        <v>0.04</v>
      </c>
      <c r="J78" s="2287">
        <f t="shared" si="22"/>
        <v>0</v>
      </c>
      <c r="K78" s="2287">
        <f t="shared" si="23"/>
        <v>0</v>
      </c>
      <c r="L78" s="2287">
        <v>0</v>
      </c>
      <c r="M78" s="2287">
        <f t="shared" si="24"/>
        <v>0</v>
      </c>
      <c r="N78" s="2287">
        <f t="shared" si="24"/>
        <v>0</v>
      </c>
      <c r="Q78" s="3055"/>
      <c r="R78" s="3055"/>
      <c r="S78" s="3055"/>
      <c r="T78" s="3055"/>
      <c r="U78" s="3055"/>
      <c r="V78" s="3055"/>
      <c r="W78" s="3055"/>
      <c r="AA78" s="1622"/>
      <c r="AG78" s="2263"/>
    </row>
    <row r="79" spans="1:33" ht="15">
      <c r="A79" s="2269" t="s">
        <v>2673</v>
      </c>
      <c r="B79" s="2298">
        <f>1+E81</f>
        <v>1</v>
      </c>
      <c r="C79" s="2272"/>
      <c r="D79" s="2272"/>
      <c r="E79" s="2273"/>
      <c r="F79" s="2274"/>
      <c r="G79" s="606"/>
      <c r="H79" s="606"/>
      <c r="I79" s="606"/>
      <c r="J79" s="606"/>
      <c r="K79" s="606"/>
      <c r="L79" s="606"/>
      <c r="M79" s="606"/>
      <c r="N79" s="606"/>
      <c r="Q79" s="3055"/>
      <c r="R79" s="3055"/>
      <c r="S79" s="3055"/>
      <c r="T79" s="3055"/>
      <c r="U79" s="3055"/>
      <c r="V79" s="3055"/>
      <c r="W79" s="3055"/>
      <c r="AA79" s="1622"/>
      <c r="AG79" s="2263"/>
    </row>
    <row r="80" spans="1:33" ht="24.75">
      <c r="A80" s="2276" t="s">
        <v>2639</v>
      </c>
      <c r="B80" s="2288"/>
      <c r="C80" s="2277" t="s">
        <v>2641</v>
      </c>
      <c r="D80" s="2277" t="s">
        <v>2642</v>
      </c>
      <c r="E80" s="2278" t="s">
        <v>2643</v>
      </c>
      <c r="F80" s="2228" t="s">
        <v>2644</v>
      </c>
      <c r="G80" s="2277" t="s">
        <v>2665</v>
      </c>
      <c r="H80" s="2279" t="s">
        <v>2666</v>
      </c>
      <c r="I80" s="2277" t="s">
        <v>2667</v>
      </c>
      <c r="J80" s="1904" t="s">
        <v>2308</v>
      </c>
      <c r="K80" s="1904" t="s">
        <v>2309</v>
      </c>
      <c r="L80" s="1904" t="s">
        <v>2310</v>
      </c>
      <c r="M80" s="1904" t="s">
        <v>2311</v>
      </c>
      <c r="N80" s="1904" t="s">
        <v>2312</v>
      </c>
      <c r="Q80" s="3055"/>
      <c r="R80" s="3055"/>
      <c r="S80" s="3055"/>
      <c r="T80" s="3055"/>
      <c r="U80" s="3055"/>
      <c r="V80" s="3055"/>
      <c r="W80" s="3055"/>
      <c r="AA80" s="1622"/>
      <c r="AG80" s="2263"/>
    </row>
    <row r="81" spans="1:33" ht="38.25">
      <c r="A81" s="2276" t="s">
        <v>2674</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5"/>
      <c r="R81" s="3055"/>
      <c r="S81" s="3055"/>
      <c r="T81" s="3055"/>
      <c r="U81" s="3055"/>
      <c r="V81" s="3055"/>
      <c r="W81" s="3055"/>
      <c r="AA81" s="1622"/>
      <c r="AG81" s="2263"/>
    </row>
    <row r="82" spans="1:33" ht="51">
      <c r="A82" s="2276" t="s">
        <v>2654</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5"/>
      <c r="R82" s="3055"/>
      <c r="S82" s="3055"/>
      <c r="T82" s="3055"/>
      <c r="U82" s="3055"/>
      <c r="V82" s="3055"/>
      <c r="W82" s="3055"/>
      <c r="AA82" s="1622"/>
      <c r="AG82" s="2263"/>
    </row>
    <row r="83" spans="1:33" ht="24">
      <c r="A83" s="2276" t="s">
        <v>2655</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5"/>
      <c r="R83" s="3055"/>
      <c r="S83" s="3055"/>
      <c r="T83" s="3055"/>
      <c r="U83" s="3055"/>
      <c r="V83" s="3055"/>
      <c r="W83" s="3055"/>
      <c r="AA83" s="1622"/>
      <c r="AG83" s="2263"/>
    </row>
    <row r="84" spans="1:33" ht="14.25">
      <c r="A84" s="2276" t="s">
        <v>2671</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5"/>
      <c r="R84" s="3055"/>
      <c r="S84" s="3055"/>
      <c r="T84" s="3055"/>
      <c r="U84" s="3055"/>
      <c r="V84" s="3055"/>
      <c r="W84" s="3055"/>
      <c r="AA84" s="1622"/>
      <c r="AG84" s="2263"/>
    </row>
    <row r="85" spans="1:33" ht="25.5">
      <c r="A85" s="2276" t="s">
        <v>2661</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5"/>
      <c r="R85" s="3055"/>
      <c r="S85" s="3055"/>
      <c r="T85" s="3055"/>
      <c r="U85" s="3055"/>
      <c r="V85" s="3055"/>
      <c r="W85" s="3055"/>
      <c r="AA85" s="1622"/>
      <c r="AG85" s="2263"/>
    </row>
    <row r="86" spans="1:33" ht="25.5">
      <c r="A86" s="2276" t="s">
        <v>2662</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5"/>
      <c r="R86" s="3055"/>
      <c r="S86" s="3055"/>
      <c r="T86" s="3055"/>
      <c r="U86" s="3055"/>
      <c r="V86" s="3055"/>
      <c r="W86" s="3055"/>
      <c r="AA86" s="1622"/>
      <c r="AG86" s="2263"/>
    </row>
    <row r="87" spans="1:33" ht="24">
      <c r="A87" s="2276" t="s">
        <v>2659</v>
      </c>
      <c r="B87" s="2291" t="s">
        <v>2660</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5"/>
      <c r="R87" s="3055"/>
      <c r="S87" s="3055"/>
      <c r="T87" s="3055"/>
      <c r="U87" s="3055"/>
      <c r="V87" s="3055"/>
      <c r="W87" s="3055"/>
      <c r="AA87" s="1622"/>
      <c r="AG87" s="2263"/>
    </row>
    <row r="88" spans="1:33" ht="39" thickBot="1">
      <c r="A88" s="2294" t="s">
        <v>2675</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5"/>
      <c r="R88" s="3055"/>
      <c r="S88" s="3055"/>
      <c r="T88" s="3055"/>
      <c r="U88" s="3055"/>
      <c r="V88" s="3055"/>
      <c r="W88" s="3055"/>
      <c r="AA88" s="1622"/>
      <c r="AG88" s="2263"/>
    </row>
    <row r="89" spans="1:33">
      <c r="Q89" s="3055"/>
      <c r="R89" s="3055"/>
      <c r="S89" s="3055"/>
      <c r="T89" s="3055"/>
      <c r="U89" s="3055"/>
      <c r="V89" s="3055"/>
      <c r="W89" s="3055"/>
    </row>
    <row r="90" spans="1:33">
      <c r="A90" s="3552" t="s">
        <v>2676</v>
      </c>
      <c r="B90" s="3552"/>
      <c r="C90" s="3552"/>
      <c r="D90" s="3552"/>
      <c r="E90" s="3552"/>
      <c r="F90" s="3552"/>
      <c r="G90" s="3552"/>
      <c r="H90" s="3552"/>
      <c r="I90" s="3552"/>
      <c r="J90" s="3552"/>
      <c r="K90" s="2304"/>
      <c r="L90" s="2304"/>
      <c r="M90" s="2304"/>
      <c r="N90" s="2304"/>
      <c r="Q90" s="3055"/>
      <c r="R90" s="3055"/>
      <c r="S90" s="3055"/>
      <c r="T90" s="3055"/>
      <c r="U90" s="3055"/>
      <c r="V90" s="3055"/>
      <c r="W90" s="3055"/>
    </row>
    <row r="91" spans="1:33">
      <c r="A91" s="3554" t="s">
        <v>2677</v>
      </c>
      <c r="B91" s="3554" t="s">
        <v>2678</v>
      </c>
      <c r="C91" s="2243" t="s">
        <v>2679</v>
      </c>
      <c r="D91" s="2244"/>
      <c r="E91" s="2244"/>
      <c r="F91" s="2244"/>
      <c r="G91" s="2244"/>
      <c r="H91" s="2244"/>
      <c r="I91" s="2244"/>
      <c r="J91" s="2306"/>
      <c r="K91" s="2066"/>
      <c r="L91" s="2066"/>
      <c r="M91" s="2066"/>
      <c r="N91" s="2066"/>
      <c r="Q91" s="3055"/>
      <c r="R91" s="3055"/>
      <c r="S91" s="3055"/>
      <c r="T91" s="3055"/>
      <c r="U91" s="3055"/>
      <c r="V91" s="3055"/>
      <c r="W91" s="3055"/>
    </row>
    <row r="92" spans="1:33">
      <c r="A92" s="3554"/>
      <c r="B92" s="3554"/>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5"/>
      <c r="R92" s="3055"/>
      <c r="S92" s="3055"/>
      <c r="T92" s="3055"/>
      <c r="U92" s="3055"/>
      <c r="V92" s="3055"/>
      <c r="W92" s="3055"/>
    </row>
    <row r="93" spans="1:33">
      <c r="A93" s="3555" t="s">
        <v>2680</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5"/>
      <c r="R93" s="3055"/>
      <c r="S93" s="3055"/>
      <c r="T93" s="3055"/>
      <c r="U93" s="3055"/>
      <c r="V93" s="3055"/>
      <c r="W93" s="3055"/>
    </row>
    <row r="94" spans="1:33">
      <c r="A94" s="3556"/>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5"/>
      <c r="R94" s="3055"/>
      <c r="S94" s="3055"/>
      <c r="T94" s="3055"/>
      <c r="U94" s="3055"/>
      <c r="V94" s="3055"/>
      <c r="W94" s="3055"/>
    </row>
    <row r="95" spans="1:33">
      <c r="A95" s="3556"/>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5"/>
      <c r="R95" s="3055"/>
      <c r="S95" s="3055"/>
      <c r="T95" s="3055"/>
      <c r="U95" s="3055"/>
      <c r="V95" s="3055"/>
      <c r="W95" s="3055"/>
    </row>
    <row r="96" spans="1:33">
      <c r="A96" s="3556"/>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5"/>
      <c r="R96" s="3055"/>
      <c r="S96" s="3055"/>
      <c r="T96" s="3055"/>
      <c r="U96" s="3055"/>
      <c r="V96" s="3055"/>
      <c r="W96" s="3055"/>
    </row>
    <row r="97" spans="1:23">
      <c r="A97" s="3556"/>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5"/>
      <c r="R97" s="3055"/>
      <c r="S97" s="3055"/>
      <c r="T97" s="3055"/>
      <c r="U97" s="3055"/>
      <c r="V97" s="3055"/>
      <c r="W97" s="3055"/>
    </row>
    <row r="98" spans="1:23">
      <c r="A98" s="3556"/>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5"/>
      <c r="R98" s="3055"/>
      <c r="S98" s="3055"/>
      <c r="T98" s="3055"/>
      <c r="U98" s="3055"/>
      <c r="V98" s="3055"/>
      <c r="W98" s="3055"/>
    </row>
    <row r="99" spans="1:23">
      <c r="A99" s="3556"/>
      <c r="B99" s="2307" t="s">
        <v>2549</v>
      </c>
      <c r="C99" s="2309">
        <f>$I$3</f>
        <v>2</v>
      </c>
      <c r="D99" s="2309">
        <f t="shared" ref="D99:M99" si="30">$I$3</f>
        <v>2</v>
      </c>
      <c r="E99" s="2309">
        <f t="shared" si="30"/>
        <v>2</v>
      </c>
      <c r="F99" s="2309">
        <f t="shared" si="30"/>
        <v>2</v>
      </c>
      <c r="G99" s="2309">
        <f t="shared" si="30"/>
        <v>2</v>
      </c>
      <c r="H99" s="2309">
        <f t="shared" si="30"/>
        <v>2</v>
      </c>
      <c r="I99" s="2309">
        <f t="shared" si="30"/>
        <v>2</v>
      </c>
      <c r="J99" s="2309">
        <f t="shared" si="30"/>
        <v>2</v>
      </c>
      <c r="K99" s="2309">
        <f t="shared" si="30"/>
        <v>2</v>
      </c>
      <c r="L99" s="2309">
        <f t="shared" si="30"/>
        <v>2</v>
      </c>
      <c r="M99" s="2309">
        <f t="shared" si="30"/>
        <v>2</v>
      </c>
      <c r="N99" s="2309">
        <f>$I$3</f>
        <v>2</v>
      </c>
      <c r="Q99" s="3055"/>
      <c r="R99" s="3055"/>
      <c r="S99" s="3055"/>
      <c r="T99" s="3055"/>
      <c r="U99" s="3055"/>
      <c r="V99" s="3055"/>
      <c r="W99" s="3055"/>
    </row>
    <row r="100" spans="1:23">
      <c r="A100" s="3557"/>
      <c r="B100" s="2307">
        <v>7</v>
      </c>
      <c r="C100" s="2310">
        <f>(-0.163*(C99^2)-0.59*C99+7617)*(10^(-4))</f>
        <v>0.76151679999999999</v>
      </c>
      <c r="D100" s="2310">
        <f>(-0.163*(D99^2)-0.59*D99+7617)*(10^(-4))</f>
        <v>0.76151679999999999</v>
      </c>
      <c r="E100" s="2310">
        <f>(-0.161*(E99^2)-7.509*E99+6533)*(10^(-4))</f>
        <v>0.65173380000000003</v>
      </c>
      <c r="F100" s="2310">
        <f>(-0.161*(F99^2)-7.509*F99+6533)*(10^(-4))</f>
        <v>0.65173380000000003</v>
      </c>
      <c r="G100" s="2310">
        <f>(-0.161*(G99^2)-7.509*G99+6533)*(10^(-4))</f>
        <v>0.65173380000000003</v>
      </c>
      <c r="H100" s="2310">
        <f>(-0.161*(H99^2)-7.509*H99+6533)*(10^(-4))</f>
        <v>0.65173380000000003</v>
      </c>
      <c r="I100" s="2310">
        <f>(-0.161*(I99^2)-7.509*I99+6533)*(10^(-4))</f>
        <v>0.65173380000000003</v>
      </c>
      <c r="J100" s="2310">
        <f>(-0.214*(J99^2)-21.991*J99+4665)*(10^(-4))</f>
        <v>0.46201620000000004</v>
      </c>
      <c r="K100" s="2310">
        <f>(-0.214*(K99^2)-21.991*K99+4665)*(10^(-4))</f>
        <v>0.46201620000000004</v>
      </c>
      <c r="L100" s="2310">
        <f>(-0.214*(L99^2)-21.991*L99+4665)*(10^(-4))</f>
        <v>0.46201620000000004</v>
      </c>
      <c r="M100" s="2310">
        <f>(-0.214*(M99^2)-21.991*M99+4665)*(10^(-4))</f>
        <v>0.46201620000000004</v>
      </c>
      <c r="N100" s="2310">
        <f>(-0.214*(N99^2)-21.991*N99+4665)*(10^(-4))</f>
        <v>0.46201620000000004</v>
      </c>
      <c r="Q100" s="3055"/>
      <c r="R100" s="3055"/>
      <c r="S100" s="3055"/>
      <c r="T100" s="3055"/>
      <c r="U100" s="3055"/>
      <c r="V100" s="3055"/>
      <c r="W100" s="3055"/>
    </row>
    <row r="101" spans="1:23">
      <c r="A101" s="3555" t="s">
        <v>2681</v>
      </c>
      <c r="B101" s="2311" t="s">
        <v>2682</v>
      </c>
      <c r="C101" s="2312">
        <f>$G$3</f>
        <v>3.5</v>
      </c>
      <c r="D101" s="2312">
        <f t="shared" ref="D101:N101" si="31">$G$3</f>
        <v>3.5</v>
      </c>
      <c r="E101" s="2312">
        <f t="shared" si="31"/>
        <v>3.5</v>
      </c>
      <c r="F101" s="2312">
        <f t="shared" si="31"/>
        <v>3.5</v>
      </c>
      <c r="G101" s="2312">
        <f t="shared" si="31"/>
        <v>3.5</v>
      </c>
      <c r="H101" s="2312">
        <f t="shared" si="31"/>
        <v>3.5</v>
      </c>
      <c r="I101" s="2312">
        <f t="shared" si="31"/>
        <v>3.5</v>
      </c>
      <c r="J101" s="2312">
        <f t="shared" si="31"/>
        <v>3.5</v>
      </c>
      <c r="K101" s="2312">
        <f t="shared" si="31"/>
        <v>3.5</v>
      </c>
      <c r="L101" s="2312">
        <f t="shared" si="31"/>
        <v>3.5</v>
      </c>
      <c r="M101" s="2312">
        <f t="shared" si="31"/>
        <v>3.5</v>
      </c>
      <c r="N101" s="2312">
        <f t="shared" si="31"/>
        <v>3.5</v>
      </c>
      <c r="Q101" s="3055"/>
      <c r="R101" s="3055"/>
      <c r="S101" s="3055"/>
      <c r="T101" s="3055"/>
      <c r="U101" s="3055"/>
      <c r="V101" s="3055"/>
      <c r="W101" s="3055"/>
    </row>
    <row r="102" spans="1:23">
      <c r="A102" s="3556"/>
      <c r="B102" s="2307">
        <v>1</v>
      </c>
      <c r="C102" s="2308">
        <f>1.9362/C101</f>
        <v>0.55320000000000003</v>
      </c>
      <c r="D102" s="2308">
        <f>1.9362/D101</f>
        <v>0.55320000000000003</v>
      </c>
      <c r="E102" s="2308">
        <f>1.8629/E101</f>
        <v>0.53225714285714287</v>
      </c>
      <c r="F102" s="2308">
        <f>1.8629/F101</f>
        <v>0.53225714285714287</v>
      </c>
      <c r="G102" s="2308">
        <f>1.8629/G101</f>
        <v>0.53225714285714287</v>
      </c>
      <c r="H102" s="2308">
        <f>1.8629/H101</f>
        <v>0.53225714285714287</v>
      </c>
      <c r="I102" s="2308">
        <f>1.8629/I101</f>
        <v>0.53225714285714287</v>
      </c>
      <c r="J102" s="2308">
        <f>1.942/J101</f>
        <v>0.55485714285714283</v>
      </c>
      <c r="K102" s="2308">
        <f>1.942/K101</f>
        <v>0.55485714285714283</v>
      </c>
      <c r="L102" s="2308">
        <f>1.942/L101</f>
        <v>0.55485714285714283</v>
      </c>
      <c r="M102" s="2308">
        <f>1.942/M101</f>
        <v>0.55485714285714283</v>
      </c>
      <c r="N102" s="2308">
        <f>1.942/N101</f>
        <v>0.55485714285714283</v>
      </c>
      <c r="Q102" s="3055"/>
      <c r="R102" s="3055"/>
      <c r="S102" s="3055"/>
      <c r="T102" s="3055"/>
      <c r="U102" s="3055"/>
      <c r="V102" s="3055"/>
      <c r="W102" s="3055"/>
    </row>
    <row r="103" spans="1:23">
      <c r="A103" s="3556"/>
      <c r="B103" s="2307">
        <v>2</v>
      </c>
      <c r="C103" s="2308">
        <f>1.4198/C101</f>
        <v>0.40565714285714283</v>
      </c>
      <c r="D103" s="2308">
        <f>1.4198/D101</f>
        <v>0.40565714285714283</v>
      </c>
      <c r="E103" s="2308">
        <f>1.3372/E101</f>
        <v>0.38205714285714282</v>
      </c>
      <c r="F103" s="2308">
        <f>1.3372/F101</f>
        <v>0.38205714285714282</v>
      </c>
      <c r="G103" s="2308">
        <f>1.3372/G101</f>
        <v>0.38205714285714282</v>
      </c>
      <c r="H103" s="2308">
        <f>1.3372/H101</f>
        <v>0.38205714285714282</v>
      </c>
      <c r="I103" s="2308">
        <f>1.3372/I101</f>
        <v>0.38205714285714282</v>
      </c>
      <c r="J103" s="2308">
        <f>1.2799/J101</f>
        <v>0.36568571428571428</v>
      </c>
      <c r="K103" s="2308">
        <f>1.2799/K101</f>
        <v>0.36568571428571428</v>
      </c>
      <c r="L103" s="2308">
        <f>1.2799/L101</f>
        <v>0.36568571428571428</v>
      </c>
      <c r="M103" s="2308">
        <f>1.2799/M101</f>
        <v>0.36568571428571428</v>
      </c>
      <c r="N103" s="2308">
        <f>1.2799/N101</f>
        <v>0.36568571428571428</v>
      </c>
      <c r="Q103" s="3055"/>
      <c r="R103" s="3055"/>
      <c r="S103" s="3055"/>
      <c r="T103" s="3055"/>
      <c r="U103" s="3055"/>
      <c r="V103" s="3055"/>
      <c r="W103" s="3055"/>
    </row>
    <row r="104" spans="1:23">
      <c r="A104" s="3556"/>
      <c r="B104" s="2307">
        <v>3</v>
      </c>
      <c r="C104" s="2308">
        <f>1.1594/C101</f>
        <v>0.33125714285714286</v>
      </c>
      <c r="D104" s="2308">
        <f>1.1594/D101</f>
        <v>0.33125714285714286</v>
      </c>
      <c r="E104" s="2308">
        <f>1.0788/E101</f>
        <v>0.30822857142857141</v>
      </c>
      <c r="F104" s="2308">
        <f>1.0788/F101</f>
        <v>0.30822857142857141</v>
      </c>
      <c r="G104" s="2308">
        <f>1.0788/G101</f>
        <v>0.30822857142857141</v>
      </c>
      <c r="H104" s="2308">
        <f>1.0788/H101</f>
        <v>0.30822857142857141</v>
      </c>
      <c r="I104" s="2308">
        <f>1.0788/I101</f>
        <v>0.30822857142857141</v>
      </c>
      <c r="J104" s="2308">
        <f>1.0072/J101</f>
        <v>0.28777142857142862</v>
      </c>
      <c r="K104" s="2308">
        <f>1.0072/K101</f>
        <v>0.28777142857142862</v>
      </c>
      <c r="L104" s="2308">
        <f>1.0072/L101</f>
        <v>0.28777142857142862</v>
      </c>
      <c r="M104" s="2308">
        <f>1.0072/M101</f>
        <v>0.28777142857142862</v>
      </c>
      <c r="N104" s="2308">
        <f>1.0072/N101</f>
        <v>0.28777142857142862</v>
      </c>
      <c r="Q104" s="3055"/>
      <c r="R104" s="3055"/>
      <c r="S104" s="3055"/>
      <c r="T104" s="3055"/>
      <c r="U104" s="3055"/>
      <c r="V104" s="3055"/>
      <c r="W104" s="3055"/>
    </row>
    <row r="105" spans="1:23">
      <c r="A105" s="3556"/>
      <c r="B105" s="2307">
        <v>4</v>
      </c>
      <c r="C105" s="2308">
        <f>0.9622/C101</f>
        <v>0.27491428571428572</v>
      </c>
      <c r="D105" s="2308">
        <f>0.9622/D101</f>
        <v>0.27491428571428572</v>
      </c>
      <c r="E105" s="2308">
        <f>0.8656/E101</f>
        <v>0.24731428571428574</v>
      </c>
      <c r="F105" s="2308">
        <f>0.8656/F101</f>
        <v>0.24731428571428574</v>
      </c>
      <c r="G105" s="2308">
        <f>0.8656/G101</f>
        <v>0.24731428571428574</v>
      </c>
      <c r="H105" s="2308">
        <f>0.8656/H101</f>
        <v>0.24731428571428574</v>
      </c>
      <c r="I105" s="2308">
        <f>0.8656/I101</f>
        <v>0.24731428571428574</v>
      </c>
      <c r="J105" s="2308">
        <f>0.7525/J101</f>
        <v>0.215</v>
      </c>
      <c r="K105" s="2308">
        <f>0.7525/K101</f>
        <v>0.215</v>
      </c>
      <c r="L105" s="2308">
        <f>0.7525/L101</f>
        <v>0.215</v>
      </c>
      <c r="M105" s="2308">
        <f>0.7525/M101</f>
        <v>0.215</v>
      </c>
      <c r="N105" s="2308">
        <f>0.7525/N101</f>
        <v>0.215</v>
      </c>
      <c r="Q105" s="3055"/>
      <c r="R105" s="3055"/>
      <c r="S105" s="3055"/>
      <c r="T105" s="3055"/>
      <c r="U105" s="3055"/>
      <c r="V105" s="3055"/>
      <c r="W105" s="3055"/>
    </row>
    <row r="106" spans="1:23">
      <c r="A106" s="3556"/>
      <c r="B106" s="2307">
        <v>5</v>
      </c>
      <c r="C106" s="2308">
        <f>0.8417/C101</f>
        <v>0.24048571428571427</v>
      </c>
      <c r="D106" s="2308">
        <f>0.8417/D101</f>
        <v>0.24048571428571427</v>
      </c>
      <c r="E106" s="2308">
        <f>0.7371/E101</f>
        <v>0.21059999999999998</v>
      </c>
      <c r="F106" s="2308">
        <f>0.7371/F101</f>
        <v>0.21059999999999998</v>
      </c>
      <c r="G106" s="2308">
        <f>0.7371/G101</f>
        <v>0.21059999999999998</v>
      </c>
      <c r="H106" s="2308">
        <f>0.7371/H101</f>
        <v>0.21059999999999998</v>
      </c>
      <c r="I106" s="2308">
        <f>0.7371/I101</f>
        <v>0.21059999999999998</v>
      </c>
      <c r="J106" s="2308">
        <f>0.5659/J101</f>
        <v>0.16168571428571427</v>
      </c>
      <c r="K106" s="2308">
        <f>0.5659/K101</f>
        <v>0.16168571428571427</v>
      </c>
      <c r="L106" s="2308">
        <f>0.5659/L101</f>
        <v>0.16168571428571427</v>
      </c>
      <c r="M106" s="2308">
        <f>0.5659/M101</f>
        <v>0.16168571428571427</v>
      </c>
      <c r="N106" s="2308">
        <f>0.5659/N101</f>
        <v>0.16168571428571427</v>
      </c>
      <c r="Q106" s="3055"/>
      <c r="R106" s="3055"/>
      <c r="S106" s="3055"/>
      <c r="T106" s="3055"/>
      <c r="U106" s="3055"/>
      <c r="V106" s="3055"/>
      <c r="W106" s="3055"/>
    </row>
    <row r="107" spans="1:23">
      <c r="A107" s="3556"/>
      <c r="B107" s="2307">
        <v>6</v>
      </c>
      <c r="C107" s="2308">
        <f>0.7608/C101</f>
        <v>0.21737142857142858</v>
      </c>
      <c r="D107" s="2308">
        <f>0.7608/D101</f>
        <v>0.21737142857142858</v>
      </c>
      <c r="E107" s="2308">
        <f>0.6482/E101</f>
        <v>0.1852</v>
      </c>
      <c r="F107" s="2308">
        <f>0.6482/F101</f>
        <v>0.1852</v>
      </c>
      <c r="G107" s="2308">
        <f>0.6482/G101</f>
        <v>0.1852</v>
      </c>
      <c r="H107" s="2308">
        <f>0.6482/H101</f>
        <v>0.1852</v>
      </c>
      <c r="I107" s="2308">
        <f>0.6482/I101</f>
        <v>0.1852</v>
      </c>
      <c r="J107" s="2308">
        <f>0.4525/J101</f>
        <v>0.12928571428571428</v>
      </c>
      <c r="K107" s="2308">
        <f>0.4525/K101</f>
        <v>0.12928571428571428</v>
      </c>
      <c r="L107" s="2308">
        <f>0.4525/L101</f>
        <v>0.12928571428571428</v>
      </c>
      <c r="M107" s="2308">
        <f>0.4525/M101</f>
        <v>0.12928571428571428</v>
      </c>
      <c r="N107" s="2308">
        <f>0.4525/N101</f>
        <v>0.12928571428571428</v>
      </c>
      <c r="Q107" s="3055"/>
      <c r="R107" s="3055"/>
      <c r="S107" s="3055"/>
      <c r="T107" s="3055"/>
      <c r="U107" s="3055"/>
      <c r="V107" s="3055"/>
      <c r="W107" s="3055"/>
    </row>
    <row r="108" spans="1:23">
      <c r="A108" s="3556"/>
      <c r="B108" s="3558" t="s">
        <v>2683</v>
      </c>
      <c r="C108" s="2309">
        <f>C99</f>
        <v>2</v>
      </c>
      <c r="D108" s="2309">
        <f t="shared" ref="D108:N108" si="32">D99</f>
        <v>2</v>
      </c>
      <c r="E108" s="2309">
        <f t="shared" si="32"/>
        <v>2</v>
      </c>
      <c r="F108" s="2309">
        <f t="shared" si="32"/>
        <v>2</v>
      </c>
      <c r="G108" s="2309">
        <f t="shared" si="32"/>
        <v>2</v>
      </c>
      <c r="H108" s="2309">
        <f t="shared" si="32"/>
        <v>2</v>
      </c>
      <c r="I108" s="2309">
        <f t="shared" si="32"/>
        <v>2</v>
      </c>
      <c r="J108" s="2309">
        <f t="shared" si="32"/>
        <v>2</v>
      </c>
      <c r="K108" s="2309">
        <f t="shared" si="32"/>
        <v>2</v>
      </c>
      <c r="L108" s="2309">
        <f t="shared" si="32"/>
        <v>2</v>
      </c>
      <c r="M108" s="2309">
        <f t="shared" si="32"/>
        <v>2</v>
      </c>
      <c r="N108" s="2309">
        <f t="shared" si="32"/>
        <v>2</v>
      </c>
      <c r="Q108" s="3055"/>
      <c r="R108" s="3055"/>
      <c r="S108" s="3055"/>
      <c r="T108" s="3055"/>
      <c r="U108" s="3055"/>
      <c r="V108" s="3055"/>
      <c r="W108" s="3055"/>
    </row>
    <row r="109" spans="1:23">
      <c r="A109" s="3557"/>
      <c r="B109" s="3559"/>
      <c r="C109" s="2310">
        <f>(-0.163*(C108^2)-0.59*C108+7617)*(10^(-4))/C101</f>
        <v>0.21757622857142858</v>
      </c>
      <c r="D109" s="2310">
        <f>(-0.163*(D108^2)-0.59*D108+7617)*(10^(-4))/D101</f>
        <v>0.21757622857142858</v>
      </c>
      <c r="E109" s="2310">
        <f>(-0.161*(E108^2)-7.509*E108+6533)*(10^(-4))/E101</f>
        <v>0.18620965714285714</v>
      </c>
      <c r="F109" s="2310">
        <f>(-0.161*(F108^2)-7.509*F108+6533)*(10^(-4))/F101</f>
        <v>0.18620965714285714</v>
      </c>
      <c r="G109" s="2310">
        <f>(-0.161*(G108^2)-7.509*G108+6533)*(10^(-4))/G101</f>
        <v>0.18620965714285714</v>
      </c>
      <c r="H109" s="2310">
        <f>(-0.161*(H108^2)-7.509*H108+6533)*(10^(-4))/H101</f>
        <v>0.18620965714285714</v>
      </c>
      <c r="I109" s="2310">
        <f>(-0.161*(I108^2)-7.509*I108+6533)*(10^(-4))/I101</f>
        <v>0.18620965714285714</v>
      </c>
      <c r="J109" s="2310">
        <f>(-0.214*(J108^2)-21.991*J108+4665)*(10^(-4))/J101</f>
        <v>0.13200462857142858</v>
      </c>
      <c r="K109" s="2310">
        <f>(-0.214*(K108^2)-21.991*K108+4665)*(10^(-4))/K101</f>
        <v>0.13200462857142858</v>
      </c>
      <c r="L109" s="2310">
        <f>(-0.214*(L108^2)-21.991*L108+4665)*(10^(-4))/L101</f>
        <v>0.13200462857142858</v>
      </c>
      <c r="M109" s="2310">
        <f>(-0.214*(M108^2)-21.991*M108+4665)*(10^(-4))/M101</f>
        <v>0.13200462857142858</v>
      </c>
      <c r="N109" s="2310">
        <f>(-0.214*(N108^2)-21.991*N108+4665)*(10^(-4))/N101</f>
        <v>0.13200462857142858</v>
      </c>
      <c r="Q109" s="3055"/>
      <c r="R109" s="3055"/>
      <c r="S109" s="3055"/>
      <c r="T109" s="3055"/>
      <c r="U109" s="3055"/>
      <c r="V109" s="3055"/>
      <c r="W109" s="3055"/>
    </row>
    <row r="110" spans="1:23">
      <c r="A110" s="3553" t="s">
        <v>2684</v>
      </c>
      <c r="B110" s="3553"/>
      <c r="C110" s="3553"/>
      <c r="D110" s="3553"/>
      <c r="E110" s="3553"/>
      <c r="F110" s="3553"/>
      <c r="G110" s="3553"/>
      <c r="H110" s="3553"/>
      <c r="I110" s="3553"/>
      <c r="J110" s="3553"/>
      <c r="K110" s="2078"/>
      <c r="L110" s="2078"/>
      <c r="M110" s="2078"/>
      <c r="N110" s="2078"/>
      <c r="Q110" s="3055"/>
      <c r="R110" s="3055"/>
      <c r="S110" s="3055"/>
      <c r="T110" s="3055"/>
      <c r="U110" s="3055"/>
      <c r="V110" s="3055"/>
      <c r="W110" s="3055"/>
    </row>
    <row r="112" spans="1:23" ht="13.5" thickBot="1"/>
    <row r="113" spans="1:13" ht="25.5" thickBot="1">
      <c r="A113" s="2313" t="s">
        <v>2685</v>
      </c>
      <c r="B113" s="2314">
        <f>G3</f>
        <v>3.5</v>
      </c>
      <c r="C113" s="2315" t="s">
        <v>2686</v>
      </c>
      <c r="D113" s="2316">
        <f>SUMPRODUCT((A115:A118=F113)*(B114:M114=H113)*B115:M118)</f>
        <v>0.79500000000000004</v>
      </c>
      <c r="E113" s="1600" t="s">
        <v>2573</v>
      </c>
      <c r="F113" s="2317" t="str">
        <f>E2</f>
        <v>商业</v>
      </c>
      <c r="G113" s="1600" t="s">
        <v>2507</v>
      </c>
      <c r="H113" s="2317" t="str">
        <f>G2</f>
        <v>六级</v>
      </c>
      <c r="I113" s="1600"/>
      <c r="J113" s="2318"/>
      <c r="K113" s="2318"/>
      <c r="L113" s="2318"/>
      <c r="M113" s="2318"/>
    </row>
    <row r="114" spans="1:13">
      <c r="A114" s="2319"/>
      <c r="B114" s="2320" t="s">
        <v>2687</v>
      </c>
      <c r="C114" s="2320" t="s">
        <v>2688</v>
      </c>
      <c r="D114" s="2320" t="s">
        <v>2689</v>
      </c>
      <c r="E114" s="2321" t="s">
        <v>2690</v>
      </c>
      <c r="F114" s="2321" t="s">
        <v>2691</v>
      </c>
      <c r="G114" s="2321" t="s">
        <v>2692</v>
      </c>
      <c r="H114" s="2322" t="s">
        <v>2693</v>
      </c>
      <c r="I114" s="2322" t="s">
        <v>2694</v>
      </c>
      <c r="J114" s="2323" t="s">
        <v>2695</v>
      </c>
      <c r="K114" s="2323" t="s">
        <v>2696</v>
      </c>
      <c r="L114" s="2323" t="s">
        <v>2697</v>
      </c>
      <c r="M114" s="2324" t="s">
        <v>2698</v>
      </c>
    </row>
    <row r="115" spans="1:13">
      <c r="A115" s="2325" t="s">
        <v>2574</v>
      </c>
      <c r="B115" s="2326">
        <f>ROUND(0.9335-0.0094*B113,4)</f>
        <v>0.90059999999999996</v>
      </c>
      <c r="C115" s="2326">
        <f>B115</f>
        <v>0.90059999999999996</v>
      </c>
      <c r="D115" s="2326">
        <f>ROUND(0.8331-0.0109*B113,4)</f>
        <v>0.79500000000000004</v>
      </c>
      <c r="E115" s="2326">
        <f>D115</f>
        <v>0.79500000000000004</v>
      </c>
      <c r="F115" s="2326">
        <f>E115</f>
        <v>0.79500000000000004</v>
      </c>
      <c r="G115" s="2326">
        <f>F115</f>
        <v>0.79500000000000004</v>
      </c>
      <c r="H115" s="2326">
        <f>G115</f>
        <v>0.79500000000000004</v>
      </c>
      <c r="I115" s="2326">
        <f>ROUND(0.689-0.0155*B113,4)</f>
        <v>0.63480000000000003</v>
      </c>
      <c r="J115" s="2326">
        <f t="shared" ref="J115:M118" si="33">I115</f>
        <v>0.63480000000000003</v>
      </c>
      <c r="K115" s="2326">
        <f t="shared" si="33"/>
        <v>0.63480000000000003</v>
      </c>
      <c r="L115" s="2326">
        <f t="shared" si="33"/>
        <v>0.63480000000000003</v>
      </c>
      <c r="M115" s="2327">
        <f t="shared" si="33"/>
        <v>0.63480000000000003</v>
      </c>
    </row>
    <row r="116" spans="1:13">
      <c r="A116" s="2325" t="s">
        <v>2575</v>
      </c>
      <c r="B116" s="2326">
        <f>ROUND(0.949-0.012*B113,4)</f>
        <v>0.90700000000000003</v>
      </c>
      <c r="C116" s="2326">
        <f>B116</f>
        <v>0.90700000000000003</v>
      </c>
      <c r="D116" s="2326">
        <f>ROUND(0.8567-0.013*B113,4)</f>
        <v>0.81120000000000003</v>
      </c>
      <c r="E116" s="2326">
        <f t="shared" ref="E116:H117" si="34">D116</f>
        <v>0.81120000000000003</v>
      </c>
      <c r="F116" s="2326">
        <f t="shared" si="34"/>
        <v>0.81120000000000003</v>
      </c>
      <c r="G116" s="2326">
        <f t="shared" si="34"/>
        <v>0.81120000000000003</v>
      </c>
      <c r="H116" s="2326">
        <f t="shared" si="34"/>
        <v>0.81120000000000003</v>
      </c>
      <c r="I116" s="2326">
        <f>ROUND(0.7694-0.014*B113,4)</f>
        <v>0.72040000000000004</v>
      </c>
      <c r="J116" s="2326">
        <f t="shared" si="33"/>
        <v>0.72040000000000004</v>
      </c>
      <c r="K116" s="2326">
        <f t="shared" si="33"/>
        <v>0.72040000000000004</v>
      </c>
      <c r="L116" s="2326">
        <f t="shared" si="33"/>
        <v>0.72040000000000004</v>
      </c>
      <c r="M116" s="2327">
        <f t="shared" si="33"/>
        <v>0.72040000000000004</v>
      </c>
    </row>
    <row r="117" spans="1:13">
      <c r="A117" s="2325" t="s">
        <v>2576</v>
      </c>
      <c r="B117" s="2326">
        <f>ROUND(0.8808-0.006*B113,4)</f>
        <v>0.85980000000000001</v>
      </c>
      <c r="C117" s="2326">
        <f>B117</f>
        <v>0.85980000000000001</v>
      </c>
      <c r="D117" s="2326">
        <f>ROUND(0.8748-0.008*B113,4)</f>
        <v>0.8468</v>
      </c>
      <c r="E117" s="2326">
        <f t="shared" si="34"/>
        <v>0.8468</v>
      </c>
      <c r="F117" s="2326">
        <f t="shared" si="34"/>
        <v>0.8468</v>
      </c>
      <c r="G117" s="2326">
        <f t="shared" si="34"/>
        <v>0.8468</v>
      </c>
      <c r="H117" s="2326">
        <f t="shared" si="34"/>
        <v>0.8468</v>
      </c>
      <c r="I117" s="2326">
        <f>ROUND(0.7412-0.0095*B113,4)</f>
        <v>0.70799999999999996</v>
      </c>
      <c r="J117" s="2326">
        <f t="shared" si="33"/>
        <v>0.70799999999999996</v>
      </c>
      <c r="K117" s="2326">
        <f t="shared" si="33"/>
        <v>0.70799999999999996</v>
      </c>
      <c r="L117" s="2326">
        <f t="shared" si="33"/>
        <v>0.70799999999999996</v>
      </c>
      <c r="M117" s="2327">
        <f t="shared" si="33"/>
        <v>0.70799999999999996</v>
      </c>
    </row>
    <row r="118" spans="1:13" ht="13.5" thickBot="1">
      <c r="A118" s="2328" t="s">
        <v>2577</v>
      </c>
      <c r="B118" s="2329">
        <f>ROUND(0.7275-0.01*B113,4)</f>
        <v>0.6925</v>
      </c>
      <c r="C118" s="2329">
        <f>B118</f>
        <v>0.6925</v>
      </c>
      <c r="D118" s="2329">
        <f>ROUND(0.7043-0.012*B113,4)</f>
        <v>0.6623</v>
      </c>
      <c r="E118" s="2329">
        <f>D118</f>
        <v>0.6623</v>
      </c>
      <c r="F118" s="2329">
        <f>E118</f>
        <v>0.6623</v>
      </c>
      <c r="G118" s="2329">
        <f>ROUND(0.6299-0.0122*B113,4)</f>
        <v>0.58720000000000006</v>
      </c>
      <c r="H118" s="2329">
        <f>G118</f>
        <v>0.58720000000000006</v>
      </c>
      <c r="I118" s="2329">
        <f>ROUND(0.5667-0.0136*B113,4)</f>
        <v>0.51910000000000001</v>
      </c>
      <c r="J118" s="2329">
        <f t="shared" si="33"/>
        <v>0.51910000000000001</v>
      </c>
      <c r="K118" s="2329">
        <f t="shared" si="33"/>
        <v>0.51910000000000001</v>
      </c>
      <c r="L118" s="2329">
        <f t="shared" si="33"/>
        <v>0.51910000000000001</v>
      </c>
      <c r="M118" s="2330">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15"/>
  <sheetViews>
    <sheetView topLeftCell="B97" workbookViewId="0">
      <selection activeCell="M11" sqref="M11"/>
    </sheetView>
  </sheetViews>
  <sheetFormatPr defaultRowHeight="13.5"/>
  <cols>
    <col min="14" max="14" width="11.625" customWidth="1"/>
    <col min="15" max="15" width="12.125" customWidth="1"/>
    <col min="16" max="16" width="10.625" customWidth="1"/>
  </cols>
  <sheetData>
    <row r="2" spans="13:18">
      <c r="M2" s="3160" t="s">
        <v>2920</v>
      </c>
      <c r="N2" s="3160" t="s">
        <v>2917</v>
      </c>
      <c r="O2" s="3160" t="s">
        <v>2921</v>
      </c>
      <c r="P2" s="3162" t="s">
        <v>2922</v>
      </c>
      <c r="R2" s="3163" t="s">
        <v>2925</v>
      </c>
    </row>
    <row r="3" spans="13:18">
      <c r="M3" s="3160" t="s">
        <v>2918</v>
      </c>
      <c r="N3" s="3161">
        <v>867</v>
      </c>
      <c r="O3" s="3575">
        <f>1093900</f>
        <v>1093900</v>
      </c>
      <c r="P3" s="3575">
        <f>ROUND(O3/(N3+N4)/365,2)</f>
        <v>3.08</v>
      </c>
      <c r="R3">
        <v>4.5</v>
      </c>
    </row>
    <row r="4" spans="13:18">
      <c r="M4" s="3160" t="s">
        <v>2919</v>
      </c>
      <c r="N4" s="3161">
        <f>85+22</f>
        <v>107</v>
      </c>
      <c r="O4" s="3575"/>
      <c r="P4" s="3575"/>
      <c r="R4">
        <f>R3*0.7</f>
        <v>3.15</v>
      </c>
    </row>
    <row r="5" spans="13:18">
      <c r="O5" s="1339" t="s">
        <v>2924</v>
      </c>
      <c r="P5">
        <f>ROUND((O3/365-107)/N3,2)</f>
        <v>3.33</v>
      </c>
      <c r="R5">
        <f>(R3+R4)/2</f>
        <v>3.8250000000000002</v>
      </c>
    </row>
    <row r="6" spans="13:18">
      <c r="O6" s="1339" t="s">
        <v>2923</v>
      </c>
    </row>
    <row r="9" spans="13:18">
      <c r="N9">
        <v>1093900</v>
      </c>
      <c r="O9">
        <v>1</v>
      </c>
      <c r="P9">
        <f>收益法!C6</f>
        <v>1972143</v>
      </c>
    </row>
    <row r="10" spans="13:18">
      <c r="M10">
        <f>N10/N9-1</f>
        <v>5.0004570801718717E-2</v>
      </c>
      <c r="N10">
        <v>1148600</v>
      </c>
      <c r="O10">
        <v>2</v>
      </c>
      <c r="P10">
        <f>P9*1.03</f>
        <v>2031307.29</v>
      </c>
    </row>
    <row r="11" spans="13:18">
      <c r="M11">
        <f t="shared" ref="M11:M14" si="0">N11/N10-1</f>
        <v>4.9973881246735186E-2</v>
      </c>
      <c r="N11">
        <v>1206000</v>
      </c>
      <c r="O11">
        <v>3</v>
      </c>
      <c r="P11">
        <f>P10*1.03</f>
        <v>2092246.5087000001</v>
      </c>
    </row>
    <row r="12" spans="13:18">
      <c r="M12">
        <f t="shared" si="0"/>
        <v>5.0000000000000044E-2</v>
      </c>
      <c r="N12">
        <v>1266300</v>
      </c>
      <c r="O12">
        <v>4</v>
      </c>
      <c r="P12">
        <f t="shared" ref="P12:P14" si="1">P11*1.03</f>
        <v>2155013.903961</v>
      </c>
    </row>
    <row r="13" spans="13:18">
      <c r="M13">
        <f t="shared" si="0"/>
        <v>4.9988154465766321E-2</v>
      </c>
      <c r="N13">
        <v>1329600</v>
      </c>
      <c r="O13">
        <v>5</v>
      </c>
      <c r="P13">
        <f t="shared" si="1"/>
        <v>2219664.3210798302</v>
      </c>
    </row>
    <row r="14" spans="13:18">
      <c r="M14">
        <f t="shared" si="0"/>
        <v>4.9939831528279077E-2</v>
      </c>
      <c r="N14">
        <v>1396000</v>
      </c>
      <c r="O14">
        <v>6</v>
      </c>
      <c r="P14">
        <f t="shared" si="1"/>
        <v>2286254.2507122252</v>
      </c>
    </row>
    <row r="15" spans="13:18">
      <c r="N15">
        <f>SUM(N9:N14)</f>
        <v>7440400</v>
      </c>
      <c r="O15">
        <f>N15/O14/365/867</f>
        <v>3.9186192876290997</v>
      </c>
      <c r="P15">
        <f>SUM(P9:P14)</f>
        <v>12756629.274453055</v>
      </c>
      <c r="Q15">
        <f>P15/6/365/收益法!F7</f>
        <v>3.3959148793080294</v>
      </c>
    </row>
  </sheetData>
  <mergeCells count="2">
    <mergeCell ref="O3:O4"/>
    <mergeCell ref="P3:P4"/>
  </mergeCells>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A7" workbookViewId="0">
      <selection sqref="A1:H19"/>
    </sheetView>
  </sheetViews>
  <sheetFormatPr defaultRowHeight="13.5"/>
  <cols>
    <col min="2" max="2" width="18.5" customWidth="1"/>
  </cols>
  <sheetData>
    <row r="1" spans="1:8" ht="26.25" thickBot="1">
      <c r="A1" s="3576" t="s">
        <v>2750</v>
      </c>
      <c r="B1" s="3577" t="s">
        <v>2980</v>
      </c>
      <c r="C1" s="3577" t="s">
        <v>2981</v>
      </c>
      <c r="D1" s="3577" t="s">
        <v>3008</v>
      </c>
      <c r="E1" s="3577" t="s">
        <v>2982</v>
      </c>
      <c r="F1" s="3577" t="s">
        <v>2983</v>
      </c>
      <c r="G1" s="3577" t="s">
        <v>3029</v>
      </c>
      <c r="H1" s="3577" t="s">
        <v>3030</v>
      </c>
    </row>
    <row r="2" spans="1:8" ht="26.25" thickBot="1">
      <c r="A2" s="3578">
        <v>1</v>
      </c>
      <c r="B2" s="3579" t="s">
        <v>2984</v>
      </c>
      <c r="C2" s="3579" t="s">
        <v>2985</v>
      </c>
      <c r="D2" s="3580" t="s">
        <v>3001</v>
      </c>
      <c r="E2" s="3580">
        <v>1715.28</v>
      </c>
      <c r="F2" s="3579" t="s">
        <v>2913</v>
      </c>
      <c r="G2" s="3579">
        <v>3786</v>
      </c>
      <c r="H2" s="3580">
        <f ca="1">系统读取表!E14</f>
        <v>22072</v>
      </c>
    </row>
    <row r="3" spans="1:8" ht="26.25" thickBot="1">
      <c r="A3" s="3578">
        <v>2</v>
      </c>
      <c r="B3" s="3579" t="s">
        <v>3003</v>
      </c>
      <c r="C3" s="3579" t="s">
        <v>2986</v>
      </c>
      <c r="D3" s="3579" t="s">
        <v>3009</v>
      </c>
      <c r="E3" s="3580">
        <v>221.56</v>
      </c>
      <c r="F3" s="3579" t="s">
        <v>3006</v>
      </c>
      <c r="G3" s="3579">
        <v>2039</v>
      </c>
      <c r="H3" s="3580">
        <v>92042</v>
      </c>
    </row>
    <row r="4" spans="1:8" ht="26.25" thickBot="1">
      <c r="A4" s="3578">
        <v>3</v>
      </c>
      <c r="B4" s="3580" t="s">
        <v>3012</v>
      </c>
      <c r="C4" s="3579" t="s">
        <v>2986</v>
      </c>
      <c r="D4" s="3579" t="s">
        <v>3010</v>
      </c>
      <c r="E4" s="3580">
        <f>683.05-E3</f>
        <v>461.48999999999995</v>
      </c>
      <c r="F4" s="3579" t="s">
        <v>3004</v>
      </c>
      <c r="G4" s="3579">
        <v>3058</v>
      </c>
      <c r="H4" s="3580">
        <v>66270</v>
      </c>
    </row>
    <row r="5" spans="1:8" ht="26.25" thickBot="1">
      <c r="A5" s="3578">
        <v>4</v>
      </c>
      <c r="B5" s="3579" t="s">
        <v>2988</v>
      </c>
      <c r="C5" s="3579" t="s">
        <v>2989</v>
      </c>
      <c r="D5" s="3579">
        <v>101</v>
      </c>
      <c r="E5" s="3580">
        <v>141.94999999999999</v>
      </c>
      <c r="F5" s="3579" t="s">
        <v>2990</v>
      </c>
      <c r="G5" s="3579">
        <v>703</v>
      </c>
      <c r="H5" s="3580">
        <v>49508</v>
      </c>
    </row>
    <row r="6" spans="1:8" ht="26.25" thickBot="1">
      <c r="A6" s="3578">
        <v>5</v>
      </c>
      <c r="B6" s="3580" t="s">
        <v>3015</v>
      </c>
      <c r="C6" s="3579" t="s">
        <v>2991</v>
      </c>
      <c r="D6" s="3579">
        <v>2317</v>
      </c>
      <c r="E6" s="3580">
        <v>68.69</v>
      </c>
      <c r="F6" s="3579" t="s">
        <v>2992</v>
      </c>
      <c r="G6" s="3579">
        <v>250</v>
      </c>
      <c r="H6" s="3580">
        <v>36325</v>
      </c>
    </row>
    <row r="7" spans="1:8" ht="24.75" thickBot="1">
      <c r="A7" s="3578">
        <v>6</v>
      </c>
      <c r="B7" s="3580" t="s">
        <v>3016</v>
      </c>
      <c r="C7" s="3579"/>
      <c r="D7" s="3579">
        <v>2509</v>
      </c>
      <c r="E7" s="3580">
        <v>74.290000000000006</v>
      </c>
      <c r="F7" s="3579" t="s">
        <v>2992</v>
      </c>
      <c r="G7" s="3579">
        <v>275</v>
      </c>
      <c r="H7" s="3580">
        <v>37052</v>
      </c>
    </row>
    <row r="8" spans="1:8" ht="24.75" thickBot="1">
      <c r="A8" s="3578">
        <v>7</v>
      </c>
      <c r="B8" s="3580" t="s">
        <v>3017</v>
      </c>
      <c r="C8" s="3579"/>
      <c r="D8" s="3579">
        <v>2517</v>
      </c>
      <c r="E8" s="3580">
        <v>72.61</v>
      </c>
      <c r="F8" s="3579" t="s">
        <v>2992</v>
      </c>
      <c r="G8" s="3579">
        <v>264</v>
      </c>
      <c r="H8" s="3580">
        <v>36325</v>
      </c>
    </row>
    <row r="9" spans="1:8" ht="24.75" thickBot="1">
      <c r="A9" s="3578">
        <v>8</v>
      </c>
      <c r="B9" s="3580" t="s">
        <v>3018</v>
      </c>
      <c r="C9" s="3579"/>
      <c r="D9" s="3579">
        <v>2909</v>
      </c>
      <c r="E9" s="3580">
        <v>74.290000000000006</v>
      </c>
      <c r="F9" s="3579" t="s">
        <v>2992</v>
      </c>
      <c r="G9" s="3579">
        <v>275</v>
      </c>
      <c r="H9" s="3580">
        <v>37052</v>
      </c>
    </row>
    <row r="10" spans="1:8" ht="26.25" thickBot="1">
      <c r="A10" s="3578">
        <v>9</v>
      </c>
      <c r="B10" s="3580" t="s">
        <v>3020</v>
      </c>
      <c r="C10" s="3579"/>
      <c r="D10" s="3579">
        <v>2915</v>
      </c>
      <c r="E10" s="3580">
        <v>88.78</v>
      </c>
      <c r="F10" s="3579" t="s">
        <v>2992</v>
      </c>
      <c r="G10" s="3579">
        <v>335</v>
      </c>
      <c r="H10" s="3580">
        <v>37778</v>
      </c>
    </row>
    <row r="11" spans="1:8" ht="26.25" thickBot="1">
      <c r="A11" s="3578">
        <v>10</v>
      </c>
      <c r="B11" s="3580" t="s">
        <v>3022</v>
      </c>
      <c r="C11" s="3579" t="s">
        <v>2993</v>
      </c>
      <c r="D11" s="3579">
        <v>203</v>
      </c>
      <c r="E11" s="3580">
        <v>107.4</v>
      </c>
      <c r="F11" s="3579" t="s">
        <v>2994</v>
      </c>
      <c r="G11" s="3579">
        <v>397</v>
      </c>
      <c r="H11" s="3580">
        <v>36963</v>
      </c>
    </row>
    <row r="12" spans="1:8" ht="24.75" thickBot="1">
      <c r="A12" s="3578">
        <v>11</v>
      </c>
      <c r="B12" s="3580" t="s">
        <v>3023</v>
      </c>
      <c r="C12" s="3579"/>
      <c r="D12" s="3579">
        <v>207</v>
      </c>
      <c r="E12" s="3580">
        <v>83.29</v>
      </c>
      <c r="F12" s="3579" t="s">
        <v>2994</v>
      </c>
      <c r="G12" s="3579">
        <v>320</v>
      </c>
      <c r="H12" s="3580">
        <v>38456</v>
      </c>
    </row>
    <row r="13" spans="1:8" ht="24.75" thickBot="1">
      <c r="A13" s="3578">
        <v>12</v>
      </c>
      <c r="B13" s="3580" t="s">
        <v>3024</v>
      </c>
      <c r="C13" s="3579"/>
      <c r="D13" s="3579">
        <v>208</v>
      </c>
      <c r="E13" s="3580">
        <v>83.29</v>
      </c>
      <c r="F13" s="3579" t="s">
        <v>2994</v>
      </c>
      <c r="G13" s="3579">
        <v>308</v>
      </c>
      <c r="H13" s="3580">
        <v>36948</v>
      </c>
    </row>
    <row r="14" spans="1:8" ht="24.75" thickBot="1">
      <c r="A14" s="3578">
        <v>13</v>
      </c>
      <c r="B14" s="3580" t="s">
        <v>3025</v>
      </c>
      <c r="C14" s="3579"/>
      <c r="D14" s="3579">
        <v>209</v>
      </c>
      <c r="E14" s="3580">
        <v>83.29</v>
      </c>
      <c r="F14" s="3579" t="s">
        <v>2994</v>
      </c>
      <c r="G14" s="3579">
        <v>314</v>
      </c>
      <c r="H14" s="3580">
        <v>37702</v>
      </c>
    </row>
    <row r="15" spans="1:8" ht="24.75" thickBot="1">
      <c r="A15" s="3578">
        <v>14</v>
      </c>
      <c r="B15" s="3580" t="s">
        <v>3026</v>
      </c>
      <c r="C15" s="3579"/>
      <c r="D15" s="3579">
        <v>211</v>
      </c>
      <c r="E15" s="3580">
        <v>82.34</v>
      </c>
      <c r="F15" s="3579" t="s">
        <v>2994</v>
      </c>
      <c r="G15" s="3579">
        <v>317</v>
      </c>
      <c r="H15" s="3580">
        <v>38456</v>
      </c>
    </row>
    <row r="16" spans="1:8" ht="24.75" thickBot="1">
      <c r="A16" s="3578">
        <v>15</v>
      </c>
      <c r="B16" s="3580" t="s">
        <v>3027</v>
      </c>
      <c r="C16" s="3579"/>
      <c r="D16" s="3579">
        <v>312</v>
      </c>
      <c r="E16" s="3580">
        <v>112.37</v>
      </c>
      <c r="F16" s="3579" t="s">
        <v>2994</v>
      </c>
      <c r="G16" s="3579">
        <v>407</v>
      </c>
      <c r="H16" s="3580">
        <v>36224</v>
      </c>
    </row>
    <row r="17" spans="1:8" ht="24.75" thickBot="1">
      <c r="A17" s="3578">
        <v>16</v>
      </c>
      <c r="B17" s="3580" t="s">
        <v>3028</v>
      </c>
      <c r="C17" s="3579"/>
      <c r="D17" s="3579">
        <v>2110</v>
      </c>
      <c r="E17" s="3580">
        <v>122.67</v>
      </c>
      <c r="F17" s="3579" t="s">
        <v>2994</v>
      </c>
      <c r="G17" s="3579">
        <v>476</v>
      </c>
      <c r="H17" s="3580">
        <v>38833</v>
      </c>
    </row>
    <row r="18" spans="1:8" ht="38.25" thickBot="1">
      <c r="A18" s="3578">
        <v>11</v>
      </c>
      <c r="B18" s="3579" t="s">
        <v>2995</v>
      </c>
      <c r="C18" s="3579" t="s">
        <v>2996</v>
      </c>
      <c r="D18" s="3579" t="s">
        <v>3013</v>
      </c>
      <c r="E18" s="3580" t="s">
        <v>2997</v>
      </c>
      <c r="F18" s="3579" t="s">
        <v>2913</v>
      </c>
      <c r="G18" s="3579">
        <v>35076</v>
      </c>
      <c r="H18" s="3580">
        <v>23111</v>
      </c>
    </row>
    <row r="19" spans="1:8" ht="14.25" thickBot="1">
      <c r="A19" s="3582" t="s">
        <v>51</v>
      </c>
      <c r="B19" s="3583"/>
      <c r="C19" s="3583"/>
      <c r="D19" s="3584"/>
      <c r="E19" s="3581">
        <v>18770.8</v>
      </c>
      <c r="F19" s="3579" t="s">
        <v>1241</v>
      </c>
      <c r="G19" s="3579">
        <f>SUM(G2:G18)</f>
        <v>48600</v>
      </c>
      <c r="H19" s="3581" t="s">
        <v>3031</v>
      </c>
    </row>
  </sheetData>
  <mergeCells count="1">
    <mergeCell ref="A19:D19"/>
  </mergeCells>
  <phoneticPr fontId="14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8"/>
      <c r="C2" s="3178"/>
      <c r="D2" s="3178"/>
      <c r="E2" s="3178"/>
    </row>
    <row r="3" spans="1:5" ht="13.5" customHeight="1">
      <c r="A3" s="1360"/>
      <c r="B3" s="1360"/>
      <c r="C3" s="1360"/>
      <c r="D3" s="1360"/>
      <c r="E3" s="1360"/>
    </row>
    <row r="4" spans="1:5" ht="19.5" thickBot="1">
      <c r="A4" s="3179" t="str">
        <f>IF(项目基本情况!D5="房地产市场价值","估价结果一览表（市场价值不需本页表格)","估价结果一览表")</f>
        <v>估价结果一览表</v>
      </c>
      <c r="B4" s="3179"/>
      <c r="C4" s="3179"/>
      <c r="D4" s="3179"/>
      <c r="E4" s="3179"/>
    </row>
    <row r="5" spans="1:5" ht="14.25" customHeight="1" thickTop="1">
      <c r="A5" s="1357"/>
      <c r="B5" s="1361" t="s">
        <v>742</v>
      </c>
      <c r="C5" s="3180" t="s">
        <v>775</v>
      </c>
      <c r="D5" s="3181"/>
      <c r="E5" s="1357"/>
    </row>
    <row r="6" spans="1:5" ht="14.25">
      <c r="A6" s="1357"/>
      <c r="B6" s="1362" t="str">
        <f>项目基本情况!I1</f>
        <v>北京市房地产</v>
      </c>
      <c r="C6" s="3182">
        <f>项目基本情况!C12</f>
        <v>1715.28</v>
      </c>
      <c r="D6" s="3182"/>
      <c r="E6" s="1357"/>
    </row>
    <row r="7" spans="1:5" ht="14.25">
      <c r="A7" s="1357"/>
      <c r="B7" s="3176" t="s">
        <v>776</v>
      </c>
      <c r="C7" s="1363" t="str">
        <f>IF('数据-取费表'!B3="万元","总价（万元）","总价（元）")</f>
        <v>总价（万元）</v>
      </c>
      <c r="D7" s="1364" t="e">
        <f ca="1">IF('数据-取费表'!E3="否",结果表!I102,'结果表 (1修多)'!I104)</f>
        <v>#REF!</v>
      </c>
      <c r="E7" s="1357"/>
    </row>
    <row r="8" spans="1:5" ht="14.25">
      <c r="A8" s="1357"/>
      <c r="B8" s="3176"/>
      <c r="C8" s="1365" t="s">
        <v>1162</v>
      </c>
      <c r="D8" s="1366" t="e">
        <f ca="1">IF('数据-取费表'!B3="万元",NUMBERSTRING(INT(D7*10000),2)&amp;"元整",NUMBERSTRING(INT(D7),2)&amp;"元整")</f>
        <v>#REF!</v>
      </c>
      <c r="E8" s="1357"/>
    </row>
    <row r="9" spans="1:5" ht="14.25">
      <c r="A9" s="1357"/>
      <c r="B9" s="3176"/>
      <c r="C9" s="1367" t="s">
        <v>1260</v>
      </c>
      <c r="D9" s="1364" t="e">
        <f ca="1">IF('数据-取费表'!E3="否",结果表!I103,'结果表 (1修多)'!I105)</f>
        <v>#REF!</v>
      </c>
      <c r="E9" s="1357"/>
    </row>
    <row r="10" spans="1:5" ht="14.25">
      <c r="A10" s="1357"/>
      <c r="B10" s="3183" t="str">
        <f>IF('数据-取费表'!E3="否",结果表!F105,'结果表 (1修多)'!F107)</f>
        <v>2.估价师所知悉的法定优先受偿款</v>
      </c>
      <c r="C10" s="1368" t="str">
        <f>IF('数据-取费表'!B3="万元","总额（万元）","总额（元）")</f>
        <v>总额（万元）</v>
      </c>
      <c r="D10" s="1364">
        <f>IF('数据-取费表'!E3="否",结果表!I105,'结果表 (1修多)'!I107)</f>
        <v>0</v>
      </c>
      <c r="E10" s="1357"/>
    </row>
    <row r="11" spans="1:5" ht="14.25">
      <c r="A11" s="1357"/>
      <c r="B11" s="3183"/>
      <c r="C11" s="1365" t="s">
        <v>1162</v>
      </c>
      <c r="D11" s="1366" t="str">
        <f>IF('数据-取费表'!B3="万元",NUMBERSTRING(INT(D10*10000),2)&amp;"元整",NUMBERSTRING(INT(D10),2)&amp;"元整")</f>
        <v>零元整</v>
      </c>
      <c r="E11" s="1357"/>
    </row>
    <row r="12" spans="1:5" ht="14.25">
      <c r="A12" s="1357"/>
      <c r="B12" s="1369" t="s">
        <v>743</v>
      </c>
      <c r="C12" s="1370" t="str">
        <f>C10</f>
        <v>总额（万元）</v>
      </c>
      <c r="D12" s="1371">
        <f>IF('数据-取费表'!E3="否",结果表!I106,'结果表 (1修多)'!I108)</f>
        <v>0</v>
      </c>
      <c r="E12" s="1357"/>
    </row>
    <row r="13" spans="1:5" ht="14.25">
      <c r="A13" s="1357"/>
      <c r="B13" s="1369" t="s">
        <v>744</v>
      </c>
      <c r="C13" s="1370" t="str">
        <f>C10</f>
        <v>总额（万元）</v>
      </c>
      <c r="D13" s="1371">
        <f>IF('数据-取费表'!E3="否",结果表!I107,'结果表 (1修多)'!I109)</f>
        <v>0</v>
      </c>
      <c r="E13" s="1357"/>
    </row>
    <row r="14" spans="1:5" ht="14.25">
      <c r="A14" s="1357"/>
      <c r="B14" s="1369" t="s">
        <v>745</v>
      </c>
      <c r="C14" s="1370" t="str">
        <f>C10</f>
        <v>总额（万元）</v>
      </c>
      <c r="D14" s="1371">
        <f>IF('数据-取费表'!E3="否",结果表!I108,'结果表 (1修多)'!I110)</f>
        <v>0</v>
      </c>
      <c r="E14" s="1357"/>
    </row>
    <row r="15" spans="1:5" ht="14.25">
      <c r="A15" s="1357"/>
      <c r="B15" s="3183" t="str">
        <f>IF('数据-取费表'!E3="否",结果表!F110,'结果表 (1修多)'!F112)</f>
        <v>3.房地产抵押价值</v>
      </c>
      <c r="C15" s="1358" t="str">
        <f>C7</f>
        <v>总价（万元）</v>
      </c>
      <c r="D15" s="1364" t="e">
        <f ca="1">IF('数据-取费表'!E3="否",结果表!I110,'结果表 (1修多)'!I112)</f>
        <v>#REF!</v>
      </c>
      <c r="E15" s="1357"/>
    </row>
    <row r="16" spans="1:5" ht="14.25">
      <c r="A16" s="1357"/>
      <c r="B16" s="3183"/>
      <c r="C16" s="1365" t="s">
        <v>1162</v>
      </c>
      <c r="D16" s="1364" t="e">
        <f ca="1">IF('数据-取费表'!B3="万元",NUMBERSTRING(INT(D15*10000),2)&amp;"元整",NUMBERSTRING(INT(D15),2)&amp;"元整")</f>
        <v>#REF!</v>
      </c>
      <c r="E16" s="1357"/>
    </row>
    <row r="17" spans="1:5" ht="14.25">
      <c r="A17" s="1357"/>
      <c r="B17" s="3183"/>
      <c r="C17" s="1367" t="s">
        <v>1260</v>
      </c>
      <c r="D17" s="1364" t="e">
        <f ca="1">IF('数据-取费表'!E3="否",结果表!I111,'结果表 (1修多)'!I113)</f>
        <v>#REF!</v>
      </c>
      <c r="E17" s="1357"/>
    </row>
    <row r="18" spans="1:5" ht="14.25">
      <c r="A18" s="1357"/>
      <c r="B18" s="3183" t="str">
        <f>IF('数据-取费表'!E3="否",结果表!F112,'结果表 (1修多)'!F114)</f>
        <v>——</v>
      </c>
      <c r="C18" s="1358" t="str">
        <f>C7</f>
        <v>总价（万元）</v>
      </c>
      <c r="D18" s="1364" t="str">
        <f>IF('数据-取费表'!E3="否",结果表!I112,'结果表 (1修多)'!I114)</f>
        <v>——</v>
      </c>
      <c r="E18" s="1357"/>
    </row>
    <row r="19" spans="1:5" ht="14.25">
      <c r="A19" s="1357"/>
      <c r="B19" s="3183"/>
      <c r="C19" s="1365" t="s">
        <v>1162</v>
      </c>
      <c r="D19" s="1364" t="e">
        <f>IF('数据-取费表'!B3="万元",NUMBERSTRING(INT(D18*10000),2)&amp;"元整",NUMBERSTRING(INT(D18),2)&amp;"元整")</f>
        <v>#VALUE!</v>
      </c>
      <c r="E19" s="1357"/>
    </row>
    <row r="20" spans="1:5" ht="14.25">
      <c r="A20" s="1357"/>
      <c r="B20" s="3183"/>
      <c r="C20" s="1367" t="s">
        <v>1260</v>
      </c>
      <c r="D20" s="1364" t="str">
        <f>IF('数据-取费表'!E3="否",结果表!I113,'结果表 (1修多)'!I115)</f>
        <v>——</v>
      </c>
      <c r="E20" s="1357"/>
    </row>
    <row r="21" spans="1:5" ht="14.25">
      <c r="A21" s="1357"/>
      <c r="B21" s="3176" t="str">
        <f>IF('数据-取费表'!E3="否",结果表!F114,'结果表 (1修多)'!F116)</f>
        <v>——</v>
      </c>
      <c r="C21" s="1363" t="str">
        <f>C7</f>
        <v>总价（万元）</v>
      </c>
      <c r="D21" s="1364" t="str">
        <f>IF('数据-取费表'!E3="否",结果表!I114,'结果表 (1修多)'!I116)</f>
        <v>——</v>
      </c>
      <c r="E21" s="1357"/>
    </row>
    <row r="22" spans="1:5" ht="14.25">
      <c r="A22" s="1357"/>
      <c r="B22" s="3176"/>
      <c r="C22" s="1365" t="s">
        <v>1162</v>
      </c>
      <c r="D22" s="1366" t="e">
        <f>IF('数据-取费表'!B3="万元",NUMBERSTRING(INT(D21*10000),2)&amp;"元整",NUMBERSTRING(INT(D21),2)&amp;"元整")</f>
        <v>#VALUE!</v>
      </c>
      <c r="E22" s="1357"/>
    </row>
    <row r="23" spans="1:5" ht="15" thickBot="1">
      <c r="A23" s="1357"/>
      <c r="B23" s="3177"/>
      <c r="C23" s="1372" t="s">
        <v>1260</v>
      </c>
      <c r="D23" s="1373" t="e">
        <f ca="1">IF('数据-取费表'!E3="否",结果表!I115,'结果表 (1修多)'!I117)</f>
        <v>#REF!</v>
      </c>
      <c r="E23" s="1357"/>
    </row>
    <row r="24" spans="1:5" ht="14.25" thickTop="1">
      <c r="A24" s="1357"/>
      <c r="B24" s="1357"/>
      <c r="C24" s="1357"/>
      <c r="D24" s="1357"/>
      <c r="E24" s="1357"/>
    </row>
    <row r="25" spans="1:5" ht="18.75" customHeight="1" thickBot="1">
      <c r="A25" s="1357"/>
      <c r="B25" s="3191" t="s">
        <v>1261</v>
      </c>
      <c r="C25" s="3191"/>
      <c r="D25" s="3191"/>
      <c r="E25" s="1357"/>
    </row>
    <row r="26" spans="1:5" ht="18.75" customHeight="1" thickTop="1">
      <c r="A26" s="1357"/>
      <c r="B26" s="3194" t="s">
        <v>1161</v>
      </c>
      <c r="C26" s="3195"/>
      <c r="D26" s="3192" t="s">
        <v>1160</v>
      </c>
      <c r="E26" s="1357"/>
    </row>
    <row r="27" spans="1:5" ht="18.75" customHeight="1">
      <c r="A27" s="1357"/>
      <c r="B27" s="3196"/>
      <c r="C27" s="3197"/>
      <c r="D27" s="3193"/>
      <c r="E27" s="1357"/>
    </row>
    <row r="28" spans="1:5" ht="14.25">
      <c r="A28" s="1357"/>
      <c r="B28" s="3184" t="s">
        <v>776</v>
      </c>
      <c r="C28" s="1374" t="s">
        <v>1163</v>
      </c>
      <c r="D28" s="1375" t="e">
        <f ca="1">IF('数据-取费表'!E3="否",结果表!I102,'结果表 (1修多)'!I104)</f>
        <v>#REF!</v>
      </c>
      <c r="E28" s="1357"/>
    </row>
    <row r="29" spans="1:5" ht="14.25">
      <c r="A29" s="1357"/>
      <c r="B29" s="3185"/>
      <c r="C29" s="1376" t="s">
        <v>1162</v>
      </c>
      <c r="D29" s="1377" t="e">
        <f ca="1">IF('数据-取费表'!B3="万元",NUMBERSTRING(INT(D28*10000),2)&amp;"元整",NUMBERSTRING(INT(D28),2)&amp;"元整")</f>
        <v>#REF!</v>
      </c>
      <c r="E29" s="1357"/>
    </row>
    <row r="30" spans="1:5" ht="14.25">
      <c r="A30" s="1357"/>
      <c r="B30" s="3186"/>
      <c r="C30" s="1367" t="s">
        <v>1165</v>
      </c>
      <c r="D30" s="1378" t="e">
        <f ca="1">IF('数据-取费表'!E3="否",结果表!I103,'结果表 (1修多)'!I105)</f>
        <v>#REF!</v>
      </c>
      <c r="E30" s="1357"/>
    </row>
    <row r="31" spans="1:5" ht="14.25">
      <c r="A31" s="1357"/>
      <c r="B31" s="3189" t="str">
        <f>B10</f>
        <v>2.估价师所知悉的法定优先受偿款</v>
      </c>
      <c r="C31" s="1379" t="s">
        <v>1164</v>
      </c>
      <c r="D31" s="1380">
        <f>IF('数据-取费表'!E3="否",结果表!I105,'结果表 (1修多)'!I107)</f>
        <v>0</v>
      </c>
      <c r="E31" s="1357"/>
    </row>
    <row r="32" spans="1:5" ht="14.25">
      <c r="A32" s="1357"/>
      <c r="B32" s="3198"/>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87" t="str">
        <f>B15</f>
        <v>3.房地产抵押价值</v>
      </c>
      <c r="C36" s="1379" t="str">
        <f>C28</f>
        <v>总价</v>
      </c>
      <c r="D36" s="1380" t="e">
        <f ca="1">IF('数据-取费表'!E3="否",结果表!I110,'结果表 (1修多)'!I112)</f>
        <v>#REF!</v>
      </c>
      <c r="E36" s="1357"/>
    </row>
    <row r="37" spans="1:5" ht="14.25">
      <c r="A37" s="1357"/>
      <c r="B37" s="3187"/>
      <c r="C37" s="1376" t="s">
        <v>1162</v>
      </c>
      <c r="D37" s="1381" t="e">
        <f ca="1">IF('数据-取费表'!B3="万元",NUMBERSTRING(INT(D36*10000),2)&amp;"元整",NUMBERSTRING(INT(D36),2)&amp;"元整")</f>
        <v>#REF!</v>
      </c>
      <c r="E37" s="1357"/>
    </row>
    <row r="38" spans="1:5" ht="14.25">
      <c r="A38" s="1357"/>
      <c r="B38" s="3187"/>
      <c r="C38" s="1367" t="s">
        <v>1166</v>
      </c>
      <c r="D38" s="1378" t="e">
        <f ca="1">IF('数据-取费表'!E3="否",结果表!D113,'结果表 (1修多)'!D117)</f>
        <v>#REF!</v>
      </c>
      <c r="E38" s="1357"/>
    </row>
    <row r="39" spans="1:5" ht="14.25">
      <c r="A39" s="1357"/>
      <c r="B39" s="3188" t="str">
        <f>B18</f>
        <v>——</v>
      </c>
      <c r="C39" s="1379" t="str">
        <f>C28</f>
        <v>总价</v>
      </c>
      <c r="D39" s="1380" t="str">
        <f>IF('数据-取费表'!E3="否",结果表!I112,'结果表 (1修多)'!I114)</f>
        <v>——</v>
      </c>
      <c r="E39" s="1357"/>
    </row>
    <row r="40" spans="1:5" ht="14.25">
      <c r="A40" s="1357"/>
      <c r="B40" s="3188"/>
      <c r="C40" s="1376" t="s">
        <v>1162</v>
      </c>
      <c r="D40" s="1381" t="e">
        <f>IF('数据-取费表'!B3="万元",NUMBERSTRING(INT(D39*10000),2)&amp;"元整",NUMBERSTRING(INT(D39),2)&amp;"元整")</f>
        <v>#VALUE!</v>
      </c>
      <c r="E40" s="1357"/>
    </row>
    <row r="41" spans="1:5" ht="14.25">
      <c r="A41" s="1357"/>
      <c r="B41" s="3188"/>
      <c r="C41" s="1367" t="s">
        <v>1166</v>
      </c>
      <c r="D41" s="1378" t="str">
        <f>IF('数据-取费表'!E3="否",结果表!D115,'结果表 (1修多)'!D119)</f>
        <v>——</v>
      </c>
      <c r="E41" s="1357"/>
    </row>
    <row r="42" spans="1:5" ht="14.25">
      <c r="A42" s="1357"/>
      <c r="B42" s="3187" t="str">
        <f>B21</f>
        <v>——</v>
      </c>
      <c r="C42" s="1379" t="str">
        <f>C28</f>
        <v>总价</v>
      </c>
      <c r="D42" s="1380" t="str">
        <f>IF('数据-取费表'!E3="否",结果表!I114,'结果表 (1修多)'!I116)</f>
        <v>——</v>
      </c>
      <c r="E42" s="1357"/>
    </row>
    <row r="43" spans="1:5" ht="14.25">
      <c r="A43" s="1357"/>
      <c r="B43" s="3189"/>
      <c r="C43" s="1376" t="s">
        <v>1162</v>
      </c>
      <c r="D43" s="1382" t="e">
        <f>IF('数据-取费表'!B3="万元",NUMBERSTRING(INT(D42*10000),2)&amp;"元整",NUMBERSTRING(INT(D42),2)&amp;"元整")</f>
        <v>#VALUE!</v>
      </c>
      <c r="E43" s="1357"/>
    </row>
    <row r="44" spans="1:5" ht="15" thickBot="1">
      <c r="A44" s="1357"/>
      <c r="B44" s="3190"/>
      <c r="C44" s="1372" t="s">
        <v>1166</v>
      </c>
      <c r="D44" s="1383" t="e">
        <f ca="1">IF('数据-取费表'!E3="否",结果表!D117,'结果表 (1修多)'!D121)</f>
        <v>#REF!</v>
      </c>
      <c r="E44" s="1357"/>
    </row>
    <row r="45" spans="1:5" ht="14.25" thickTop="1">
      <c r="A45" s="1357"/>
      <c r="B45" s="1357" t="str">
        <f>IF('数据-取费表'!B3="元","单位：元、元/平方米（单位：人民币）","单位：万元、元/平方米（单位：人民币）")</f>
        <v>单位：万元、元/平方米（单位：人民币）</v>
      </c>
      <c r="C45" s="1357"/>
      <c r="D45" s="1357"/>
      <c r="E45" s="1357"/>
    </row>
    <row r="46" spans="1:5" ht="18.75">
      <c r="B46" s="1384"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workbookViewId="0">
      <selection activeCell="I18" sqref="I18"/>
    </sheetView>
  </sheetViews>
  <sheetFormatPr defaultRowHeight="13.5"/>
  <sheetData>
    <row r="1" spans="1:8" ht="51.75" thickBot="1">
      <c r="A1" s="3576" t="s">
        <v>2750</v>
      </c>
      <c r="B1" s="3577" t="s">
        <v>2980</v>
      </c>
      <c r="C1" s="3577" t="s">
        <v>2981</v>
      </c>
      <c r="D1" s="3577" t="s">
        <v>3007</v>
      </c>
      <c r="E1" s="3577" t="s">
        <v>2982</v>
      </c>
      <c r="F1" s="3577" t="s">
        <v>2983</v>
      </c>
      <c r="G1" s="3577" t="s">
        <v>2998</v>
      </c>
      <c r="H1" s="3577" t="s">
        <v>2999</v>
      </c>
    </row>
    <row r="2" spans="1:8" ht="51.75" thickBot="1">
      <c r="A2" s="3578">
        <v>1</v>
      </c>
      <c r="B2" s="3579" t="s">
        <v>2984</v>
      </c>
      <c r="C2" s="3579" t="s">
        <v>2985</v>
      </c>
      <c r="D2" s="3580" t="s">
        <v>3000</v>
      </c>
      <c r="E2" s="3580">
        <v>1715.28</v>
      </c>
      <c r="F2" s="3579" t="s">
        <v>2913</v>
      </c>
      <c r="G2" s="3580">
        <v>3786</v>
      </c>
      <c r="H2" s="3580">
        <v>22072</v>
      </c>
    </row>
    <row r="3" spans="1:8" ht="51.75" thickBot="1">
      <c r="A3" s="3578">
        <v>2</v>
      </c>
      <c r="B3" s="3579" t="s">
        <v>3002</v>
      </c>
      <c r="C3" s="3579" t="s">
        <v>2986</v>
      </c>
      <c r="D3" s="3580" t="s">
        <v>3032</v>
      </c>
      <c r="E3" s="3580">
        <v>221.56</v>
      </c>
      <c r="F3" s="3579" t="s">
        <v>3005</v>
      </c>
      <c r="G3" s="3580">
        <v>2039</v>
      </c>
      <c r="H3" s="3580">
        <v>92042</v>
      </c>
    </row>
    <row r="4" spans="1:8" ht="39" thickBot="1">
      <c r="A4" s="3578">
        <v>3</v>
      </c>
      <c r="B4" s="3580" t="s">
        <v>3011</v>
      </c>
      <c r="C4" s="3579" t="s">
        <v>2986</v>
      </c>
      <c r="D4" s="3580" t="s">
        <v>3033</v>
      </c>
      <c r="E4" s="3580">
        <v>461.49</v>
      </c>
      <c r="F4" s="3579" t="s">
        <v>2987</v>
      </c>
      <c r="G4" s="3580">
        <v>3058</v>
      </c>
      <c r="H4" s="3580">
        <v>66270</v>
      </c>
    </row>
    <row r="5" spans="1:8" ht="51.75" thickBot="1">
      <c r="A5" s="3578">
        <v>4</v>
      </c>
      <c r="B5" s="3579" t="s">
        <v>2988</v>
      </c>
      <c r="C5" s="3579" t="s">
        <v>2989</v>
      </c>
      <c r="D5" s="3580">
        <v>101</v>
      </c>
      <c r="E5" s="3580">
        <v>141.94999999999999</v>
      </c>
      <c r="F5" s="3579" t="s">
        <v>2990</v>
      </c>
      <c r="G5" s="3580">
        <v>703</v>
      </c>
      <c r="H5" s="3580">
        <v>49508</v>
      </c>
    </row>
    <row r="6" spans="1:8" ht="39" thickBot="1">
      <c r="A6" s="3578">
        <v>5</v>
      </c>
      <c r="B6" s="3580" t="s">
        <v>3014</v>
      </c>
      <c r="C6" s="3579" t="s">
        <v>2991</v>
      </c>
      <c r="D6" s="3580">
        <v>2317</v>
      </c>
      <c r="E6" s="3580">
        <v>68.69</v>
      </c>
      <c r="F6" s="3579" t="s">
        <v>2992</v>
      </c>
      <c r="G6" s="3580">
        <v>250</v>
      </c>
      <c r="H6" s="3580">
        <v>36325</v>
      </c>
    </row>
    <row r="7" spans="1:8" ht="39" thickBot="1">
      <c r="A7" s="3578">
        <v>6</v>
      </c>
      <c r="B7" s="3580" t="s">
        <v>3034</v>
      </c>
      <c r="C7" s="3579"/>
      <c r="D7" s="3580">
        <v>2509</v>
      </c>
      <c r="E7" s="3580">
        <v>74.290000000000006</v>
      </c>
      <c r="F7" s="3579" t="s">
        <v>2992</v>
      </c>
      <c r="G7" s="3580">
        <v>275</v>
      </c>
      <c r="H7" s="3580">
        <v>37052</v>
      </c>
    </row>
    <row r="8" spans="1:8" ht="39" thickBot="1">
      <c r="A8" s="3578">
        <v>7</v>
      </c>
      <c r="B8" s="3580" t="s">
        <v>3035</v>
      </c>
      <c r="C8" s="3579"/>
      <c r="D8" s="3580">
        <v>2517</v>
      </c>
      <c r="E8" s="3580">
        <v>72.61</v>
      </c>
      <c r="F8" s="3579" t="s">
        <v>2992</v>
      </c>
      <c r="G8" s="3580">
        <v>264</v>
      </c>
      <c r="H8" s="3580">
        <v>36325</v>
      </c>
    </row>
    <row r="9" spans="1:8" ht="39" thickBot="1">
      <c r="A9" s="3578">
        <v>8</v>
      </c>
      <c r="B9" s="3580" t="s">
        <v>3036</v>
      </c>
      <c r="C9" s="3579"/>
      <c r="D9" s="3580">
        <v>2909</v>
      </c>
      <c r="E9" s="3580">
        <v>74.290000000000006</v>
      </c>
      <c r="F9" s="3579" t="s">
        <v>2992</v>
      </c>
      <c r="G9" s="3580">
        <v>275</v>
      </c>
      <c r="H9" s="3580">
        <v>37052</v>
      </c>
    </row>
    <row r="10" spans="1:8" ht="39" thickBot="1">
      <c r="A10" s="3578">
        <v>9</v>
      </c>
      <c r="B10" s="3580" t="s">
        <v>3019</v>
      </c>
      <c r="C10" s="3579"/>
      <c r="D10" s="3580">
        <v>2915</v>
      </c>
      <c r="E10" s="3580">
        <v>88.78</v>
      </c>
      <c r="F10" s="3579" t="s">
        <v>2992</v>
      </c>
      <c r="G10" s="3580">
        <v>335</v>
      </c>
      <c r="H10" s="3580">
        <v>37778</v>
      </c>
    </row>
    <row r="11" spans="1:8" ht="39" thickBot="1">
      <c r="A11" s="3578">
        <v>10</v>
      </c>
      <c r="B11" s="3580" t="s">
        <v>3021</v>
      </c>
      <c r="C11" s="3579" t="s">
        <v>2993</v>
      </c>
      <c r="D11" s="3580">
        <v>203</v>
      </c>
      <c r="E11" s="3580">
        <v>107.4</v>
      </c>
      <c r="F11" s="3579" t="s">
        <v>2994</v>
      </c>
      <c r="G11" s="3580">
        <v>397</v>
      </c>
      <c r="H11" s="3580">
        <v>36963</v>
      </c>
    </row>
    <row r="12" spans="1:8" ht="39" thickBot="1">
      <c r="A12" s="3578">
        <v>11</v>
      </c>
      <c r="B12" s="3580" t="s">
        <v>3037</v>
      </c>
      <c r="C12" s="3579"/>
      <c r="D12" s="3580">
        <v>207</v>
      </c>
      <c r="E12" s="3580">
        <v>83.29</v>
      </c>
      <c r="F12" s="3579" t="s">
        <v>2994</v>
      </c>
      <c r="G12" s="3580">
        <v>320</v>
      </c>
      <c r="H12" s="3580">
        <v>38456</v>
      </c>
    </row>
    <row r="13" spans="1:8" ht="39" thickBot="1">
      <c r="A13" s="3578">
        <v>12</v>
      </c>
      <c r="B13" s="3580" t="s">
        <v>3038</v>
      </c>
      <c r="C13" s="3579"/>
      <c r="D13" s="3580">
        <v>208</v>
      </c>
      <c r="E13" s="3580">
        <v>83.29</v>
      </c>
      <c r="F13" s="3579" t="s">
        <v>2994</v>
      </c>
      <c r="G13" s="3580">
        <v>308</v>
      </c>
      <c r="H13" s="3580">
        <v>36948</v>
      </c>
    </row>
    <row r="14" spans="1:8" ht="39" thickBot="1">
      <c r="A14" s="3578">
        <v>13</v>
      </c>
      <c r="B14" s="3580" t="s">
        <v>3039</v>
      </c>
      <c r="C14" s="3579"/>
      <c r="D14" s="3580">
        <v>209</v>
      </c>
      <c r="E14" s="3580">
        <v>83.29</v>
      </c>
      <c r="F14" s="3579" t="s">
        <v>2994</v>
      </c>
      <c r="G14" s="3580">
        <v>314</v>
      </c>
      <c r="H14" s="3580">
        <v>37702</v>
      </c>
    </row>
    <row r="15" spans="1:8" ht="39" thickBot="1">
      <c r="A15" s="3578">
        <v>14</v>
      </c>
      <c r="B15" s="3580" t="s">
        <v>3040</v>
      </c>
      <c r="C15" s="3579"/>
      <c r="D15" s="3580">
        <v>211</v>
      </c>
      <c r="E15" s="3580">
        <v>82.34</v>
      </c>
      <c r="F15" s="3579" t="s">
        <v>2994</v>
      </c>
      <c r="G15" s="3580">
        <v>317</v>
      </c>
      <c r="H15" s="3580">
        <v>38456</v>
      </c>
    </row>
    <row r="16" spans="1:8" ht="39" thickBot="1">
      <c r="A16" s="3578">
        <v>15</v>
      </c>
      <c r="B16" s="3580" t="s">
        <v>3041</v>
      </c>
      <c r="C16" s="3579"/>
      <c r="D16" s="3580">
        <v>312</v>
      </c>
      <c r="E16" s="3580">
        <v>112.37</v>
      </c>
      <c r="F16" s="3579" t="s">
        <v>2994</v>
      </c>
      <c r="G16" s="3580">
        <v>407</v>
      </c>
      <c r="H16" s="3580">
        <v>36224</v>
      </c>
    </row>
    <row r="17" spans="1:8" ht="39" thickBot="1">
      <c r="A17" s="3578">
        <v>16</v>
      </c>
      <c r="B17" s="3580" t="s">
        <v>3042</v>
      </c>
      <c r="C17" s="3579"/>
      <c r="D17" s="3580">
        <v>2110</v>
      </c>
      <c r="E17" s="3580">
        <v>122.67</v>
      </c>
      <c r="F17" s="3579" t="s">
        <v>2994</v>
      </c>
      <c r="G17" s="3580">
        <v>476</v>
      </c>
      <c r="H17" s="3580">
        <v>38833</v>
      </c>
    </row>
    <row r="18" spans="1:8" ht="51.75" thickBot="1">
      <c r="A18" s="3578">
        <v>11</v>
      </c>
      <c r="B18" s="3579" t="s">
        <v>2995</v>
      </c>
      <c r="C18" s="3579" t="s">
        <v>2996</v>
      </c>
      <c r="D18" s="3579" t="s">
        <v>1241</v>
      </c>
      <c r="E18" s="3580" t="s">
        <v>2997</v>
      </c>
      <c r="F18" s="3579" t="s">
        <v>2913</v>
      </c>
      <c r="G18" s="3580">
        <v>35076</v>
      </c>
      <c r="H18" s="3580">
        <v>23111</v>
      </c>
    </row>
    <row r="19" spans="1:8" ht="14.25" thickBot="1">
      <c r="A19" s="3585" t="s">
        <v>51</v>
      </c>
      <c r="B19" s="3586"/>
      <c r="C19" s="3586"/>
      <c r="D19" s="3587"/>
      <c r="E19" s="3580">
        <v>18770.8</v>
      </c>
      <c r="F19" s="3579" t="s">
        <v>1241</v>
      </c>
      <c r="G19" s="3580">
        <v>48600</v>
      </c>
      <c r="H19" s="3581" t="s">
        <v>1241</v>
      </c>
    </row>
  </sheetData>
  <mergeCells count="1">
    <mergeCell ref="A19:D19"/>
  </mergeCells>
  <phoneticPr fontId="14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205" t="str">
        <f>IF(项目基本情况!D5="房地产市场价值","估价结果一览表","结果表-2")</f>
        <v>结果表-2</v>
      </c>
      <c r="B1" s="3205"/>
      <c r="C1" s="3205"/>
      <c r="D1" s="3205"/>
      <c r="E1" s="3205"/>
      <c r="F1" s="3205"/>
      <c r="G1" s="3205"/>
      <c r="H1" s="3205"/>
      <c r="I1" s="3205"/>
    </row>
    <row r="2" spans="1:9" ht="30" customHeight="1" thickTop="1">
      <c r="A2" s="3206" t="s">
        <v>1262</v>
      </c>
      <c r="B2" s="3206" t="s">
        <v>1263</v>
      </c>
      <c r="C2" s="3206" t="s">
        <v>1264</v>
      </c>
      <c r="D2" s="3206" t="str">
        <f>IF('数据-取费表'!E3="否",结果表!D119,'结果表 (1修多)'!D123)</f>
        <v>出让国有建设用地使用权价值</v>
      </c>
      <c r="E2" s="3206"/>
      <c r="F2" s="3206" t="s">
        <v>1265</v>
      </c>
      <c r="G2" s="3206"/>
      <c r="H2" s="3206" t="s">
        <v>1266</v>
      </c>
      <c r="I2" s="3206"/>
    </row>
    <row r="3" spans="1:9" ht="15">
      <c r="A3" s="3201"/>
      <c r="B3" s="3201"/>
      <c r="C3" s="3201"/>
      <c r="D3" s="816" t="s">
        <v>1267</v>
      </c>
      <c r="E3" s="816" t="s">
        <v>1268</v>
      </c>
      <c r="F3" s="816" t="s">
        <v>1267</v>
      </c>
      <c r="G3" s="816" t="s">
        <v>1269</v>
      </c>
      <c r="H3" s="816" t="s">
        <v>1267</v>
      </c>
      <c r="I3" s="816" t="s">
        <v>1269</v>
      </c>
    </row>
    <row r="4" spans="1:9" ht="46.5" customHeight="1">
      <c r="A4" s="816" t="str">
        <f>项目基本情况!I1</f>
        <v>北京市房地产</v>
      </c>
      <c r="B4" s="816">
        <f>结果表!B121</f>
        <v>1715.28</v>
      </c>
      <c r="C4" s="816">
        <f>结果表!C121</f>
        <v>0</v>
      </c>
      <c r="D4" s="816" t="e">
        <f ca="1">IF('数据-取费表'!E3="否",结果表!D121,'结果表 (1修多)'!D125)</f>
        <v>#REF!</v>
      </c>
      <c r="E4" s="816" t="e">
        <f ca="1">IF('数据-取费表'!E3="否",结果表!E121,'结果表 (1修多)'!E125)</f>
        <v>#REF!</v>
      </c>
      <c r="F4" s="816" t="e">
        <f ca="1">IF('数据-取费表'!E3="否",结果表!F121,'结果表 (1修多)'!F125)</f>
        <v>#REF!</v>
      </c>
      <c r="G4" s="816" t="e">
        <f ca="1">IF('数据-取费表'!E3="否",结果表!G121,'结果表 (1修多)'!G125)</f>
        <v>#REF!</v>
      </c>
      <c r="H4" s="816" t="e">
        <f ca="1">IF('数据-取费表'!E3="否",结果表!H121,'结果表 (1修多)'!H125)</f>
        <v>#REF!</v>
      </c>
      <c r="I4" s="816" t="e">
        <f ca="1">IF('数据-取费表'!E3="否",结果表!I121,'结果表 (1修多)'!I125)</f>
        <v>#REF!</v>
      </c>
    </row>
    <row r="5" spans="1:9" ht="15">
      <c r="A5" s="3201" t="s">
        <v>1270</v>
      </c>
      <c r="B5" s="3201"/>
      <c r="C5" s="3201"/>
      <c r="D5" s="3199" t="e">
        <f ca="1">IF('数据-取费表'!E3="否",结果表!D122,'结果表 (1修多)'!D126)</f>
        <v>#REF!</v>
      </c>
      <c r="E5" s="3199"/>
      <c r="F5" s="3199" t="e">
        <f ca="1">IF('数据-取费表'!E3="否",结果表!F122,'结果表 (1修多)'!F126)</f>
        <v>#REF!</v>
      </c>
      <c r="G5" s="3199"/>
      <c r="H5" s="3199" t="e">
        <f ca="1">IF('数据-取费表'!E3="否",结果表!H122,'结果表 (1修多)'!H126)</f>
        <v>#REF!</v>
      </c>
      <c r="I5" s="3199"/>
    </row>
    <row r="6" spans="1:9" ht="15.75">
      <c r="A6" s="3200" t="str">
        <f>IF('数据-取费表'!E3="否",结果表!A123,'结果表 (1修多)'!A127)</f>
        <v>估价师所知悉的法定优先受偿款</v>
      </c>
      <c r="B6" s="3200"/>
      <c r="C6" s="3200"/>
      <c r="D6" s="3200">
        <f>IF('数据-取费表'!E3="否",结果表!D123,'结果表 (1修多)'!D127)</f>
        <v>0</v>
      </c>
      <c r="E6" s="3200"/>
      <c r="F6" s="3200"/>
      <c r="G6" s="3200"/>
      <c r="H6" s="3200"/>
      <c r="I6" s="3200"/>
    </row>
    <row r="7" spans="1:9" ht="15">
      <c r="A7" s="3201" t="s">
        <v>1270</v>
      </c>
      <c r="B7" s="3201"/>
      <c r="C7" s="3201"/>
      <c r="D7" s="3202">
        <f>IF('数据-取费表'!E3="否",结果表!D124,'结果表 (1修多)'!D128)</f>
        <v>0</v>
      </c>
      <c r="E7" s="3203"/>
      <c r="F7" s="3203"/>
      <c r="G7" s="3203"/>
      <c r="H7" s="3203"/>
      <c r="I7" s="3204"/>
    </row>
    <row r="8" spans="1:9" ht="15.75">
      <c r="A8" s="3200" t="str">
        <f>IF('数据-取费表'!E3="否",结果表!A125,'结果表 (1修多)'!A129)</f>
        <v>房地产抵押价值</v>
      </c>
      <c r="B8" s="3200"/>
      <c r="C8" s="3200"/>
      <c r="D8" s="3200" t="e">
        <f ca="1">IF('数据-取费表'!E3="否",结果表!D125,'结果表 (1修多)'!D129)</f>
        <v>#REF!</v>
      </c>
      <c r="E8" s="3200"/>
      <c r="F8" s="3200"/>
      <c r="G8" s="3200"/>
      <c r="H8" s="3200"/>
      <c r="I8" s="3200"/>
    </row>
    <row r="9" spans="1:9" ht="15">
      <c r="A9" s="3201" t="s">
        <v>1270</v>
      </c>
      <c r="B9" s="3201"/>
      <c r="C9" s="3201"/>
      <c r="D9" s="3199" t="e">
        <f ca="1">IF('数据-取费表'!E3="否",结果表!D126,'结果表 (1修多)'!D130)</f>
        <v>#REF!</v>
      </c>
      <c r="E9" s="3199"/>
      <c r="F9" s="3199"/>
      <c r="G9" s="3199"/>
      <c r="H9" s="3199"/>
      <c r="I9" s="3199"/>
    </row>
    <row r="10" spans="1:9" ht="15.75">
      <c r="A10" s="3200" t="str">
        <f>IF('数据-取费表'!E3="否",结果表!A127,'结果表 (1修多)'!A131)</f>
        <v/>
      </c>
      <c r="B10" s="3200"/>
      <c r="C10" s="3200"/>
      <c r="D10" s="3200" t="str">
        <f>IF('数据-取费表'!E3="否",结果表!D127,'结果表 (1修多)'!D130)</f>
        <v>——</v>
      </c>
      <c r="E10" s="3200"/>
      <c r="F10" s="3200"/>
      <c r="G10" s="3200"/>
      <c r="H10" s="3200"/>
      <c r="I10" s="3200"/>
    </row>
    <row r="11" spans="1:9" ht="15">
      <c r="A11" s="3201" t="s">
        <v>1270</v>
      </c>
      <c r="B11" s="3201"/>
      <c r="C11" s="3201"/>
      <c r="D11" s="3199" t="str">
        <f>IF('数据-取费表'!E3="否",结果表!D128,'结果表 (1修多)'!D132)</f>
        <v>——</v>
      </c>
      <c r="E11" s="3199"/>
      <c r="F11" s="3199"/>
      <c r="G11" s="3199"/>
      <c r="H11" s="3199"/>
      <c r="I11" s="3199"/>
    </row>
    <row r="12" spans="1:9" ht="15.75">
      <c r="A12" s="3200" t="str">
        <f>IF('数据-取费表'!E3="否",结果表!A129,'结果表 (1修多)'!A133)</f>
        <v/>
      </c>
      <c r="B12" s="3200"/>
      <c r="C12" s="3200"/>
      <c r="D12" s="3200" t="str">
        <f>IF('数据-取费表'!E3="否",结果表!D129,'结果表 (1修多)'!D133)</f>
        <v>——</v>
      </c>
      <c r="E12" s="3200"/>
      <c r="F12" s="3200"/>
      <c r="G12" s="3200"/>
      <c r="H12" s="3200"/>
      <c r="I12" s="3200"/>
    </row>
    <row r="13" spans="1:9" ht="15.75" thickBot="1">
      <c r="A13" s="3207" t="s">
        <v>1270</v>
      </c>
      <c r="B13" s="3207"/>
      <c r="C13" s="3207"/>
      <c r="D13" s="3208">
        <f>IF('数据-取费表'!E3="否",结果表!D130,'结果表 (1修多)'!D134)</f>
        <v>0</v>
      </c>
      <c r="E13" s="3208"/>
      <c r="F13" s="3208"/>
      <c r="G13" s="3208"/>
      <c r="H13" s="3208"/>
      <c r="I13" s="3208"/>
    </row>
    <row r="14" spans="1:9" ht="15" thickTop="1">
      <c r="A14" s="3209" t="str">
        <f>IF('数据-取费表'!E3="否",结果表!A131,'结果表 (1修多)'!A135)</f>
        <v>单位：平方米、万元、元/平方米（币种：人民币）</v>
      </c>
      <c r="B14" s="3209"/>
      <c r="C14" s="3209"/>
      <c r="D14" s="3209"/>
      <c r="E14" s="3209"/>
      <c r="F14" s="3209"/>
      <c r="G14" s="3209"/>
      <c r="H14" s="3209"/>
      <c r="I14" s="3209"/>
    </row>
    <row r="15" spans="1:9">
      <c r="A15" s="603"/>
      <c r="B15" s="603"/>
      <c r="C15" s="603"/>
      <c r="D15" s="603"/>
      <c r="E15" s="603"/>
      <c r="F15" s="603"/>
      <c r="G15" s="603"/>
      <c r="H15" s="603"/>
      <c r="I15" s="603"/>
    </row>
    <row r="16" spans="1:9" ht="18.75">
      <c r="A16" s="1385" t="s">
        <v>1271</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14" t="s">
        <v>1283</v>
      </c>
      <c r="B1" s="3214"/>
      <c r="C1" s="3214"/>
      <c r="D1" s="3214"/>
    </row>
    <row r="2" spans="1:4" ht="18">
      <c r="A2" s="3213" t="s">
        <v>1272</v>
      </c>
      <c r="B2" s="3213"/>
      <c r="C2" s="3213"/>
      <c r="D2" s="3213"/>
    </row>
    <row r="3" spans="1:4" ht="18.75">
      <c r="A3" s="1386" t="s">
        <v>1273</v>
      </c>
      <c r="B3" s="1386" t="s">
        <v>1274</v>
      </c>
      <c r="C3" s="1386" t="s">
        <v>1275</v>
      </c>
      <c r="D3" s="1386" t="s">
        <v>1276</v>
      </c>
    </row>
    <row r="4" spans="1:4" ht="56.25" customHeight="1">
      <c r="A4" s="1387" t="str">
        <f>项目基本情况!B3</f>
        <v>郑燚</v>
      </c>
      <c r="B4" s="1388">
        <f ca="1">项目基本情况!C3</f>
        <v>1120070131</v>
      </c>
      <c r="C4" s="1389"/>
      <c r="D4" s="1390" t="s">
        <v>1284</v>
      </c>
    </row>
    <row r="5" spans="1:4" ht="56.25" customHeight="1">
      <c r="A5" s="1387" t="str">
        <f>项目基本情况!D3</f>
        <v>崔锴</v>
      </c>
      <c r="B5" s="1388">
        <f ca="1">项目基本情况!E3</f>
        <v>1120100036</v>
      </c>
      <c r="C5" s="1391"/>
      <c r="D5" s="1390" t="s">
        <v>1284</v>
      </c>
    </row>
    <row r="6" spans="1:4" ht="12" customHeight="1">
      <c r="A6" s="1387"/>
      <c r="B6" s="1388"/>
      <c r="C6" s="1392"/>
      <c r="D6" s="1390"/>
    </row>
    <row r="7" spans="1:4" ht="18">
      <c r="A7" s="3213" t="s">
        <v>1277</v>
      </c>
      <c r="B7" s="3213"/>
      <c r="C7" s="3213"/>
      <c r="D7" s="3213"/>
    </row>
    <row r="8" spans="1:4" ht="18.75">
      <c r="A8" s="1386" t="s">
        <v>1273</v>
      </c>
      <c r="B8" s="1388" t="s">
        <v>1278</v>
      </c>
      <c r="C8" s="1386" t="s">
        <v>1275</v>
      </c>
      <c r="D8" s="1386" t="s">
        <v>1276</v>
      </c>
    </row>
    <row r="9" spans="1:4" ht="56.25" customHeight="1">
      <c r="A9" s="1393" t="s">
        <v>777</v>
      </c>
      <c r="B9" s="1393" t="s">
        <v>778</v>
      </c>
      <c r="C9" s="1389"/>
      <c r="D9" s="1390" t="s">
        <v>1284</v>
      </c>
    </row>
    <row r="11" spans="1:4" ht="18.75">
      <c r="A11" s="1394" t="s">
        <v>1279</v>
      </c>
    </row>
    <row r="12" spans="1:4" ht="30" customHeight="1">
      <c r="A12" s="3210" t="s">
        <v>2736</v>
      </c>
      <c r="B12" s="3212"/>
      <c r="C12" s="3212"/>
      <c r="D12" s="3212"/>
    </row>
    <row r="13" spans="1:4" ht="15.75">
      <c r="A13" s="32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2"/>
      <c r="C13" s="3212"/>
      <c r="D13" s="3212"/>
    </row>
    <row r="14" spans="1:4" ht="30" customHeight="1">
      <c r="A14" s="3210" t="str">
        <f>IF(项目基本情况!D4="抵押","3.抵押双方在办理抵押登记手续时，应使用本公司出具的正式《不动产估价报告书》，特提醒报告使用者注意。","——")</f>
        <v>——</v>
      </c>
      <c r="B14" s="3212"/>
      <c r="C14" s="3212"/>
      <c r="D14" s="3212"/>
    </row>
    <row r="15" spans="1:4" ht="15.75" customHeight="1">
      <c r="A15" s="3210" t="str">
        <f>IF(项目基本情况!D4="抵押","4.本次评估估价师所知悉的法定优先受偿款情况说明如下：","——")</f>
        <v>——</v>
      </c>
      <c r="B15" s="3212"/>
      <c r="C15" s="3212"/>
      <c r="D15" s="3212"/>
    </row>
    <row r="16" spans="1:4" ht="75" customHeight="1">
      <c r="A16" s="3210" t="str">
        <f>IF(项目基本情况!D4="抵押",CONCATENATE(项目基本情况!J13,项目基本情况!J14,项目基本情况!J15),"——")</f>
        <v>——</v>
      </c>
      <c r="B16" s="3210"/>
      <c r="C16" s="3210"/>
      <c r="D16" s="3210"/>
    </row>
    <row r="17" spans="1:4" ht="63.75" customHeight="1">
      <c r="A17" s="3211" t="s">
        <v>1285</v>
      </c>
      <c r="B17" s="3211"/>
      <c r="C17" s="3211"/>
      <c r="D17" s="3211"/>
    </row>
    <row r="18" spans="1:4" ht="15.75" customHeight="1">
      <c r="A18" s="3210" t="str">
        <f>IF(项目基本情况!D4="抵押",结果表!L106,"——")</f>
        <v>——</v>
      </c>
      <c r="B18" s="3210"/>
      <c r="C18" s="3210"/>
      <c r="D18" s="3210"/>
    </row>
    <row r="19" spans="1:4" ht="46.5" customHeight="1">
      <c r="A19" s="32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0"/>
      <c r="C19" s="3210"/>
      <c r="D19" s="3210"/>
    </row>
    <row r="20" spans="1:4" ht="15">
      <c r="A20" s="3211" t="s">
        <v>2737</v>
      </c>
      <c r="B20" s="3211"/>
      <c r="C20" s="3211"/>
      <c r="D20" s="3211"/>
    </row>
    <row r="21" spans="1:4">
      <c r="A21" s="1395"/>
      <c r="B21" s="978"/>
      <c r="C21" s="978"/>
      <c r="D21" s="978"/>
    </row>
    <row r="22" spans="1:4">
      <c r="A22" s="1395"/>
      <c r="B22" s="978"/>
      <c r="C22" s="978"/>
      <c r="D22" s="978"/>
    </row>
    <row r="23" spans="1:4" ht="18.75">
      <c r="A23" s="1356" t="s">
        <v>1280</v>
      </c>
    </row>
    <row r="24" spans="1:4" ht="18">
      <c r="A24" s="1356"/>
    </row>
    <row r="25" spans="1:4" ht="18.75">
      <c r="A25" s="1356" t="s">
        <v>1281</v>
      </c>
    </row>
    <row r="28" spans="1:4" ht="21" customHeight="1">
      <c r="D28" s="1396" t="s">
        <v>1282</v>
      </c>
    </row>
    <row r="29" spans="1:4" ht="21" customHeight="1">
      <c r="C29" s="1397"/>
      <c r="D29" s="139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4" customWidth="1"/>
    <col min="2" max="16384" width="14.5" style="603"/>
  </cols>
  <sheetData>
    <row r="1" spans="1:7" s="1385" customFormat="1" ht="18.75">
      <c r="A1" s="601" t="s">
        <v>1352</v>
      </c>
    </row>
    <row r="3" spans="1:7" ht="14.25">
      <c r="A3" s="1402" t="s">
        <v>1353</v>
      </c>
      <c r="B3" s="603" t="s">
        <v>1354</v>
      </c>
      <c r="G3" s="1403"/>
    </row>
    <row r="4" spans="1:7">
      <c r="G4" s="1403"/>
    </row>
    <row r="5" spans="1:7" ht="14.25">
      <c r="A5" s="1405" t="s">
        <v>1355</v>
      </c>
      <c r="B5" s="603" t="s">
        <v>1356</v>
      </c>
      <c r="G5" s="1403"/>
    </row>
    <row r="6" spans="1:7">
      <c r="G6" s="1403"/>
    </row>
    <row r="7" spans="1:7" ht="14.25">
      <c r="A7" s="1406" t="s">
        <v>1357</v>
      </c>
      <c r="B7" s="603" t="s">
        <v>1358</v>
      </c>
      <c r="G7" s="1403"/>
    </row>
    <row r="8" spans="1:7">
      <c r="G8" s="1403"/>
    </row>
    <row r="9" spans="1:7">
      <c r="A9" s="1407" t="s">
        <v>1359</v>
      </c>
      <c r="B9" s="603" t="s">
        <v>1360</v>
      </c>
    </row>
    <row r="11" spans="1:7">
      <c r="A11" s="1408" t="s">
        <v>1361</v>
      </c>
      <c r="B11" s="1409" t="s">
        <v>1362</v>
      </c>
    </row>
    <row r="13" spans="1:7">
      <c r="A13" s="1188" t="s">
        <v>1363</v>
      </c>
    </row>
    <row r="15" spans="1:7" ht="14.25">
      <c r="A15" s="3220" t="s">
        <v>1364</v>
      </c>
      <c r="B15" s="3215" t="s">
        <v>1365</v>
      </c>
      <c r="C15" s="3216"/>
    </row>
    <row r="16" spans="1:7" ht="14.25">
      <c r="A16" s="3221"/>
      <c r="B16" s="3215" t="s">
        <v>1366</v>
      </c>
      <c r="C16" s="3216"/>
    </row>
    <row r="17" spans="1:3" ht="14.25">
      <c r="A17" s="3221"/>
      <c r="B17" s="3215" t="s">
        <v>1367</v>
      </c>
      <c r="C17" s="3216"/>
    </row>
    <row r="18" spans="1:3" ht="14.25">
      <c r="A18" s="3222"/>
      <c r="B18" s="3217" t="s">
        <v>1368</v>
      </c>
      <c r="C18" s="3216"/>
    </row>
    <row r="19" spans="1:3" ht="14.25">
      <c r="A19" s="1410" t="s">
        <v>1369</v>
      </c>
      <c r="B19" s="1411"/>
      <c r="C19" s="1412"/>
    </row>
    <row r="20" spans="1:3" ht="14.25">
      <c r="A20" s="3218" t="s">
        <v>1370</v>
      </c>
      <c r="B20" s="3217" t="s">
        <v>1371</v>
      </c>
      <c r="C20" s="3216"/>
    </row>
    <row r="21" spans="1:3" ht="14.25">
      <c r="A21" s="3218"/>
      <c r="B21" s="3217" t="s">
        <v>1372</v>
      </c>
      <c r="C21" s="3216"/>
    </row>
    <row r="22" spans="1:3" ht="14.25">
      <c r="A22" s="3218"/>
      <c r="B22" s="3217" t="s">
        <v>1373</v>
      </c>
      <c r="C22" s="3216"/>
    </row>
    <row r="23" spans="1:3" ht="14.25">
      <c r="A23" s="3218"/>
      <c r="B23" s="3219" t="s">
        <v>1374</v>
      </c>
      <c r="C23" s="1413" t="s">
        <v>1375</v>
      </c>
    </row>
    <row r="24" spans="1:3" ht="14.25">
      <c r="A24" s="3218"/>
      <c r="B24" s="3219"/>
      <c r="C24" s="1413" t="s">
        <v>1376</v>
      </c>
    </row>
    <row r="25" spans="1:3" ht="14.25">
      <c r="A25" s="3218"/>
      <c r="B25" s="3219"/>
      <c r="C25" s="1413" t="s">
        <v>1377</v>
      </c>
    </row>
    <row r="26" spans="1:3" ht="14.25">
      <c r="A26" s="3218"/>
      <c r="B26" s="3219"/>
      <c r="C26" s="1413" t="s">
        <v>1378</v>
      </c>
    </row>
    <row r="27" spans="1:3" ht="14.25">
      <c r="A27" s="3218"/>
      <c r="B27" s="3219"/>
      <c r="C27" s="1413" t="s">
        <v>1379</v>
      </c>
    </row>
    <row r="28" spans="1:3" ht="14.25">
      <c r="A28" s="3218"/>
      <c r="B28" s="3219"/>
      <c r="C28" s="1413" t="s">
        <v>1380</v>
      </c>
    </row>
    <row r="29" spans="1:3" ht="14.25">
      <c r="A29" s="3218"/>
      <c r="B29" s="3219"/>
      <c r="C29" s="1413" t="s">
        <v>1381</v>
      </c>
    </row>
    <row r="30" spans="1:3" ht="14.25">
      <c r="A30" s="3218"/>
      <c r="B30" s="3219"/>
      <c r="C30" s="1413" t="s">
        <v>1382</v>
      </c>
    </row>
    <row r="31" spans="1:3" ht="14.25">
      <c r="A31" s="3218"/>
      <c r="B31" s="3219"/>
      <c r="C31" s="1413" t="s">
        <v>1383</v>
      </c>
    </row>
    <row r="32" spans="1:3">
      <c r="A32" s="1414"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44272</v>
      </c>
      <c r="C2" s="3063" t="s">
        <v>747</v>
      </c>
      <c r="D2" s="3063"/>
      <c r="E2" s="3063"/>
      <c r="F2" s="3060"/>
      <c r="G2" s="3060"/>
      <c r="H2" s="3060"/>
    </row>
    <row r="3" spans="1:8" ht="24" customHeight="1">
      <c r="A3" s="3064" t="s">
        <v>748</v>
      </c>
      <c r="B3" s="3065" t="s">
        <v>749</v>
      </c>
      <c r="C3" s="3065" t="s">
        <v>750</v>
      </c>
      <c r="D3" s="3066" t="s">
        <v>772</v>
      </c>
      <c r="E3" s="3079" t="s">
        <v>751</v>
      </c>
      <c r="F3" s="1299" t="s">
        <v>752</v>
      </c>
      <c r="G3" s="3065" t="s">
        <v>750</v>
      </c>
      <c r="H3" s="3066" t="s">
        <v>773</v>
      </c>
    </row>
    <row r="4" spans="1:8" ht="24" customHeight="1">
      <c r="A4" s="1299" t="s">
        <v>753</v>
      </c>
      <c r="B4" s="1299">
        <f ca="1">IF(C4&lt;B2,"已过期",1119970066)</f>
        <v>1119970066</v>
      </c>
      <c r="C4" s="3067">
        <v>44876</v>
      </c>
      <c r="D4" s="3078" t="str">
        <f ca="1">A4&amp;"（注册号："&amp;B4&amp;"）"</f>
        <v>梁津（注册号：1119970066）</v>
      </c>
      <c r="E4" s="3080" t="s">
        <v>753</v>
      </c>
      <c r="F4" s="1299">
        <f ca="1">IF(G4&lt;B2,"已过期",96010014)</f>
        <v>96010014</v>
      </c>
      <c r="G4" s="3068">
        <v>47118</v>
      </c>
      <c r="H4" s="3069" t="str">
        <f ca="1">E4&amp;"（注册号："&amp;F4&amp;"）"</f>
        <v>梁津（注册号：96010014）</v>
      </c>
    </row>
    <row r="5" spans="1:8" ht="24" customHeight="1">
      <c r="A5" s="1299" t="s">
        <v>754</v>
      </c>
      <c r="B5" s="1299">
        <f ca="1">IF(C5&lt;B2,"已过期",1119970111)</f>
        <v>1119970111</v>
      </c>
      <c r="C5" s="3067">
        <v>44876</v>
      </c>
      <c r="D5" s="3078" t="str">
        <f t="shared" ref="D5:D14" ca="1" si="0">A5&amp;"（注册号："&amp;B5&amp;"）"</f>
        <v>叶凌（注册号：1119970111）</v>
      </c>
      <c r="E5" s="3080" t="s">
        <v>754</v>
      </c>
      <c r="F5" s="1299">
        <f ca="1">IF(G5&lt;B2,"已过期",94010078)</f>
        <v>94010078</v>
      </c>
      <c r="G5" s="3068">
        <v>46387</v>
      </c>
      <c r="H5" s="3069" t="str">
        <f t="shared" ref="H5:H16" ca="1" si="1">E5&amp;"（注册号："&amp;F5&amp;"）"</f>
        <v>叶凌（注册号：94010078）</v>
      </c>
    </row>
    <row r="6" spans="1:8" ht="24" customHeight="1">
      <c r="A6" s="1299" t="s">
        <v>755</v>
      </c>
      <c r="B6" s="1299">
        <f ca="1">IF(C6&lt;B2,"已过期",1120050019)</f>
        <v>1120050019</v>
      </c>
      <c r="C6" s="3067">
        <v>44395</v>
      </c>
      <c r="D6" s="3078" t="str">
        <f t="shared" ca="1" si="0"/>
        <v>王鹏（注册号：1120050019）</v>
      </c>
      <c r="E6" s="3080" t="s">
        <v>755</v>
      </c>
      <c r="F6" s="1299">
        <f ca="1">IF(G6&lt;B2,"已过期",2002110030)</f>
        <v>2002110030</v>
      </c>
      <c r="G6" s="3068">
        <v>46387</v>
      </c>
      <c r="H6" s="3069" t="str">
        <f t="shared" ca="1" si="1"/>
        <v>王鹏（注册号：2002110030）</v>
      </c>
    </row>
    <row r="7" spans="1:8" ht="24" customHeight="1">
      <c r="A7" s="1299" t="s">
        <v>756</v>
      </c>
      <c r="B7" s="1299">
        <f ca="1">IF(C7&lt;B2,"已过期",1120000080)</f>
        <v>1120000080</v>
      </c>
      <c r="C7" s="3067">
        <v>44876</v>
      </c>
      <c r="D7" s="3078" t="str">
        <f t="shared" ca="1" si="0"/>
        <v>欧红伟（注册号：1120000080）</v>
      </c>
      <c r="E7" s="3080" t="s">
        <v>756</v>
      </c>
      <c r="F7" s="1299">
        <f ca="1">IF(G7&lt;B2,"已过期",2000110082)</f>
        <v>2000110082</v>
      </c>
      <c r="G7" s="3068">
        <v>46387</v>
      </c>
      <c r="H7" s="3069" t="str">
        <f t="shared" ca="1" si="1"/>
        <v>欧红伟（注册号：2000110082）</v>
      </c>
    </row>
    <row r="8" spans="1:8" ht="24" customHeight="1">
      <c r="A8" s="1299" t="s">
        <v>757</v>
      </c>
      <c r="B8" s="1299">
        <f ca="1">IF(C8&lt;B2,"已过期",1419970001)</f>
        <v>1419970001</v>
      </c>
      <c r="C8" s="3067">
        <v>44899</v>
      </c>
      <c r="D8" s="3078" t="str">
        <f t="shared" ca="1" si="0"/>
        <v>吴薇（注册号：1419970001）</v>
      </c>
      <c r="E8" s="3080" t="s">
        <v>757</v>
      </c>
      <c r="F8" s="1299">
        <f ca="1">IF(G8&lt;B2,"已过期",2002110125)</f>
        <v>2002110125</v>
      </c>
      <c r="G8" s="3068">
        <v>47118</v>
      </c>
      <c r="H8" s="3069" t="str">
        <f t="shared" ca="1" si="1"/>
        <v>吴薇（注册号：2002110125）</v>
      </c>
    </row>
    <row r="9" spans="1:8" ht="24" customHeight="1">
      <c r="A9" s="1299" t="s">
        <v>758</v>
      </c>
      <c r="B9" s="1299">
        <f ca="1">IF(C9&lt;B2,"已过期",1120060040)</f>
        <v>1120060040</v>
      </c>
      <c r="C9" s="3070">
        <v>44554</v>
      </c>
      <c r="D9" s="3078" t="str">
        <f t="shared" ca="1" si="0"/>
        <v>陈颖（注册号：1120060040）</v>
      </c>
      <c r="E9" s="3080" t="s">
        <v>758</v>
      </c>
      <c r="F9" s="1299">
        <f ca="1">IF(G9&lt;B2,"已过期",2004110096)</f>
        <v>2004110096</v>
      </c>
      <c r="G9" s="3068">
        <v>47118</v>
      </c>
      <c r="H9" s="3069" t="str">
        <f t="shared" ca="1" si="1"/>
        <v>陈颖（注册号：2004110096）</v>
      </c>
    </row>
    <row r="10" spans="1:8" ht="24" customHeight="1">
      <c r="A10" s="1299" t="s">
        <v>759</v>
      </c>
      <c r="B10" s="1299">
        <f ca="1">IF(C10&lt;B2,"已过期",1120100036)</f>
        <v>1120100036</v>
      </c>
      <c r="C10" s="3070">
        <v>44675</v>
      </c>
      <c r="D10" s="3078" t="str">
        <f t="shared" ca="1" si="0"/>
        <v>崔锴（注册号：1120100036）</v>
      </c>
      <c r="E10" s="3080" t="s">
        <v>759</v>
      </c>
      <c r="F10" s="1299">
        <f ca="1">IF(G10&lt;B2,"已过期",2010110070)</f>
        <v>2010110070</v>
      </c>
      <c r="G10" s="3068">
        <v>47907</v>
      </c>
      <c r="H10" s="3069" t="str">
        <f t="shared" ca="1" si="1"/>
        <v>崔锴（注册号：2010110070）</v>
      </c>
    </row>
    <row r="11" spans="1:8" ht="24" customHeight="1">
      <c r="A11" s="1299" t="s">
        <v>760</v>
      </c>
      <c r="B11" s="1299">
        <f ca="1">IF(C11&lt;B2,"已过期",1120070131)</f>
        <v>1120070131</v>
      </c>
      <c r="C11" s="3067">
        <v>44849</v>
      </c>
      <c r="D11" s="3078" t="str">
        <f t="shared" ca="1" si="0"/>
        <v>郑燚（注册号：1120070131）</v>
      </c>
      <c r="E11" s="3080" t="s">
        <v>760</v>
      </c>
      <c r="F11" s="1299">
        <f ca="1">IF(G11&lt;B2,"已过期",2014110011)</f>
        <v>2014110011</v>
      </c>
      <c r="G11" s="3068">
        <v>49302</v>
      </c>
      <c r="H11" s="3069" t="str">
        <f t="shared" ca="1" si="1"/>
        <v>郑燚（注册号：2014110011）</v>
      </c>
    </row>
    <row r="12" spans="1:8" ht="24" customHeight="1">
      <c r="A12" s="1299" t="s">
        <v>2712</v>
      </c>
      <c r="B12" s="1299">
        <f ca="1">IF(C12&lt;B2,"已过期",1120040230)</f>
        <v>1120040230</v>
      </c>
      <c r="C12" s="3070">
        <v>44864</v>
      </c>
      <c r="D12" s="3078" t="str">
        <f t="shared" ca="1" si="0"/>
        <v>苏海（注册号：1120040230）</v>
      </c>
      <c r="E12" s="3080" t="s">
        <v>2712</v>
      </c>
      <c r="F12" s="1299">
        <f ca="1">IF(G12&lt;B2,"已过期",98030020)</f>
        <v>98030020</v>
      </c>
      <c r="G12" s="3068">
        <v>47118</v>
      </c>
      <c r="H12" s="3069" t="str">
        <f t="shared" ca="1" si="1"/>
        <v>苏海（注册号：98030020）</v>
      </c>
    </row>
    <row r="13" spans="1:8" ht="24" customHeight="1">
      <c r="A13" s="1299" t="s">
        <v>761</v>
      </c>
      <c r="B13" s="1299">
        <f ca="1">IF(C13&lt;B2,"已过期",1120020033)</f>
        <v>1120020033</v>
      </c>
      <c r="C13" s="3067">
        <v>44339</v>
      </c>
      <c r="D13" s="3078" t="str">
        <f t="shared" ca="1" si="0"/>
        <v>刘敬东（注册号：1120020033）</v>
      </c>
      <c r="E13" s="3080" t="s">
        <v>761</v>
      </c>
      <c r="F13" s="1299">
        <f ca="1">IF(G13&lt;B2,"已过期",2000110137)</f>
        <v>2000110137</v>
      </c>
      <c r="G13" s="3068">
        <v>46387</v>
      </c>
      <c r="H13" s="3069" t="str">
        <f t="shared" ca="1" si="1"/>
        <v>刘敬东（注册号：2000110137）</v>
      </c>
    </row>
    <row r="14" spans="1:8" ht="24" customHeight="1">
      <c r="A14" s="1299" t="s">
        <v>2729</v>
      </c>
      <c r="B14" s="1299">
        <f ca="1">IF(C14&lt;B2,"已过期",1119980106)</f>
        <v>1119980106</v>
      </c>
      <c r="C14" s="3070">
        <v>44969</v>
      </c>
      <c r="D14" s="3078" t="str">
        <f t="shared" ca="1" si="0"/>
        <v>刘俊财（注册号：1119980106）</v>
      </c>
      <c r="E14" s="3080" t="s">
        <v>2829</v>
      </c>
      <c r="F14" s="1299">
        <f ca="1">IF(G14&lt;B2,"已过期",96010063)</f>
        <v>96010063</v>
      </c>
      <c r="G14" s="3068">
        <v>47483</v>
      </c>
      <c r="H14" s="3069" t="str">
        <f t="shared" ca="1" si="1"/>
        <v>刘俊财（注册号：96010063）</v>
      </c>
    </row>
    <row r="15" spans="1:8" ht="24" customHeight="1">
      <c r="A15" s="1299"/>
      <c r="B15" s="1299"/>
      <c r="C15" s="3070"/>
      <c r="D15" s="3078" t="str">
        <f t="shared" ref="D15" si="2">A15&amp;"（注册号："&amp;B15&amp;"）"</f>
        <v>（注册号：）</v>
      </c>
      <c r="E15" s="3080" t="s">
        <v>2833</v>
      </c>
      <c r="F15" s="1299">
        <f ca="1">IF(G15&lt;B2,"已过期",2011110090)</f>
        <v>2011110090</v>
      </c>
      <c r="G15" s="3068">
        <v>48302</v>
      </c>
      <c r="H15" s="3069" t="str">
        <f t="shared" ref="H15" ca="1" si="3">E15&amp;"（注册号："&amp;F15&amp;"）"</f>
        <v>赵雯（注册号：2011110090）</v>
      </c>
    </row>
    <row r="16" spans="1:8" s="3058" customFormat="1" ht="24" customHeight="1">
      <c r="A16" s="1299"/>
      <c r="B16" s="1299"/>
      <c r="C16" s="1299"/>
      <c r="D16" s="3078" t="str">
        <f>A16&amp;"（注册号："&amp;B16&amp;"）"</f>
        <v>（注册号：）</v>
      </c>
      <c r="E16" s="3080"/>
      <c r="F16" s="1299"/>
      <c r="G16" s="1299"/>
      <c r="H16" s="3071" t="str">
        <f t="shared" si="1"/>
        <v>（注册号：）</v>
      </c>
    </row>
    <row r="17" spans="1:8" ht="24" customHeight="1">
      <c r="A17" s="3223" t="s">
        <v>762</v>
      </c>
      <c r="B17" s="3223"/>
      <c r="C17" s="3223"/>
      <c r="D17" s="3223"/>
      <c r="E17" s="3223"/>
      <c r="F17" s="3223"/>
      <c r="G17" s="3223"/>
      <c r="H17" s="3223"/>
    </row>
    <row r="18" spans="1:8" ht="24" customHeight="1">
      <c r="A18" s="3224" t="s">
        <v>763</v>
      </c>
      <c r="B18" s="3224"/>
      <c r="C18" s="3224"/>
      <c r="D18" s="3066"/>
      <c r="E18" s="3225" t="s">
        <v>764</v>
      </c>
      <c r="F18" s="3224"/>
      <c r="G18" s="3224"/>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415" t="s">
        <v>1385</v>
      </c>
      <c r="B1" s="4" t="s">
        <v>1386</v>
      </c>
      <c r="C1" s="1416" t="s">
        <v>1387</v>
      </c>
      <c r="D1" s="5" t="s">
        <v>1388</v>
      </c>
      <c r="E1" s="5" t="s">
        <v>1389</v>
      </c>
      <c r="F1" s="5" t="s">
        <v>1390</v>
      </c>
      <c r="G1" s="5" t="s">
        <v>1391</v>
      </c>
      <c r="H1" s="5" t="s">
        <v>1392</v>
      </c>
      <c r="I1" s="5" t="s">
        <v>1393</v>
      </c>
      <c r="J1" s="5" t="s">
        <v>1394</v>
      </c>
      <c r="K1" s="5" t="s">
        <v>1395</v>
      </c>
      <c r="L1" s="5" t="s">
        <v>1396</v>
      </c>
      <c r="M1" s="5" t="s">
        <v>1397</v>
      </c>
      <c r="N1" s="5" t="s">
        <v>1398</v>
      </c>
      <c r="O1" s="5" t="s">
        <v>1399</v>
      </c>
      <c r="P1" s="1417" t="s">
        <v>1400</v>
      </c>
      <c r="Q1" s="1417" t="s">
        <v>1401</v>
      </c>
      <c r="R1" s="1417" t="s">
        <v>1402</v>
      </c>
      <c r="S1" s="5" t="s">
        <v>1403</v>
      </c>
      <c r="T1" s="6" t="s">
        <v>1404</v>
      </c>
      <c r="U1" s="5" t="s">
        <v>1405</v>
      </c>
      <c r="V1" s="5" t="s">
        <v>1406</v>
      </c>
      <c r="W1" s="5" t="s">
        <v>1407</v>
      </c>
      <c r="X1" s="5" t="s">
        <v>1408</v>
      </c>
      <c r="Y1" s="5" t="s">
        <v>1409</v>
      </c>
    </row>
    <row r="2" spans="1:25">
      <c r="A2" s="1418" t="s">
        <v>33</v>
      </c>
      <c r="B2" s="1418" t="s">
        <v>1410</v>
      </c>
      <c r="C2" s="1419"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8" t="s">
        <v>1423</v>
      </c>
      <c r="B3" s="1420" t="s">
        <v>1424</v>
      </c>
      <c r="C3" s="965"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8" t="s">
        <v>1436</v>
      </c>
      <c r="B4" s="1420" t="s">
        <v>1437</v>
      </c>
      <c r="C4" s="1419"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8" t="s">
        <v>1447</v>
      </c>
      <c r="B5" s="1418" t="s">
        <v>1448</v>
      </c>
      <c r="C5" s="1419"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1"/>
    </row>
    <row r="6" spans="1:25">
      <c r="A6" s="1418" t="s">
        <v>1456</v>
      </c>
      <c r="B6" s="1418" t="s">
        <v>1457</v>
      </c>
      <c r="C6" s="952"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1"/>
    </row>
    <row r="7" spans="1:25">
      <c r="A7" s="1418" t="s">
        <v>1464</v>
      </c>
      <c r="B7" s="1420" t="s">
        <v>1465</v>
      </c>
      <c r="C7" s="1419" t="s">
        <v>1466</v>
      </c>
      <c r="F7" s="7" t="s">
        <v>1467</v>
      </c>
      <c r="H7" s="7" t="s">
        <v>1468</v>
      </c>
      <c r="I7" s="7" t="s">
        <v>1469</v>
      </c>
      <c r="X7" s="1421"/>
    </row>
    <row r="8" spans="1:25">
      <c r="A8" s="1418" t="s">
        <v>1470</v>
      </c>
      <c r="B8" s="1420" t="s">
        <v>1471</v>
      </c>
      <c r="C8" s="1419" t="s">
        <v>1472</v>
      </c>
      <c r="F8" s="7" t="s">
        <v>1473</v>
      </c>
      <c r="H8" s="7" t="s">
        <v>1474</v>
      </c>
      <c r="I8" s="7" t="s">
        <v>1475</v>
      </c>
      <c r="X8" s="1421"/>
    </row>
    <row r="9" spans="1:25">
      <c r="A9" s="1418" t="s">
        <v>1476</v>
      </c>
      <c r="B9" s="1418" t="s">
        <v>1477</v>
      </c>
      <c r="C9" s="1419" t="s">
        <v>1478</v>
      </c>
      <c r="F9" s="7" t="s">
        <v>1479</v>
      </c>
      <c r="H9" s="7" t="s">
        <v>1480</v>
      </c>
    </row>
    <row r="10" spans="1:25">
      <c r="A10" s="1418" t="s">
        <v>1481</v>
      </c>
      <c r="B10" s="1418" t="s">
        <v>1482</v>
      </c>
      <c r="C10" s="1419" t="s">
        <v>1483</v>
      </c>
      <c r="F10" s="7" t="s">
        <v>13</v>
      </c>
    </row>
    <row r="11" spans="1:25">
      <c r="A11" s="1418" t="s">
        <v>1484</v>
      </c>
      <c r="B11" s="1418" t="s">
        <v>1485</v>
      </c>
      <c r="C11" s="1419" t="s">
        <v>1486</v>
      </c>
    </row>
    <row r="12" spans="1:25">
      <c r="A12" s="1418" t="s">
        <v>1487</v>
      </c>
      <c r="B12" s="1418" t="s">
        <v>1488</v>
      </c>
      <c r="C12" s="1419" t="s">
        <v>1489</v>
      </c>
    </row>
    <row r="13" spans="1:25">
      <c r="A13" s="1418" t="s">
        <v>1490</v>
      </c>
      <c r="B13" s="1418" t="s">
        <v>1491</v>
      </c>
      <c r="C13" s="1419" t="s">
        <v>1492</v>
      </c>
    </row>
    <row r="14" spans="1:25">
      <c r="A14" s="1418" t="s">
        <v>1493</v>
      </c>
      <c r="B14" s="1418" t="s">
        <v>1494</v>
      </c>
      <c r="C14" s="1419"/>
    </row>
    <row r="15" spans="1:25">
      <c r="A15" s="1418" t="s">
        <v>1495</v>
      </c>
      <c r="B15" s="1418" t="s">
        <v>1496</v>
      </c>
      <c r="C15" s="1419"/>
    </row>
    <row r="16" spans="1:25">
      <c r="A16" s="1418" t="s">
        <v>1497</v>
      </c>
      <c r="B16" s="1418" t="s">
        <v>1498</v>
      </c>
      <c r="C16" s="1419"/>
    </row>
    <row r="17" spans="1:3">
      <c r="A17" s="1418" t="s">
        <v>1499</v>
      </c>
      <c r="B17" s="1418" t="s">
        <v>1500</v>
      </c>
      <c r="C17" s="1419"/>
    </row>
    <row r="18" spans="1:3">
      <c r="A18" s="1418" t="s">
        <v>1501</v>
      </c>
      <c r="B18" s="1418" t="s">
        <v>1502</v>
      </c>
      <c r="C18" s="1419"/>
    </row>
    <row r="19" spans="1:3">
      <c r="A19" s="1418" t="s">
        <v>1503</v>
      </c>
      <c r="B19" s="1418" t="s">
        <v>1504</v>
      </c>
      <c r="C19" s="1419"/>
    </row>
    <row r="20" spans="1:3">
      <c r="A20" s="1418" t="s">
        <v>1505</v>
      </c>
      <c r="B20" s="1418" t="s">
        <v>740</v>
      </c>
      <c r="C20" s="1419"/>
    </row>
    <row r="21" spans="1:3">
      <c r="A21" s="1418" t="s">
        <v>1506</v>
      </c>
      <c r="B21" s="1418" t="s">
        <v>740</v>
      </c>
      <c r="C21" s="1419"/>
    </row>
    <row r="22" spans="1:3">
      <c r="A22" s="1418" t="s">
        <v>1507</v>
      </c>
      <c r="B22" s="1418" t="s">
        <v>740</v>
      </c>
      <c r="C22" s="1419"/>
    </row>
    <row r="23" spans="1:3">
      <c r="A23" s="1418" t="s">
        <v>1508</v>
      </c>
      <c r="B23" s="1418" t="s">
        <v>740</v>
      </c>
      <c r="C23" s="1419"/>
    </row>
    <row r="24" spans="1:3">
      <c r="A24" s="1418" t="s">
        <v>1509</v>
      </c>
      <c r="B24" s="1418" t="s">
        <v>740</v>
      </c>
      <c r="C24" s="1419"/>
    </row>
    <row r="25" spans="1:3">
      <c r="A25" s="1418" t="s">
        <v>1510</v>
      </c>
      <c r="B25" s="1418" t="s">
        <v>740</v>
      </c>
      <c r="C25" s="1419"/>
    </row>
    <row r="26" spans="1:3">
      <c r="A26" s="1418" t="s">
        <v>1511</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1513</v>
      </c>
    </row>
    <row r="52" spans="1:4">
      <c r="A52" s="1422" t="s">
        <v>1514</v>
      </c>
      <c r="B52" s="1422" t="s">
        <v>1515</v>
      </c>
      <c r="C52" s="9" t="s">
        <v>1516</v>
      </c>
      <c r="D52" s="9" t="s">
        <v>1517</v>
      </c>
    </row>
    <row r="53" spans="1:4" ht="14.25" customHeight="1">
      <c r="A53" s="3226"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row>
    <row r="54" spans="1:4">
      <c r="A54" s="3226"/>
      <c r="B54" s="9" t="s">
        <v>1520</v>
      </c>
      <c r="C54" s="9" t="s">
        <v>1521</v>
      </c>
    </row>
    <row r="55" spans="1:4">
      <c r="A55" s="3226"/>
      <c r="B55" s="9" t="s">
        <v>1522</v>
      </c>
      <c r="C55" s="9" t="s">
        <v>1523</v>
      </c>
    </row>
    <row r="56" spans="1:4">
      <c r="A56" s="3226"/>
      <c r="B56" s="9" t="s">
        <v>1524</v>
      </c>
      <c r="C56" s="9" t="s">
        <v>1525</v>
      </c>
    </row>
    <row r="57" spans="1:4">
      <c r="A57" s="3226"/>
      <c r="B57" s="9" t="s">
        <v>1526</v>
      </c>
      <c r="C57" s="9" t="s">
        <v>1527</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典型户型修正</vt:lpstr>
      <vt:lpstr>成本法</vt:lpstr>
      <vt:lpstr>基准地价修正</vt:lpstr>
      <vt:lpstr>Sheet1</vt:lpstr>
      <vt:lpstr>价值汇总</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2021-03-17T07:27:09Z</dcterms:modified>
</cp:coreProperties>
</file>